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7.xml" ContentType="application/vnd.openxmlformats-officedocument.drawingml.chart+xml"/>
  <Override PartName="/xl/drawings/drawing21.xml" ContentType="application/vnd.openxmlformats-officedocument.drawingml.chartshapes+xml"/>
  <Override PartName="/xl/charts/chart18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drawings/drawing24.xml" ContentType="application/vnd.openxmlformats-officedocument.drawingml.chartshapes+xml"/>
  <Override PartName="/xl/charts/chart20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21.xml" ContentType="application/vnd.openxmlformats-officedocument.drawingml.chart+xml"/>
  <Override PartName="/xl/drawings/drawing27.xml" ContentType="application/vnd.openxmlformats-officedocument.drawingml.chartshapes+xml"/>
  <Override PartName="/xl/charts/chart22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3.xml" ContentType="application/vnd.openxmlformats-officedocument.drawingml.chart+xml"/>
  <Override PartName="/xl/drawings/drawing30.xml" ContentType="application/vnd.openxmlformats-officedocument.drawingml.chartshapes+xml"/>
  <Override PartName="/xl/charts/chart24.xml" ContentType="application/vnd.openxmlformats-officedocument.drawingml.chart+xml"/>
  <Override PartName="/xl/drawings/drawing3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2431459\Glass foams\Manuscript Glass foam\"/>
    </mc:Choice>
  </mc:AlternateContent>
  <bookViews>
    <workbookView xWindow="120" yWindow="45" windowWidth="20160" windowHeight="7740" firstSheet="15" activeTab="19"/>
  </bookViews>
  <sheets>
    <sheet name="Atomic masses" sheetId="1" r:id="rId1"/>
    <sheet name="Calcs" sheetId="7" r:id="rId2"/>
    <sheet name="HxSi2O4+x2" sheetId="6" r:id="rId3"/>
    <sheet name="Formulations" sheetId="20" r:id="rId4"/>
    <sheet name="C1" sheetId="10" r:id="rId5"/>
    <sheet name="C2" sheetId="11" r:id="rId6"/>
    <sheet name="C3" sheetId="8" r:id="rId7"/>
    <sheet name="C3r" sheetId="9" r:id="rId8"/>
    <sheet name="Sheet12" sheetId="25" r:id="rId9"/>
    <sheet name="Strength vs Density" sheetId="26" r:id="rId10"/>
    <sheet name="Qu data" sheetId="28" r:id="rId11"/>
    <sheet name="Density vs composition" sheetId="15" r:id="rId12"/>
    <sheet name="Heating rate" sheetId="16" r:id="rId13"/>
    <sheet name="Density = f(composition)" sheetId="17" r:id="rId14"/>
    <sheet name="Strength = f(composition)" sheetId="19" r:id="rId15"/>
    <sheet name="Density vs Ts" sheetId="23" r:id="rId16"/>
    <sheet name="Density vs HR" sheetId="24" r:id="rId17"/>
    <sheet name="Strength vs Ts" sheetId="21" r:id="rId18"/>
    <sheet name="Strength vs HR" sheetId="22" r:id="rId19"/>
    <sheet name="Composition" sheetId="18" r:id="rId20"/>
  </sheets>
  <definedNames>
    <definedName name="solver_adj" localSheetId="1" hidden="1">Calcs!$D$15:$E$15</definedName>
    <definedName name="solver_adj" localSheetId="11" hidden="1">'Density vs composition'!$K$5:$O$5</definedName>
    <definedName name="solver_adj" localSheetId="2" hidden="1">'HxSi2O4+x2'!$O$7</definedName>
    <definedName name="solver_adj" localSheetId="10" hidden="1">'Qu data'!$N$2:$N$3</definedName>
    <definedName name="solver_adj" localSheetId="9" hidden="1">'Strength vs Density'!$J$5</definedName>
    <definedName name="solver_cvg" localSheetId="1" hidden="1">0.0001</definedName>
    <definedName name="solver_cvg" localSheetId="11" hidden="1">0.0001</definedName>
    <definedName name="solver_cvg" localSheetId="2" hidden="1">0.0001</definedName>
    <definedName name="solver_cvg" localSheetId="10" hidden="1">0.0001</definedName>
    <definedName name="solver_cvg" localSheetId="9" hidden="1">0.0001</definedName>
    <definedName name="solver_drv" localSheetId="1" hidden="1">1</definedName>
    <definedName name="solver_drv" localSheetId="11" hidden="1">2</definedName>
    <definedName name="solver_drv" localSheetId="2" hidden="1">1</definedName>
    <definedName name="solver_drv" localSheetId="10" hidden="1">1</definedName>
    <definedName name="solver_drv" localSheetId="9" hidden="1">1</definedName>
    <definedName name="solver_eng" localSheetId="1" hidden="1">1</definedName>
    <definedName name="solver_eng" localSheetId="11" hidden="1">1</definedName>
    <definedName name="solver_eng" localSheetId="12" hidden="1">1</definedName>
    <definedName name="solver_eng" localSheetId="2" hidden="1">1</definedName>
    <definedName name="solver_eng" localSheetId="10" hidden="1">1</definedName>
    <definedName name="solver_eng" localSheetId="9" hidden="1">1</definedName>
    <definedName name="solver_est" localSheetId="1" hidden="1">1</definedName>
    <definedName name="solver_est" localSheetId="11" hidden="1">1</definedName>
    <definedName name="solver_est" localSheetId="2" hidden="1">1</definedName>
    <definedName name="solver_est" localSheetId="10" hidden="1">1</definedName>
    <definedName name="solver_est" localSheetId="9" hidden="1">1</definedName>
    <definedName name="solver_itr" localSheetId="1" hidden="1">2147483647</definedName>
    <definedName name="solver_itr" localSheetId="11" hidden="1">2147483647</definedName>
    <definedName name="solver_itr" localSheetId="2" hidden="1">2147483647</definedName>
    <definedName name="solver_itr" localSheetId="10" hidden="1">2147483647</definedName>
    <definedName name="solver_itr" localSheetId="9" hidden="1">2147483647</definedName>
    <definedName name="solver_mip" localSheetId="1" hidden="1">2147483647</definedName>
    <definedName name="solver_mip" localSheetId="11" hidden="1">2147483647</definedName>
    <definedName name="solver_mip" localSheetId="2" hidden="1">2147483647</definedName>
    <definedName name="solver_mip" localSheetId="10" hidden="1">2147483647</definedName>
    <definedName name="solver_mip" localSheetId="9" hidden="1">2147483647</definedName>
    <definedName name="solver_mni" localSheetId="1" hidden="1">30</definedName>
    <definedName name="solver_mni" localSheetId="11" hidden="1">30</definedName>
    <definedName name="solver_mni" localSheetId="2" hidden="1">30</definedName>
    <definedName name="solver_mni" localSheetId="10" hidden="1">30</definedName>
    <definedName name="solver_mni" localSheetId="9" hidden="1">30</definedName>
    <definedName name="solver_mrt" localSheetId="1" hidden="1">0.075</definedName>
    <definedName name="solver_mrt" localSheetId="11" hidden="1">0.075</definedName>
    <definedName name="solver_mrt" localSheetId="2" hidden="1">0.075</definedName>
    <definedName name="solver_mrt" localSheetId="10" hidden="1">0.075</definedName>
    <definedName name="solver_mrt" localSheetId="9" hidden="1">0.075</definedName>
    <definedName name="solver_msl" localSheetId="1" hidden="1">2</definedName>
    <definedName name="solver_msl" localSheetId="11" hidden="1">2</definedName>
    <definedName name="solver_msl" localSheetId="2" hidden="1">2</definedName>
    <definedName name="solver_msl" localSheetId="10" hidden="1">2</definedName>
    <definedName name="solver_msl" localSheetId="9" hidden="1">2</definedName>
    <definedName name="solver_neg" localSheetId="1" hidden="1">1</definedName>
    <definedName name="solver_neg" localSheetId="11" hidden="1">2</definedName>
    <definedName name="solver_neg" localSheetId="12" hidden="1">1</definedName>
    <definedName name="solver_neg" localSheetId="2" hidden="1">1</definedName>
    <definedName name="solver_neg" localSheetId="10" hidden="1">1</definedName>
    <definedName name="solver_neg" localSheetId="9" hidden="1">1</definedName>
    <definedName name="solver_nod" localSheetId="1" hidden="1">2147483647</definedName>
    <definedName name="solver_nod" localSheetId="11" hidden="1">2147483647</definedName>
    <definedName name="solver_nod" localSheetId="2" hidden="1">2147483647</definedName>
    <definedName name="solver_nod" localSheetId="10" hidden="1">2147483647</definedName>
    <definedName name="solver_nod" localSheetId="9" hidden="1">2147483647</definedName>
    <definedName name="solver_num" localSheetId="1" hidden="1">0</definedName>
    <definedName name="solver_num" localSheetId="11" hidden="1">0</definedName>
    <definedName name="solver_num" localSheetId="12" hidden="1">0</definedName>
    <definedName name="solver_num" localSheetId="2" hidden="1">0</definedName>
    <definedName name="solver_num" localSheetId="10" hidden="1">0</definedName>
    <definedName name="solver_num" localSheetId="9" hidden="1">0</definedName>
    <definedName name="solver_nwt" localSheetId="1" hidden="1">1</definedName>
    <definedName name="solver_nwt" localSheetId="11" hidden="1">1</definedName>
    <definedName name="solver_nwt" localSheetId="2" hidden="1">1</definedName>
    <definedName name="solver_nwt" localSheetId="10" hidden="1">1</definedName>
    <definedName name="solver_nwt" localSheetId="9" hidden="1">1</definedName>
    <definedName name="solver_opt" localSheetId="1" hidden="1">Calcs!$M$15</definedName>
    <definedName name="solver_opt" localSheetId="11" hidden="1">'Density vs composition'!$M$3</definedName>
    <definedName name="solver_opt" localSheetId="12" hidden="1">'Heating rate'!$H$21</definedName>
    <definedName name="solver_opt" localSheetId="2" hidden="1">'HxSi2O4+x2'!$S$6</definedName>
    <definedName name="solver_opt" localSheetId="10" hidden="1">'Qu data'!$T$3</definedName>
    <definedName name="solver_opt" localSheetId="9" hidden="1">'Strength vs Density'!$J$7</definedName>
    <definedName name="solver_pre" localSheetId="1" hidden="1">0.000001</definedName>
    <definedName name="solver_pre" localSheetId="11" hidden="1">0.000001</definedName>
    <definedName name="solver_pre" localSheetId="2" hidden="1">0.000001</definedName>
    <definedName name="solver_pre" localSheetId="10" hidden="1">0.000001</definedName>
    <definedName name="solver_pre" localSheetId="9" hidden="1">0.000001</definedName>
    <definedName name="solver_rbv" localSheetId="1" hidden="1">1</definedName>
    <definedName name="solver_rbv" localSheetId="11" hidden="1">2</definedName>
    <definedName name="solver_rbv" localSheetId="2" hidden="1">1</definedName>
    <definedName name="solver_rbv" localSheetId="10" hidden="1">1</definedName>
    <definedName name="solver_rbv" localSheetId="9" hidden="1">1</definedName>
    <definedName name="solver_rlx" localSheetId="1" hidden="1">2</definedName>
    <definedName name="solver_rlx" localSheetId="11" hidden="1">2</definedName>
    <definedName name="solver_rlx" localSheetId="2" hidden="1">2</definedName>
    <definedName name="solver_rlx" localSheetId="10" hidden="1">2</definedName>
    <definedName name="solver_rlx" localSheetId="9" hidden="1">2</definedName>
    <definedName name="solver_rsd" localSheetId="1" hidden="1">0</definedName>
    <definedName name="solver_rsd" localSheetId="11" hidden="1">0</definedName>
    <definedName name="solver_rsd" localSheetId="2" hidden="1">0</definedName>
    <definedName name="solver_rsd" localSheetId="10" hidden="1">0</definedName>
    <definedName name="solver_rsd" localSheetId="9" hidden="1">0</definedName>
    <definedName name="solver_scl" localSheetId="1" hidden="1">1</definedName>
    <definedName name="solver_scl" localSheetId="11" hidden="1">2</definedName>
    <definedName name="solver_scl" localSheetId="2" hidden="1">1</definedName>
    <definedName name="solver_scl" localSheetId="10" hidden="1">1</definedName>
    <definedName name="solver_scl" localSheetId="9" hidden="1">1</definedName>
    <definedName name="solver_sho" localSheetId="1" hidden="1">2</definedName>
    <definedName name="solver_sho" localSheetId="11" hidden="1">2</definedName>
    <definedName name="solver_sho" localSheetId="2" hidden="1">2</definedName>
    <definedName name="solver_sho" localSheetId="10" hidden="1">2</definedName>
    <definedName name="solver_sho" localSheetId="9" hidden="1">2</definedName>
    <definedName name="solver_ssz" localSheetId="1" hidden="1">100</definedName>
    <definedName name="solver_ssz" localSheetId="11" hidden="1">100</definedName>
    <definedName name="solver_ssz" localSheetId="2" hidden="1">100</definedName>
    <definedName name="solver_ssz" localSheetId="10" hidden="1">100</definedName>
    <definedName name="solver_ssz" localSheetId="9" hidden="1">100</definedName>
    <definedName name="solver_tim" localSheetId="1" hidden="1">2147483647</definedName>
    <definedName name="solver_tim" localSheetId="11" hidden="1">2147483647</definedName>
    <definedName name="solver_tim" localSheetId="2" hidden="1">2147483647</definedName>
    <definedName name="solver_tim" localSheetId="10" hidden="1">2147483647</definedName>
    <definedName name="solver_tim" localSheetId="9" hidden="1">2147483647</definedName>
    <definedName name="solver_tol" localSheetId="1" hidden="1">0.01</definedName>
    <definedName name="solver_tol" localSheetId="11" hidden="1">0.01</definedName>
    <definedName name="solver_tol" localSheetId="2" hidden="1">0.01</definedName>
    <definedName name="solver_tol" localSheetId="10" hidden="1">0.01</definedName>
    <definedName name="solver_tol" localSheetId="9" hidden="1">0.01</definedName>
    <definedName name="solver_typ" localSheetId="1" hidden="1">3</definedName>
    <definedName name="solver_typ" localSheetId="11" hidden="1">3</definedName>
    <definedName name="solver_typ" localSheetId="12" hidden="1">1</definedName>
    <definedName name="solver_typ" localSheetId="2" hidden="1">2</definedName>
    <definedName name="solver_typ" localSheetId="10" hidden="1">3</definedName>
    <definedName name="solver_typ" localSheetId="9" hidden="1">3</definedName>
    <definedName name="solver_val" localSheetId="1" hidden="1">0</definedName>
    <definedName name="solver_val" localSheetId="11" hidden="1">0</definedName>
    <definedName name="solver_val" localSheetId="12" hidden="1">0</definedName>
    <definedName name="solver_val" localSheetId="2" hidden="1">0</definedName>
    <definedName name="solver_val" localSheetId="10" hidden="1">0</definedName>
    <definedName name="solver_val" localSheetId="9" hidden="1">0</definedName>
    <definedName name="solver_ver" localSheetId="1" hidden="1">3</definedName>
    <definedName name="solver_ver" localSheetId="11" hidden="1">3</definedName>
    <definedName name="solver_ver" localSheetId="12" hidden="1">3</definedName>
    <definedName name="solver_ver" localSheetId="2" hidden="1">3</definedName>
    <definedName name="solver_ver" localSheetId="10" hidden="1">3</definedName>
    <definedName name="solver_ver" localSheetId="9" hidden="1">3</definedName>
  </definedNames>
  <calcPr calcId="162913"/>
</workbook>
</file>

<file path=xl/calcChain.xml><?xml version="1.0" encoding="utf-8"?>
<calcChain xmlns="http://schemas.openxmlformats.org/spreadsheetml/2006/main">
  <c r="Q10" i="28" l="1"/>
  <c r="R10" i="28"/>
  <c r="T10" i="28" s="1"/>
  <c r="Q4" i="28"/>
  <c r="R4" i="28" s="1"/>
  <c r="T4" i="28" s="1"/>
  <c r="Q17" i="28"/>
  <c r="R17" i="28" s="1"/>
  <c r="T17" i="28" s="1"/>
  <c r="Q6" i="28"/>
  <c r="R6" i="28" s="1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27" i="26"/>
  <c r="K28" i="26"/>
  <c r="K9" i="26"/>
  <c r="I10" i="26"/>
  <c r="I11" i="26"/>
  <c r="J11" i="26" s="1"/>
  <c r="I12" i="26"/>
  <c r="J12" i="26" s="1"/>
  <c r="I13" i="26"/>
  <c r="J13" i="26" s="1"/>
  <c r="I14" i="26"/>
  <c r="I15" i="26"/>
  <c r="I16" i="26"/>
  <c r="J16" i="26" s="1"/>
  <c r="I17" i="26"/>
  <c r="J17" i="26" s="1"/>
  <c r="I18" i="26"/>
  <c r="I19" i="26"/>
  <c r="J19" i="26" s="1"/>
  <c r="I20" i="26"/>
  <c r="J20" i="26" s="1"/>
  <c r="I21" i="26"/>
  <c r="J21" i="26" s="1"/>
  <c r="I22" i="26"/>
  <c r="I23" i="26"/>
  <c r="J23" i="26" s="1"/>
  <c r="I24" i="26"/>
  <c r="J24" i="26" s="1"/>
  <c r="I25" i="26"/>
  <c r="J25" i="26" s="1"/>
  <c r="I26" i="26"/>
  <c r="I27" i="26"/>
  <c r="J27" i="26" s="1"/>
  <c r="I28" i="26"/>
  <c r="J28" i="26" s="1"/>
  <c r="I29" i="26"/>
  <c r="J29" i="26" s="1"/>
  <c r="I30" i="26"/>
  <c r="I31" i="26"/>
  <c r="J31" i="26" s="1"/>
  <c r="I32" i="26"/>
  <c r="J32" i="26" s="1"/>
  <c r="I33" i="26"/>
  <c r="J33" i="26" s="1"/>
  <c r="I34" i="26"/>
  <c r="I35" i="26"/>
  <c r="J35" i="26" s="1"/>
  <c r="I36" i="26"/>
  <c r="J36" i="26" s="1"/>
  <c r="I37" i="26"/>
  <c r="J37" i="26" s="1"/>
  <c r="I38" i="26"/>
  <c r="I39" i="26"/>
  <c r="J39" i="26" s="1"/>
  <c r="I9" i="26"/>
  <c r="J9" i="26" s="1"/>
  <c r="S16" i="28"/>
  <c r="S5" i="28"/>
  <c r="P16" i="28"/>
  <c r="P5" i="28"/>
  <c r="J10" i="26"/>
  <c r="J14" i="26"/>
  <c r="J15" i="26"/>
  <c r="J18" i="26"/>
  <c r="J22" i="26"/>
  <c r="J26" i="26"/>
  <c r="J30" i="26"/>
  <c r="J34" i="26"/>
  <c r="J38" i="26"/>
  <c r="K39" i="26"/>
  <c r="M9" i="26"/>
  <c r="N9" i="26" s="1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9" i="26"/>
  <c r="M10" i="26"/>
  <c r="N10" i="26" s="1"/>
  <c r="M11" i="26"/>
  <c r="N11" i="26" s="1"/>
  <c r="M12" i="26"/>
  <c r="N12" i="26" s="1"/>
  <c r="M13" i="26"/>
  <c r="N13" i="26" s="1"/>
  <c r="M14" i="26"/>
  <c r="N14" i="26" s="1"/>
  <c r="M15" i="26"/>
  <c r="N15" i="26" s="1"/>
  <c r="M16" i="26"/>
  <c r="N16" i="26" s="1"/>
  <c r="M17" i="26"/>
  <c r="N17" i="26" s="1"/>
  <c r="M18" i="26"/>
  <c r="N18" i="26" s="1"/>
  <c r="M19" i="26"/>
  <c r="N19" i="26" s="1"/>
  <c r="M20" i="26"/>
  <c r="N20" i="26" s="1"/>
  <c r="M21" i="26"/>
  <c r="N21" i="26" s="1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M28" i="26"/>
  <c r="N28" i="26" s="1"/>
  <c r="M29" i="26"/>
  <c r="N29" i="26" s="1"/>
  <c r="M30" i="26"/>
  <c r="N30" i="26" s="1"/>
  <c r="M31" i="26"/>
  <c r="N31" i="26" s="1"/>
  <c r="M32" i="26"/>
  <c r="N32" i="26" s="1"/>
  <c r="M33" i="26"/>
  <c r="N33" i="26" s="1"/>
  <c r="M34" i="26"/>
  <c r="N34" i="26" s="1"/>
  <c r="M35" i="26"/>
  <c r="N35" i="26" s="1"/>
  <c r="M36" i="26"/>
  <c r="N36" i="26" s="1"/>
  <c r="M37" i="26"/>
  <c r="N37" i="26" s="1"/>
  <c r="M38" i="26"/>
  <c r="N38" i="26" s="1"/>
  <c r="M39" i="26"/>
  <c r="N39" i="26" s="1"/>
  <c r="O39" i="26"/>
  <c r="P39" i="26" s="1"/>
  <c r="O10" i="26"/>
  <c r="O11" i="26" s="1"/>
  <c r="I3" i="15"/>
  <c r="I2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6" i="15"/>
  <c r="T3" i="28" l="1"/>
  <c r="Q7" i="28"/>
  <c r="Q8" i="28" s="1"/>
  <c r="Q9" i="28" s="1"/>
  <c r="Q11" i="28" s="1"/>
  <c r="Q12" i="28" s="1"/>
  <c r="R8" i="28"/>
  <c r="J3" i="26"/>
  <c r="O12" i="26"/>
  <c r="O13" i="26" s="1"/>
  <c r="O14" i="26" s="1"/>
  <c r="O15" i="26" s="1"/>
  <c r="O16" i="26" s="1"/>
  <c r="O17" i="26" s="1"/>
  <c r="O18" i="26" s="1"/>
  <c r="O19" i="26" s="1"/>
  <c r="O20" i="26" s="1"/>
  <c r="O21" i="26" s="1"/>
  <c r="O22" i="26" s="1"/>
  <c r="O23" i="26" s="1"/>
  <c r="O24" i="26" s="1"/>
  <c r="O25" i="26" s="1"/>
  <c r="O26" i="26" s="1"/>
  <c r="O27" i="26" s="1"/>
  <c r="O28" i="26" s="1"/>
  <c r="N7" i="26"/>
  <c r="J10" i="6"/>
  <c r="J9" i="6"/>
  <c r="J8" i="6"/>
  <c r="R6" i="6"/>
  <c r="H6" i="6"/>
  <c r="N7" i="6"/>
  <c r="N6" i="6"/>
  <c r="P7" i="6"/>
  <c r="P6" i="6"/>
  <c r="R7" i="28" l="1"/>
  <c r="R9" i="28"/>
  <c r="Q13" i="28"/>
  <c r="R12" i="28"/>
  <c r="J7" i="26"/>
  <c r="P8" i="6"/>
  <c r="H71" i="26"/>
  <c r="G71" i="26"/>
  <c r="F71" i="26"/>
  <c r="E71" i="26"/>
  <c r="E72" i="26" s="1"/>
  <c r="D71" i="26"/>
  <c r="H70" i="26"/>
  <c r="G70" i="26"/>
  <c r="F70" i="26"/>
  <c r="E70" i="26"/>
  <c r="D70" i="26"/>
  <c r="H69" i="26"/>
  <c r="G69" i="26"/>
  <c r="F69" i="26"/>
  <c r="E69" i="26"/>
  <c r="D69" i="26"/>
  <c r="H68" i="26"/>
  <c r="G68" i="26"/>
  <c r="F68" i="26"/>
  <c r="E68" i="26"/>
  <c r="D68" i="26"/>
  <c r="H6" i="26"/>
  <c r="F6" i="26"/>
  <c r="E6" i="26"/>
  <c r="D6" i="26"/>
  <c r="C6" i="26"/>
  <c r="B6" i="26"/>
  <c r="G5" i="26"/>
  <c r="F5" i="26"/>
  <c r="E5" i="26"/>
  <c r="D5" i="26"/>
  <c r="C5" i="26"/>
  <c r="B5" i="26"/>
  <c r="P10" i="24"/>
  <c r="P9" i="24"/>
  <c r="P8" i="24"/>
  <c r="P7" i="24"/>
  <c r="P6" i="24"/>
  <c r="O10" i="24"/>
  <c r="O19" i="24" s="1"/>
  <c r="O9" i="24"/>
  <c r="O8" i="24"/>
  <c r="O7" i="24"/>
  <c r="O6" i="24"/>
  <c r="N10" i="24"/>
  <c r="N9" i="24"/>
  <c r="N8" i="24"/>
  <c r="N7" i="24"/>
  <c r="N6" i="24"/>
  <c r="P11" i="23"/>
  <c r="P10" i="23"/>
  <c r="P9" i="23"/>
  <c r="P8" i="23"/>
  <c r="P7" i="23"/>
  <c r="P6" i="23"/>
  <c r="O7" i="23"/>
  <c r="O6" i="23"/>
  <c r="O11" i="23"/>
  <c r="O10" i="23"/>
  <c r="O9" i="23"/>
  <c r="O8" i="23"/>
  <c r="N11" i="23"/>
  <c r="N10" i="23"/>
  <c r="N9" i="23"/>
  <c r="N8" i="23"/>
  <c r="N16" i="23" s="1"/>
  <c r="N7" i="23"/>
  <c r="N6" i="23"/>
  <c r="H68" i="23"/>
  <c r="H69" i="23" s="1"/>
  <c r="G68" i="23"/>
  <c r="F68" i="23"/>
  <c r="F69" i="23" s="1"/>
  <c r="E68" i="23"/>
  <c r="D68" i="23"/>
  <c r="D69" i="23" s="1"/>
  <c r="H67" i="23"/>
  <c r="G67" i="23"/>
  <c r="G69" i="23" s="1"/>
  <c r="F67" i="23"/>
  <c r="E67" i="23"/>
  <c r="E69" i="23" s="1"/>
  <c r="D67" i="23"/>
  <c r="H66" i="23"/>
  <c r="G66" i="23"/>
  <c r="F66" i="23"/>
  <c r="E66" i="23"/>
  <c r="D66" i="23"/>
  <c r="H65" i="23"/>
  <c r="G65" i="23"/>
  <c r="F65" i="23"/>
  <c r="E65" i="23"/>
  <c r="D65" i="23"/>
  <c r="P22" i="23"/>
  <c r="O22" i="23"/>
  <c r="N22" i="23"/>
  <c r="M22" i="23"/>
  <c r="P21" i="23"/>
  <c r="O21" i="23"/>
  <c r="N21" i="23"/>
  <c r="M21" i="23"/>
  <c r="M18" i="23"/>
  <c r="M17" i="23"/>
  <c r="M16" i="23"/>
  <c r="M15" i="23"/>
  <c r="P18" i="23"/>
  <c r="O18" i="23"/>
  <c r="N18" i="23"/>
  <c r="L11" i="23"/>
  <c r="K11" i="23"/>
  <c r="J11" i="23"/>
  <c r="P17" i="23"/>
  <c r="O17" i="23"/>
  <c r="N17" i="23"/>
  <c r="L10" i="23"/>
  <c r="K10" i="23"/>
  <c r="J10" i="23"/>
  <c r="L9" i="23"/>
  <c r="K9" i="23"/>
  <c r="J9" i="23"/>
  <c r="L8" i="23"/>
  <c r="K8" i="23"/>
  <c r="J8" i="23"/>
  <c r="L7" i="23"/>
  <c r="K7" i="23"/>
  <c r="J7" i="23"/>
  <c r="P15" i="23"/>
  <c r="O15" i="23"/>
  <c r="N15" i="23"/>
  <c r="L6" i="23"/>
  <c r="K6" i="23"/>
  <c r="J6" i="23"/>
  <c r="F3" i="23"/>
  <c r="E3" i="23"/>
  <c r="D3" i="23"/>
  <c r="C3" i="23"/>
  <c r="B3" i="23"/>
  <c r="L2" i="23"/>
  <c r="K2" i="23"/>
  <c r="F2" i="23"/>
  <c r="E2" i="23"/>
  <c r="D2" i="23"/>
  <c r="C2" i="23"/>
  <c r="B2" i="23"/>
  <c r="L1" i="23"/>
  <c r="K1" i="23"/>
  <c r="H69" i="24"/>
  <c r="D69" i="24"/>
  <c r="H68" i="24"/>
  <c r="G68" i="24"/>
  <c r="G69" i="24" s="1"/>
  <c r="F68" i="24"/>
  <c r="F69" i="24" s="1"/>
  <c r="E68" i="24"/>
  <c r="E69" i="24" s="1"/>
  <c r="D68" i="24"/>
  <c r="H67" i="24"/>
  <c r="G67" i="24"/>
  <c r="F67" i="24"/>
  <c r="E67" i="24"/>
  <c r="D67" i="24"/>
  <c r="H66" i="24"/>
  <c r="G66" i="24"/>
  <c r="F66" i="24"/>
  <c r="E66" i="24"/>
  <c r="D66" i="24"/>
  <c r="H65" i="24"/>
  <c r="G65" i="24"/>
  <c r="F65" i="24"/>
  <c r="E65" i="24"/>
  <c r="D65" i="24"/>
  <c r="P22" i="24"/>
  <c r="O22" i="24"/>
  <c r="N22" i="24"/>
  <c r="M22" i="24"/>
  <c r="P21" i="24"/>
  <c r="O21" i="24"/>
  <c r="N21" i="24"/>
  <c r="M21" i="24"/>
  <c r="P20" i="24"/>
  <c r="O20" i="24"/>
  <c r="N20" i="24"/>
  <c r="M20" i="24"/>
  <c r="N19" i="24"/>
  <c r="P18" i="24"/>
  <c r="N16" i="24"/>
  <c r="N15" i="24"/>
  <c r="L11" i="24"/>
  <c r="K11" i="24"/>
  <c r="J11" i="24"/>
  <c r="L10" i="24"/>
  <c r="K10" i="24"/>
  <c r="J10" i="24"/>
  <c r="O18" i="24"/>
  <c r="N18" i="24"/>
  <c r="L9" i="24"/>
  <c r="K9" i="24"/>
  <c r="J9" i="24"/>
  <c r="P17" i="24"/>
  <c r="O17" i="24"/>
  <c r="N17" i="24"/>
  <c r="L8" i="24"/>
  <c r="K8" i="24"/>
  <c r="J8" i="24"/>
  <c r="P16" i="24"/>
  <c r="O16" i="24"/>
  <c r="L7" i="24"/>
  <c r="K7" i="24"/>
  <c r="J7" i="24"/>
  <c r="P15" i="24"/>
  <c r="O15" i="24"/>
  <c r="L6" i="24"/>
  <c r="K6" i="24"/>
  <c r="J6" i="24"/>
  <c r="F3" i="24"/>
  <c r="E3" i="24"/>
  <c r="D3" i="24"/>
  <c r="C3" i="24"/>
  <c r="B3" i="24"/>
  <c r="L2" i="24"/>
  <c r="K2" i="24"/>
  <c r="F2" i="24"/>
  <c r="E2" i="24"/>
  <c r="D2" i="24"/>
  <c r="C2" i="24"/>
  <c r="B2" i="24"/>
  <c r="L1" i="24"/>
  <c r="K1" i="24"/>
  <c r="P10" i="22"/>
  <c r="P9" i="22"/>
  <c r="O10" i="22"/>
  <c r="N10" i="22"/>
  <c r="M20" i="22"/>
  <c r="N8" i="22"/>
  <c r="N7" i="22"/>
  <c r="N6" i="22"/>
  <c r="O9" i="22"/>
  <c r="N9" i="22"/>
  <c r="P8" i="22"/>
  <c r="P7" i="22"/>
  <c r="P6" i="22"/>
  <c r="O8" i="22"/>
  <c r="O7" i="22"/>
  <c r="O6" i="22"/>
  <c r="N19" i="22"/>
  <c r="N17" i="22"/>
  <c r="N16" i="22"/>
  <c r="O15" i="22"/>
  <c r="H68" i="22"/>
  <c r="G68" i="22"/>
  <c r="F68" i="22"/>
  <c r="E68" i="22"/>
  <c r="E69" i="22" s="1"/>
  <c r="D68" i="22"/>
  <c r="H67" i="22"/>
  <c r="G67" i="22"/>
  <c r="F67" i="22"/>
  <c r="E67" i="22"/>
  <c r="D67" i="22"/>
  <c r="H66" i="22"/>
  <c r="G66" i="22"/>
  <c r="F66" i="22"/>
  <c r="E66" i="22"/>
  <c r="D66" i="22"/>
  <c r="H65" i="22"/>
  <c r="G65" i="22"/>
  <c r="F65" i="22"/>
  <c r="E65" i="22"/>
  <c r="D65" i="22"/>
  <c r="P22" i="22"/>
  <c r="O22" i="22"/>
  <c r="N22" i="22"/>
  <c r="M22" i="22"/>
  <c r="P21" i="22"/>
  <c r="O21" i="22"/>
  <c r="N21" i="22"/>
  <c r="M21" i="22"/>
  <c r="N20" i="22"/>
  <c r="L11" i="22"/>
  <c r="K11" i="22"/>
  <c r="J11" i="22"/>
  <c r="O19" i="22"/>
  <c r="L10" i="22"/>
  <c r="K10" i="22"/>
  <c r="J10" i="22"/>
  <c r="N18" i="22"/>
  <c r="L9" i="22"/>
  <c r="K9" i="22"/>
  <c r="J9" i="22"/>
  <c r="L8" i="22"/>
  <c r="K8" i="22"/>
  <c r="J8" i="22"/>
  <c r="P16" i="22"/>
  <c r="L7" i="22"/>
  <c r="K7" i="22"/>
  <c r="J7" i="22"/>
  <c r="N15" i="22"/>
  <c r="L6" i="22"/>
  <c r="K6" i="22"/>
  <c r="J6" i="22"/>
  <c r="F3" i="22"/>
  <c r="E3" i="22"/>
  <c r="D3" i="22"/>
  <c r="C3" i="22"/>
  <c r="B3" i="22"/>
  <c r="L2" i="22"/>
  <c r="K2" i="22"/>
  <c r="F2" i="22"/>
  <c r="E2" i="22"/>
  <c r="D2" i="22"/>
  <c r="C2" i="22"/>
  <c r="B2" i="22"/>
  <c r="L1" i="22"/>
  <c r="K1" i="22"/>
  <c r="P11" i="21"/>
  <c r="P10" i="21"/>
  <c r="P9" i="21"/>
  <c r="P8" i="21"/>
  <c r="P7" i="21"/>
  <c r="P6" i="21"/>
  <c r="O11" i="21"/>
  <c r="O10" i="21"/>
  <c r="P17" i="21" s="1"/>
  <c r="O9" i="21"/>
  <c r="O8" i="21"/>
  <c r="O7" i="21"/>
  <c r="O6" i="21"/>
  <c r="P15" i="21"/>
  <c r="N11" i="21"/>
  <c r="N18" i="21" s="1"/>
  <c r="N10" i="21"/>
  <c r="N9" i="21"/>
  <c r="N8" i="21"/>
  <c r="N7" i="21"/>
  <c r="N6" i="21"/>
  <c r="G69" i="21"/>
  <c r="H68" i="21"/>
  <c r="H69" i="21" s="1"/>
  <c r="G68" i="21"/>
  <c r="F68" i="21"/>
  <c r="E68" i="21"/>
  <c r="E69" i="21" s="1"/>
  <c r="D68" i="21"/>
  <c r="D69" i="21" s="1"/>
  <c r="H67" i="21"/>
  <c r="G67" i="21"/>
  <c r="F67" i="21"/>
  <c r="E67" i="21"/>
  <c r="D67" i="21"/>
  <c r="H66" i="21"/>
  <c r="G66" i="21"/>
  <c r="F66" i="21"/>
  <c r="E66" i="21"/>
  <c r="D66" i="21"/>
  <c r="H65" i="21"/>
  <c r="G65" i="21"/>
  <c r="F65" i="21"/>
  <c r="E65" i="21"/>
  <c r="D65" i="21"/>
  <c r="M18" i="21"/>
  <c r="P22" i="21"/>
  <c r="N22" i="21"/>
  <c r="M22" i="21"/>
  <c r="O21" i="21"/>
  <c r="N21" i="21"/>
  <c r="M21" i="21"/>
  <c r="L11" i="21"/>
  <c r="K11" i="21"/>
  <c r="J11" i="21"/>
  <c r="N17" i="21"/>
  <c r="M17" i="21"/>
  <c r="L10" i="21"/>
  <c r="K10" i="21"/>
  <c r="J10" i="21"/>
  <c r="L9" i="21"/>
  <c r="K9" i="21"/>
  <c r="J9" i="21"/>
  <c r="N16" i="21"/>
  <c r="M16" i="21"/>
  <c r="L8" i="21"/>
  <c r="K8" i="21"/>
  <c r="J8" i="21"/>
  <c r="L7" i="21"/>
  <c r="K7" i="21"/>
  <c r="J7" i="21"/>
  <c r="N15" i="21"/>
  <c r="M15" i="21"/>
  <c r="L6" i="21"/>
  <c r="K6" i="21"/>
  <c r="J6" i="21"/>
  <c r="F3" i="21"/>
  <c r="E3" i="21"/>
  <c r="D3" i="21"/>
  <c r="C3" i="21"/>
  <c r="B3" i="21"/>
  <c r="L2" i="21"/>
  <c r="K2" i="21"/>
  <c r="F2" i="21"/>
  <c r="E2" i="21"/>
  <c r="D2" i="21"/>
  <c r="C2" i="21"/>
  <c r="B2" i="21"/>
  <c r="L1" i="21"/>
  <c r="K1" i="21"/>
  <c r="O16" i="19"/>
  <c r="O17" i="19"/>
  <c r="O18" i="19"/>
  <c r="O19" i="19"/>
  <c r="O20" i="19"/>
  <c r="O21" i="19"/>
  <c r="O22" i="19"/>
  <c r="O15" i="19"/>
  <c r="P16" i="19"/>
  <c r="P17" i="19"/>
  <c r="P18" i="19"/>
  <c r="P19" i="19"/>
  <c r="P20" i="19"/>
  <c r="P21" i="19"/>
  <c r="P22" i="19"/>
  <c r="P15" i="19"/>
  <c r="P13" i="19"/>
  <c r="P12" i="19"/>
  <c r="P11" i="19"/>
  <c r="P10" i="19"/>
  <c r="P9" i="19"/>
  <c r="P8" i="19"/>
  <c r="P7" i="19"/>
  <c r="P6" i="19"/>
  <c r="O13" i="19"/>
  <c r="O12" i="19"/>
  <c r="O11" i="19"/>
  <c r="O10" i="19"/>
  <c r="O9" i="19"/>
  <c r="O8" i="19"/>
  <c r="O7" i="19"/>
  <c r="O6" i="19"/>
  <c r="N13" i="19"/>
  <c r="N12" i="19"/>
  <c r="N11" i="19"/>
  <c r="N10" i="19"/>
  <c r="N9" i="19"/>
  <c r="N8" i="19"/>
  <c r="N7" i="19"/>
  <c r="N6" i="19"/>
  <c r="E69" i="19"/>
  <c r="H68" i="19"/>
  <c r="H69" i="19" s="1"/>
  <c r="G68" i="19"/>
  <c r="G69" i="19" s="1"/>
  <c r="F68" i="19"/>
  <c r="F69" i="19" s="1"/>
  <c r="E68" i="19"/>
  <c r="D68" i="19"/>
  <c r="D69" i="19" s="1"/>
  <c r="H67" i="19"/>
  <c r="G67" i="19"/>
  <c r="F67" i="19"/>
  <c r="E67" i="19"/>
  <c r="D67" i="19"/>
  <c r="H66" i="19"/>
  <c r="G66" i="19"/>
  <c r="F66" i="19"/>
  <c r="E66" i="19"/>
  <c r="D66" i="19"/>
  <c r="H65" i="19"/>
  <c r="G65" i="19"/>
  <c r="F65" i="19"/>
  <c r="E65" i="19"/>
  <c r="D65" i="19"/>
  <c r="N22" i="19"/>
  <c r="M13" i="19"/>
  <c r="M22" i="19" s="1"/>
  <c r="L13" i="19"/>
  <c r="K13" i="19"/>
  <c r="J13" i="19"/>
  <c r="N21" i="19"/>
  <c r="M12" i="19"/>
  <c r="M21" i="19" s="1"/>
  <c r="L12" i="19"/>
  <c r="K12" i="19"/>
  <c r="J12" i="19"/>
  <c r="N20" i="19"/>
  <c r="M11" i="19"/>
  <c r="M20" i="19" s="1"/>
  <c r="L11" i="19"/>
  <c r="K11" i="19"/>
  <c r="J11" i="19"/>
  <c r="N19" i="19"/>
  <c r="M10" i="19"/>
  <c r="M19" i="19" s="1"/>
  <c r="L10" i="19"/>
  <c r="K10" i="19"/>
  <c r="J10" i="19"/>
  <c r="N18" i="19"/>
  <c r="M9" i="19"/>
  <c r="M18" i="19" s="1"/>
  <c r="L9" i="19"/>
  <c r="K9" i="19"/>
  <c r="J9" i="19"/>
  <c r="N17" i="19"/>
  <c r="M8" i="19"/>
  <c r="M17" i="19" s="1"/>
  <c r="L8" i="19"/>
  <c r="K8" i="19"/>
  <c r="J8" i="19"/>
  <c r="N16" i="19"/>
  <c r="M7" i="19"/>
  <c r="M16" i="19" s="1"/>
  <c r="L7" i="19"/>
  <c r="K7" i="19"/>
  <c r="J7" i="19"/>
  <c r="N15" i="19"/>
  <c r="M6" i="19"/>
  <c r="M15" i="19" s="1"/>
  <c r="L6" i="19"/>
  <c r="K6" i="19"/>
  <c r="J6" i="19"/>
  <c r="F3" i="19"/>
  <c r="E3" i="19"/>
  <c r="D3" i="19"/>
  <c r="C3" i="19"/>
  <c r="B3" i="19"/>
  <c r="L2" i="19"/>
  <c r="K2" i="19"/>
  <c r="F2" i="19"/>
  <c r="E2" i="19"/>
  <c r="D2" i="19"/>
  <c r="C2" i="19"/>
  <c r="B2" i="19"/>
  <c r="L1" i="19"/>
  <c r="K1" i="19"/>
  <c r="M16" i="17"/>
  <c r="N16" i="17"/>
  <c r="O16" i="17"/>
  <c r="P16" i="17"/>
  <c r="M17" i="17"/>
  <c r="N17" i="17"/>
  <c r="O17" i="17"/>
  <c r="P17" i="17"/>
  <c r="M18" i="17"/>
  <c r="N18" i="17"/>
  <c r="O18" i="17"/>
  <c r="P18" i="17"/>
  <c r="M19" i="17"/>
  <c r="N19" i="17"/>
  <c r="O19" i="17"/>
  <c r="P19" i="17"/>
  <c r="M20" i="17"/>
  <c r="N20" i="17"/>
  <c r="O20" i="17"/>
  <c r="P20" i="17"/>
  <c r="M21" i="17"/>
  <c r="N21" i="17"/>
  <c r="O21" i="17"/>
  <c r="P21" i="17"/>
  <c r="M22" i="17"/>
  <c r="N22" i="17"/>
  <c r="O22" i="17"/>
  <c r="P22" i="17"/>
  <c r="P15" i="17"/>
  <c r="O15" i="17"/>
  <c r="N15" i="17"/>
  <c r="M15" i="17"/>
  <c r="M7" i="17"/>
  <c r="J7" i="17"/>
  <c r="K7" i="17"/>
  <c r="L7" i="17"/>
  <c r="P7" i="17"/>
  <c r="N7" i="17"/>
  <c r="O7" i="17"/>
  <c r="Q7" i="17"/>
  <c r="M8" i="17"/>
  <c r="J8" i="17"/>
  <c r="K8" i="17"/>
  <c r="L8" i="17"/>
  <c r="P8" i="17"/>
  <c r="N8" i="17"/>
  <c r="O8" i="17"/>
  <c r="Q8" i="17"/>
  <c r="M9" i="17"/>
  <c r="J9" i="17"/>
  <c r="K9" i="17"/>
  <c r="L9" i="17"/>
  <c r="P9" i="17"/>
  <c r="N9" i="17"/>
  <c r="O9" i="17"/>
  <c r="Q9" i="17"/>
  <c r="M10" i="17"/>
  <c r="J10" i="17"/>
  <c r="K10" i="17"/>
  <c r="L10" i="17"/>
  <c r="P10" i="17"/>
  <c r="N10" i="17"/>
  <c r="O10" i="17"/>
  <c r="Q10" i="17"/>
  <c r="M11" i="17"/>
  <c r="J11" i="17"/>
  <c r="K11" i="17"/>
  <c r="L11" i="17"/>
  <c r="P11" i="17"/>
  <c r="N11" i="17"/>
  <c r="O11" i="17"/>
  <c r="Q11" i="17"/>
  <c r="M12" i="17"/>
  <c r="J12" i="17"/>
  <c r="K12" i="17"/>
  <c r="L12" i="17"/>
  <c r="P12" i="17"/>
  <c r="N12" i="17"/>
  <c r="O12" i="17"/>
  <c r="Q12" i="17"/>
  <c r="M13" i="17"/>
  <c r="J13" i="17"/>
  <c r="K13" i="17"/>
  <c r="L13" i="17"/>
  <c r="P13" i="17"/>
  <c r="N13" i="17"/>
  <c r="O13" i="17"/>
  <c r="Q6" i="17"/>
  <c r="N6" i="17"/>
  <c r="P6" i="17"/>
  <c r="O6" i="17"/>
  <c r="L2" i="17"/>
  <c r="L1" i="17"/>
  <c r="K1" i="17"/>
  <c r="K2" i="17"/>
  <c r="K6" i="17"/>
  <c r="L6" i="17"/>
  <c r="J6" i="17"/>
  <c r="M6" i="17"/>
  <c r="H69" i="18"/>
  <c r="H68" i="18"/>
  <c r="G68" i="18"/>
  <c r="F68" i="18"/>
  <c r="F69" i="18" s="1"/>
  <c r="E68" i="18"/>
  <c r="E69" i="18" s="1"/>
  <c r="D68" i="18"/>
  <c r="H67" i="18"/>
  <c r="G67" i="18"/>
  <c r="F67" i="18"/>
  <c r="E67" i="18"/>
  <c r="D67" i="18"/>
  <c r="D69" i="18" s="1"/>
  <c r="H66" i="18"/>
  <c r="G66" i="18"/>
  <c r="F66" i="18"/>
  <c r="E66" i="18"/>
  <c r="D66" i="18"/>
  <c r="H65" i="18"/>
  <c r="G65" i="18"/>
  <c r="F65" i="18"/>
  <c r="E65" i="18"/>
  <c r="D65" i="18"/>
  <c r="F3" i="18"/>
  <c r="E3" i="18"/>
  <c r="D3" i="18"/>
  <c r="C3" i="18"/>
  <c r="B3" i="18"/>
  <c r="F2" i="18"/>
  <c r="E2" i="18"/>
  <c r="D2" i="18"/>
  <c r="C2" i="18"/>
  <c r="B2" i="18"/>
  <c r="Q14" i="28" l="1"/>
  <c r="R13" i="28"/>
  <c r="D72" i="26"/>
  <c r="H72" i="26"/>
  <c r="F72" i="26"/>
  <c r="G72" i="26"/>
  <c r="Q6" i="6"/>
  <c r="S6" i="6" s="1"/>
  <c r="P19" i="24"/>
  <c r="P16" i="23"/>
  <c r="O16" i="23"/>
  <c r="D69" i="22"/>
  <c r="P18" i="22"/>
  <c r="P20" i="22"/>
  <c r="H69" i="22"/>
  <c r="O17" i="22"/>
  <c r="P15" i="22"/>
  <c r="P17" i="22"/>
  <c r="P19" i="22"/>
  <c r="F69" i="22"/>
  <c r="O16" i="22"/>
  <c r="O18" i="22"/>
  <c r="O20" i="22"/>
  <c r="G69" i="22"/>
  <c r="P18" i="21"/>
  <c r="O18" i="21"/>
  <c r="O16" i="21"/>
  <c r="F69" i="21"/>
  <c r="O22" i="21"/>
  <c r="O15" i="21"/>
  <c r="O17" i="21"/>
  <c r="P16" i="21"/>
  <c r="P21" i="21"/>
  <c r="G69" i="18"/>
  <c r="H3" i="15"/>
  <c r="G2" i="15"/>
  <c r="B2" i="15"/>
  <c r="H68" i="17"/>
  <c r="G68" i="17"/>
  <c r="F68" i="17"/>
  <c r="E68" i="17"/>
  <c r="D68" i="17"/>
  <c r="H67" i="17"/>
  <c r="G67" i="17"/>
  <c r="F67" i="17"/>
  <c r="E67" i="17"/>
  <c r="D67" i="17"/>
  <c r="H66" i="17"/>
  <c r="G66" i="17"/>
  <c r="F66" i="17"/>
  <c r="E66" i="17"/>
  <c r="D66" i="17"/>
  <c r="H65" i="17"/>
  <c r="G65" i="17"/>
  <c r="F65" i="17"/>
  <c r="E65" i="17"/>
  <c r="D65" i="17"/>
  <c r="F3" i="17"/>
  <c r="E3" i="17"/>
  <c r="D3" i="17"/>
  <c r="C3" i="17"/>
  <c r="B3" i="17"/>
  <c r="F2" i="17"/>
  <c r="E2" i="17"/>
  <c r="D2" i="17"/>
  <c r="C2" i="17"/>
  <c r="B2" i="17"/>
  <c r="H68" i="16"/>
  <c r="G68" i="16"/>
  <c r="F68" i="16"/>
  <c r="E68" i="16"/>
  <c r="D68" i="16"/>
  <c r="H67" i="16"/>
  <c r="G67" i="16"/>
  <c r="F67" i="16"/>
  <c r="E67" i="16"/>
  <c r="D67" i="16"/>
  <c r="H66" i="16"/>
  <c r="G66" i="16"/>
  <c r="F66" i="16"/>
  <c r="E66" i="16"/>
  <c r="D66" i="16"/>
  <c r="H65" i="16"/>
  <c r="G65" i="16"/>
  <c r="F65" i="16"/>
  <c r="E65" i="16"/>
  <c r="D65" i="16"/>
  <c r="F3" i="16"/>
  <c r="E3" i="16"/>
  <c r="D3" i="16"/>
  <c r="C3" i="16"/>
  <c r="B3" i="16"/>
  <c r="F2" i="16"/>
  <c r="E2" i="16"/>
  <c r="D2" i="16"/>
  <c r="C2" i="16"/>
  <c r="B2" i="16"/>
  <c r="Q15" i="28" l="1"/>
  <c r="R15" i="28" s="1"/>
  <c r="R14" i="28"/>
  <c r="D69" i="16"/>
  <c r="H69" i="16"/>
  <c r="H69" i="17"/>
  <c r="D69" i="17"/>
  <c r="E69" i="17"/>
  <c r="F69" i="17"/>
  <c r="G69" i="17"/>
  <c r="F69" i="16"/>
  <c r="E69" i="16"/>
  <c r="G69" i="16"/>
  <c r="B3" i="15"/>
  <c r="C2" i="15"/>
  <c r="C3" i="15"/>
  <c r="D3" i="15"/>
  <c r="E3" i="15"/>
  <c r="F3" i="15"/>
  <c r="F2" i="15"/>
  <c r="E2" i="15"/>
  <c r="D2" i="15"/>
  <c r="H68" i="15"/>
  <c r="G68" i="15"/>
  <c r="F68" i="15"/>
  <c r="E68" i="15"/>
  <c r="D68" i="15"/>
  <c r="H67" i="15"/>
  <c r="G67" i="15"/>
  <c r="F67" i="15"/>
  <c r="E67" i="15"/>
  <c r="D67" i="15"/>
  <c r="H66" i="15"/>
  <c r="G66" i="15"/>
  <c r="F66" i="15"/>
  <c r="E66" i="15"/>
  <c r="D66" i="15"/>
  <c r="H65" i="15"/>
  <c r="G65" i="15"/>
  <c r="F65" i="15"/>
  <c r="E65" i="15"/>
  <c r="D65" i="15"/>
  <c r="E69" i="15" l="1"/>
  <c r="F69" i="15"/>
  <c r="G69" i="15"/>
  <c r="D69" i="15"/>
  <c r="H69" i="15"/>
  <c r="L7" i="9" l="1"/>
  <c r="L6" i="9"/>
  <c r="J3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6" i="9"/>
  <c r="J2" i="9"/>
  <c r="J1" i="9"/>
  <c r="M7" i="7"/>
  <c r="H25" i="9"/>
  <c r="G25" i="9"/>
  <c r="F25" i="9"/>
  <c r="E25" i="9"/>
  <c r="D25" i="9"/>
  <c r="H24" i="9"/>
  <c r="G24" i="9"/>
  <c r="F24" i="9"/>
  <c r="E24" i="9"/>
  <c r="D24" i="9"/>
  <c r="H23" i="9"/>
  <c r="G23" i="9"/>
  <c r="F23" i="9"/>
  <c r="E23" i="9"/>
  <c r="D23" i="9"/>
  <c r="H22" i="9"/>
  <c r="G22" i="9"/>
  <c r="F22" i="9"/>
  <c r="E22" i="9"/>
  <c r="D22" i="9"/>
  <c r="J4" i="8"/>
  <c r="J5" i="8"/>
  <c r="J20" i="8" s="1"/>
  <c r="M2" i="8" s="1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3" i="8"/>
  <c r="K3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3" i="8"/>
  <c r="K20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G21" i="8"/>
  <c r="H21" i="8"/>
  <c r="G22" i="8"/>
  <c r="H22" i="8"/>
  <c r="G23" i="8"/>
  <c r="H23" i="8"/>
  <c r="G24" i="8"/>
  <c r="G25" i="8" s="1"/>
  <c r="H24" i="8"/>
  <c r="H25" i="8" s="1"/>
  <c r="E23" i="8"/>
  <c r="F23" i="8"/>
  <c r="E24" i="8"/>
  <c r="F24" i="8"/>
  <c r="E25" i="8"/>
  <c r="F25" i="8"/>
  <c r="D25" i="8"/>
  <c r="D24" i="8"/>
  <c r="D23" i="8"/>
  <c r="E21" i="8"/>
  <c r="F21" i="8"/>
  <c r="E22" i="8"/>
  <c r="F22" i="8"/>
  <c r="D22" i="8"/>
  <c r="D21" i="8"/>
  <c r="E26" i="9" l="1"/>
  <c r="D26" i="9"/>
  <c r="H26" i="9"/>
  <c r="G26" i="9"/>
  <c r="F26" i="9"/>
  <c r="M6" i="8"/>
  <c r="M10" i="8"/>
  <c r="M14" i="8"/>
  <c r="M18" i="8"/>
  <c r="M7" i="8"/>
  <c r="M11" i="8"/>
  <c r="M15" i="8"/>
  <c r="M19" i="8"/>
  <c r="M4" i="8"/>
  <c r="M8" i="8"/>
  <c r="M12" i="8"/>
  <c r="M16" i="8"/>
  <c r="M3" i="8"/>
  <c r="M5" i="8"/>
  <c r="M9" i="8"/>
  <c r="M13" i="8"/>
  <c r="M17" i="8"/>
  <c r="J20" i="7" l="1"/>
  <c r="I18" i="7" s="1"/>
  <c r="E16" i="7"/>
  <c r="E19" i="7" s="1"/>
  <c r="D16" i="7"/>
  <c r="D18" i="7" s="1"/>
  <c r="G18" i="7" s="1"/>
  <c r="F15" i="7"/>
  <c r="F16" i="7" s="1"/>
  <c r="F19" i="7" s="1"/>
  <c r="D6" i="7"/>
  <c r="D8" i="7" s="1"/>
  <c r="G8" i="7" s="1"/>
  <c r="I8" i="7" s="1"/>
  <c r="E6" i="7"/>
  <c r="C9" i="7"/>
  <c r="C19" i="7" s="1"/>
  <c r="K19" i="7" s="1"/>
  <c r="C8" i="7"/>
  <c r="C18" i="7" s="1"/>
  <c r="K18" i="7" s="1"/>
  <c r="C7" i="7"/>
  <c r="J7" i="7" s="1"/>
  <c r="B5" i="7"/>
  <c r="I19" i="7" l="1"/>
  <c r="I17" i="7"/>
  <c r="D17" i="7"/>
  <c r="E17" i="7"/>
  <c r="G17" i="7" s="1"/>
  <c r="G19" i="7"/>
  <c r="D7" i="7"/>
  <c r="C17" i="7"/>
  <c r="K17" i="7" s="1"/>
  <c r="E7" i="7"/>
  <c r="E9" i="7"/>
  <c r="G20" i="7" l="1"/>
  <c r="G7" i="7"/>
  <c r="F6" i="7"/>
  <c r="F9" i="7" s="1"/>
  <c r="G9" i="7" s="1"/>
  <c r="I9" i="7" s="1"/>
  <c r="K20" i="7"/>
  <c r="H1" i="7" l="1"/>
  <c r="H8" i="7" s="1"/>
  <c r="J8" i="7" s="1"/>
  <c r="I7" i="7"/>
  <c r="H17" i="7"/>
  <c r="M17" i="7" s="1"/>
  <c r="H18" i="7"/>
  <c r="M18" i="7" s="1"/>
  <c r="H19" i="7"/>
  <c r="M19" i="7" s="1"/>
  <c r="H9" i="7"/>
  <c r="J9" i="7" s="1"/>
  <c r="J10" i="7" s="1"/>
  <c r="K7" i="7" s="1"/>
  <c r="L19" i="7"/>
  <c r="L18" i="7"/>
  <c r="L17" i="7"/>
  <c r="D16" i="6"/>
  <c r="D15" i="6"/>
  <c r="F16" i="6"/>
  <c r="F15" i="6"/>
  <c r="M15" i="7" l="1"/>
  <c r="K8" i="7"/>
  <c r="K9" i="7"/>
  <c r="F17" i="6"/>
  <c r="G15" i="6" l="1"/>
  <c r="I15" i="6" s="1"/>
  <c r="F7" i="6"/>
  <c r="F8" i="6" s="1"/>
  <c r="G6" i="6" s="1"/>
  <c r="F6" i="6"/>
  <c r="D6" i="6"/>
  <c r="D7" i="6"/>
  <c r="I6" i="6" l="1"/>
  <c r="D124" i="1"/>
  <c r="D119" i="1"/>
  <c r="D115" i="1"/>
  <c r="D93" i="1"/>
  <c r="D90" i="1"/>
  <c r="D79" i="1"/>
  <c r="D76" i="1"/>
  <c r="D67" i="1"/>
  <c r="D43" i="1"/>
  <c r="D41" i="1"/>
  <c r="D36" i="1"/>
  <c r="D35" i="1"/>
</calcChain>
</file>

<file path=xl/sharedStrings.xml><?xml version="1.0" encoding="utf-8"?>
<sst xmlns="http://schemas.openxmlformats.org/spreadsheetml/2006/main" count="1468" uniqueCount="515">
  <si>
    <t>Table of Standard Atomic Weights 2013</t>
  </si>
  <si>
    <r>
      <t xml:space="preserve">[Scaled to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>(</t>
    </r>
    <r>
      <rPr>
        <vertAlign val="superscript"/>
        <sz val="11"/>
        <color indexed="8"/>
        <rFont val="Arial"/>
        <family val="2"/>
      </rPr>
      <t>12</t>
    </r>
    <r>
      <rPr>
        <sz val="11"/>
        <color indexed="8"/>
        <rFont val="Arial"/>
        <family val="2"/>
      </rPr>
      <t xml:space="preserve">C) = 12 as reference, where </t>
    </r>
    <r>
      <rPr>
        <vertAlign val="superscript"/>
        <sz val="11"/>
        <color indexed="8"/>
        <rFont val="Arial"/>
        <family val="2"/>
      </rPr>
      <t>12</t>
    </r>
    <r>
      <rPr>
        <sz val="11"/>
        <color indexed="8"/>
        <rFont val="Arial"/>
        <family val="2"/>
      </rPr>
      <t xml:space="preserve">C is a neutral atom in its nuclear and electronic ground state.] </t>
    </r>
  </si>
  <si>
    <r>
      <t xml:space="preserve">The atomic weights,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>(E),  of many elements are not invariant, but depend on the origin and treatment of the material.</t>
    </r>
  </si>
  <si>
    <t xml:space="preserve">The standard atomic weight values and the uncertainties (in parentheses, following the last significant digit to which </t>
  </si>
  <si>
    <t xml:space="preserve">they are attributed) apply to elements from normal materials, where a normal material is a reasonably possible source </t>
  </si>
  <si>
    <t xml:space="preserve">for an element or its compounds in commerce, for industry or science; the material is not itself studied for some </t>
  </si>
  <si>
    <t xml:space="preserve">extraordinary anomaly and its isotopic composition has not been modified significantly in a geologically brief period </t>
  </si>
  <si>
    <t>(Wieser et al., 2011). The last significant figure of each tabulated value is considered reliable to ±1 except when a larger</t>
  </si>
  <si>
    <t xml:space="preserve">single digit uncertainty is inserted in parentheses following the atomic weight. For 12 of these elements, the standard </t>
  </si>
  <si>
    <r>
      <t>atomic weight is given as an atomic-weight interval with the symbol [</t>
    </r>
    <r>
      <rPr>
        <i/>
        <sz val="11"/>
        <color indexed="8"/>
        <rFont val="Arial"/>
        <family val="2"/>
      </rPr>
      <t>a</t>
    </r>
    <r>
      <rPr>
        <sz val="11"/>
        <color indexed="8"/>
        <rFont val="Arial"/>
        <family val="2"/>
      </rPr>
      <t xml:space="preserve">, </t>
    </r>
    <r>
      <rPr>
        <i/>
        <sz val="11"/>
        <color indexed="8"/>
        <rFont val="Arial"/>
        <family val="2"/>
      </rPr>
      <t>b</t>
    </r>
    <r>
      <rPr>
        <sz val="11"/>
        <color indexed="8"/>
        <rFont val="Arial"/>
        <family val="2"/>
      </rPr>
      <t>] to denote the set of atomic-weight values in</t>
    </r>
  </si>
  <si>
    <r>
      <t xml:space="preserve">normal materials; thus, a ≤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(E) ≤ b. The symbols </t>
    </r>
    <r>
      <rPr>
        <i/>
        <sz val="11"/>
        <color indexed="8"/>
        <rFont val="Arial"/>
        <family val="2"/>
      </rPr>
      <t>a</t>
    </r>
    <r>
      <rPr>
        <sz val="11"/>
        <color indexed="8"/>
        <rFont val="Arial"/>
        <family val="2"/>
      </rPr>
      <t xml:space="preserve"> and </t>
    </r>
    <r>
      <rPr>
        <i/>
        <sz val="11"/>
        <color indexed="8"/>
        <rFont val="Arial"/>
        <family val="2"/>
      </rPr>
      <t>b</t>
    </r>
    <r>
      <rPr>
        <sz val="11"/>
        <color indexed="8"/>
        <rFont val="Arial"/>
        <family val="2"/>
      </rPr>
      <t xml:space="preserve"> denote the lower and upper bounds of the interval [</t>
    </r>
    <r>
      <rPr>
        <i/>
        <sz val="11"/>
        <color indexed="8"/>
        <rFont val="Arial"/>
        <family val="2"/>
      </rPr>
      <t>a</t>
    </r>
    <r>
      <rPr>
        <sz val="11"/>
        <color indexed="8"/>
        <rFont val="Arial"/>
        <family val="2"/>
      </rPr>
      <t xml:space="preserve">, </t>
    </r>
    <r>
      <rPr>
        <i/>
        <sz val="11"/>
        <color indexed="8"/>
        <rFont val="Arial"/>
        <family val="2"/>
      </rPr>
      <t>b</t>
    </r>
    <r>
      <rPr>
        <sz val="11"/>
        <color indexed="8"/>
        <rFont val="Arial"/>
        <family val="2"/>
      </rPr>
      <t>],</t>
    </r>
  </si>
  <si>
    <r>
      <t xml:space="preserve">respectively. If a more accurate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>(E) value for a specific material is required, it should be determined. For 72 elements,</t>
    </r>
  </si>
  <si>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(E) values and their evaluated uncertainties (in parentheses, following the last significant digit to which they are </t>
    </r>
  </si>
  <si>
    <t xml:space="preserve">and attributed) are given. The footnotes to this table elaborate the types of variation that may occur for individual </t>
  </si>
  <si>
    <r>
      <t xml:space="preserve">elements that may be larger than the listed uncertainties of values of </t>
    </r>
    <r>
      <rPr>
        <i/>
        <sz val="11"/>
        <color indexed="8"/>
        <rFont val="Arial"/>
        <family val="2"/>
      </rPr>
      <t>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>(E) or may lie outside the values listed. Names</t>
    </r>
  </si>
  <si>
    <t xml:space="preserve">of elements with atomic number 113, 115, 117, and 118 are provisional; they have been reported in the peer-reviewed, </t>
  </si>
  <si>
    <t>scientific literature, but they have not been named by IUPAC.</t>
  </si>
  <si>
    <t>Alphabetic Order in English</t>
  </si>
  <si>
    <t>Unabridged table</t>
  </si>
  <si>
    <t>Abridged to five    significant digits</t>
  </si>
  <si>
    <t>Element name</t>
  </si>
  <si>
    <t>Symbol</t>
  </si>
  <si>
    <t>Atomic number</t>
  </si>
  <si>
    <t>Standard atomic weight</t>
  </si>
  <si>
    <t>Footnotes</t>
  </si>
  <si>
    <t>actinium*</t>
  </si>
  <si>
    <t>Ac</t>
  </si>
  <si>
    <t xml:space="preserve"> </t>
  </si>
  <si>
    <t>aluminium (aluminum)</t>
  </si>
  <si>
    <t>Al</t>
  </si>
  <si>
    <t>26.981 5385(7)</t>
  </si>
  <si>
    <t>americium*</t>
  </si>
  <si>
    <t>Am</t>
  </si>
  <si>
    <t>antimony</t>
  </si>
  <si>
    <t>Sb</t>
  </si>
  <si>
    <t>121.760(1)</t>
  </si>
  <si>
    <t>g</t>
  </si>
  <si>
    <t>argon</t>
  </si>
  <si>
    <t>Ar</t>
  </si>
  <si>
    <t>39.948(1)</t>
  </si>
  <si>
    <t>g r</t>
  </si>
  <si>
    <t>arsenic</t>
  </si>
  <si>
    <t>As</t>
  </si>
  <si>
    <t>74.921 595(6)</t>
  </si>
  <si>
    <t>astatine*</t>
  </si>
  <si>
    <t>At</t>
  </si>
  <si>
    <t>barium</t>
  </si>
  <si>
    <t>Ba</t>
  </si>
  <si>
    <t>137.327(7)</t>
  </si>
  <si>
    <t>berkelium*</t>
  </si>
  <si>
    <t>Bk</t>
  </si>
  <si>
    <t>beryllium</t>
  </si>
  <si>
    <t>Be</t>
  </si>
  <si>
    <t>9.012 1831(5)</t>
  </si>
  <si>
    <t>bismuth*</t>
  </si>
  <si>
    <t>Bi</t>
  </si>
  <si>
    <t xml:space="preserve">208.980 40(1) </t>
  </si>
  <si>
    <t>bohrium*</t>
  </si>
  <si>
    <t>Bh</t>
  </si>
  <si>
    <t>boron</t>
  </si>
  <si>
    <t>B</t>
  </si>
  <si>
    <t>[10.806, 10.821]</t>
  </si>
  <si>
    <t>m</t>
  </si>
  <si>
    <t>10.806</t>
  </si>
  <si>
    <t>bromine</t>
  </si>
  <si>
    <t>Br</t>
  </si>
  <si>
    <t>[79.901, 79.907]</t>
  </si>
  <si>
    <t>79.901</t>
  </si>
  <si>
    <t>cadmium</t>
  </si>
  <si>
    <t>Cd</t>
  </si>
  <si>
    <t>112.414(4)</t>
  </si>
  <si>
    <t>caesium (cesium)</t>
  </si>
  <si>
    <t>Cs</t>
  </si>
  <si>
    <t>132.905 451 96(6)</t>
  </si>
  <si>
    <t>calcium</t>
  </si>
  <si>
    <t>Ca</t>
  </si>
  <si>
    <t>40.078(4)</t>
  </si>
  <si>
    <t>40.078</t>
  </si>
  <si>
    <t>californium*</t>
  </si>
  <si>
    <t>Cf</t>
  </si>
  <si>
    <t>carbon</t>
  </si>
  <si>
    <t>C</t>
  </si>
  <si>
    <t>[12.0096, 12.0116]</t>
  </si>
  <si>
    <t>12.009</t>
  </si>
  <si>
    <t>cerium</t>
  </si>
  <si>
    <t>Ce</t>
  </si>
  <si>
    <t>140.116(1)</t>
  </si>
  <si>
    <t>chlorine</t>
  </si>
  <si>
    <t>Cl</t>
  </si>
  <si>
    <t>[35.446, 35.457]</t>
  </si>
  <si>
    <t>35.446</t>
  </si>
  <si>
    <t>chromium</t>
  </si>
  <si>
    <t>Cr</t>
  </si>
  <si>
    <t>51.9961(6)</t>
  </si>
  <si>
    <t>cobalt</t>
  </si>
  <si>
    <t>Co</t>
  </si>
  <si>
    <t>58.933 194(4)</t>
  </si>
  <si>
    <t>copernicium*</t>
  </si>
  <si>
    <t>Cn</t>
  </si>
  <si>
    <t>copper</t>
  </si>
  <si>
    <t>Cu</t>
  </si>
  <si>
    <t>63.546(3)</t>
  </si>
  <si>
    <t>r</t>
  </si>
  <si>
    <t>63.546</t>
  </si>
  <si>
    <t>curium*</t>
  </si>
  <si>
    <t>Cm</t>
  </si>
  <si>
    <t>darmstadtium*</t>
  </si>
  <si>
    <t>Ds</t>
  </si>
  <si>
    <t>dubnium*</t>
  </si>
  <si>
    <t>Db</t>
  </si>
  <si>
    <t>dysprosium</t>
  </si>
  <si>
    <t>Dy</t>
  </si>
  <si>
    <t>162.500(1)</t>
  </si>
  <si>
    <t>162.50</t>
  </si>
  <si>
    <t>einsteinium*</t>
  </si>
  <si>
    <t>Es</t>
  </si>
  <si>
    <t>erbium</t>
  </si>
  <si>
    <t>Er</t>
  </si>
  <si>
    <t>167.259(3)</t>
  </si>
  <si>
    <t>europium</t>
  </si>
  <si>
    <t>Eu</t>
  </si>
  <si>
    <t>151.964(1)</t>
  </si>
  <si>
    <t>fermium*</t>
  </si>
  <si>
    <t>Fm</t>
  </si>
  <si>
    <t>flerovium*</t>
  </si>
  <si>
    <t>Fl</t>
  </si>
  <si>
    <t>fluorine</t>
  </si>
  <si>
    <t>F</t>
  </si>
  <si>
    <t>18.998 403 163(6)</t>
  </si>
  <si>
    <t>francium*</t>
  </si>
  <si>
    <t>Fr</t>
  </si>
  <si>
    <t>gadolinium</t>
  </si>
  <si>
    <t>Gd</t>
  </si>
  <si>
    <t>157.25(3)</t>
  </si>
  <si>
    <t>157.25</t>
  </si>
  <si>
    <t>gallium</t>
  </si>
  <si>
    <t>Ga</t>
  </si>
  <si>
    <t>69.723(1)</t>
  </si>
  <si>
    <t>germanium</t>
  </si>
  <si>
    <t>Ge</t>
  </si>
  <si>
    <t>72.630(8)</t>
  </si>
  <si>
    <t>72.630</t>
  </si>
  <si>
    <t>gold</t>
  </si>
  <si>
    <t>Au</t>
  </si>
  <si>
    <t>196.966 569(5)</t>
  </si>
  <si>
    <t>hafnium</t>
  </si>
  <si>
    <t>Hf</t>
  </si>
  <si>
    <t>178.49(2)</t>
  </si>
  <si>
    <t>178.49</t>
  </si>
  <si>
    <t>hassium*</t>
  </si>
  <si>
    <t>Hs</t>
  </si>
  <si>
    <t>helium</t>
  </si>
  <si>
    <t>He</t>
  </si>
  <si>
    <t>4.002 602(2)</t>
  </si>
  <si>
    <t>holmium</t>
  </si>
  <si>
    <t>Ho</t>
  </si>
  <si>
    <t>164.930 33(2)</t>
  </si>
  <si>
    <t>hydrogen</t>
  </si>
  <si>
    <t>H</t>
  </si>
  <si>
    <t>[1.007 84, 1.008 11]</t>
  </si>
  <si>
    <t>1.0078</t>
  </si>
  <si>
    <t xml:space="preserve">m </t>
  </si>
  <si>
    <t>indium</t>
  </si>
  <si>
    <t>In</t>
  </si>
  <si>
    <t>114.818(1)</t>
  </si>
  <si>
    <t>iodine</t>
  </si>
  <si>
    <t>I</t>
  </si>
  <si>
    <t>126.904 47(3)</t>
  </si>
  <si>
    <t>126.90</t>
  </si>
  <si>
    <t>iridium</t>
  </si>
  <si>
    <t>Ir</t>
  </si>
  <si>
    <t>192.217(3)</t>
  </si>
  <si>
    <t>iron</t>
  </si>
  <si>
    <t>Fe</t>
  </si>
  <si>
    <t>55.845(2)</t>
  </si>
  <si>
    <t>55.845</t>
  </si>
  <si>
    <t>krypton</t>
  </si>
  <si>
    <t>Kr</t>
  </si>
  <si>
    <t>83.798(2)</t>
  </si>
  <si>
    <t>g m</t>
  </si>
  <si>
    <t>83.798</t>
  </si>
  <si>
    <t>lanthanum</t>
  </si>
  <si>
    <t>La</t>
  </si>
  <si>
    <t>138.905 47(7)</t>
  </si>
  <si>
    <t>lawrencium*</t>
  </si>
  <si>
    <t>Lr</t>
  </si>
  <si>
    <t>lead</t>
  </si>
  <si>
    <t>Pb</t>
  </si>
  <si>
    <t>207.2(1)</t>
  </si>
  <si>
    <t>lithium</t>
  </si>
  <si>
    <t>Li</t>
  </si>
  <si>
    <t>[6.938, 6.997]</t>
  </si>
  <si>
    <t>6.938</t>
  </si>
  <si>
    <t>livermorium*</t>
  </si>
  <si>
    <t>Lv</t>
  </si>
  <si>
    <t>lutetium</t>
  </si>
  <si>
    <t>Lu</t>
  </si>
  <si>
    <t>174.9668(1)</t>
  </si>
  <si>
    <t>magnesium</t>
  </si>
  <si>
    <t>Mg</t>
  </si>
  <si>
    <t>[24.304, 24.307]</t>
  </si>
  <si>
    <t>24.304</t>
  </si>
  <si>
    <t>manganese</t>
  </si>
  <si>
    <t>Mn</t>
  </si>
  <si>
    <t>54.938 044(3)</t>
  </si>
  <si>
    <t>meitnerium*</t>
  </si>
  <si>
    <t>Mt</t>
  </si>
  <si>
    <t>mendelevium*</t>
  </si>
  <si>
    <t>Md</t>
  </si>
  <si>
    <t>mercury</t>
  </si>
  <si>
    <t>Hg</t>
  </si>
  <si>
    <t>200.592(3)</t>
  </si>
  <si>
    <t>200.59</t>
  </si>
  <si>
    <t>molybdenum</t>
  </si>
  <si>
    <t>Mo</t>
  </si>
  <si>
    <t>95.95(1)</t>
  </si>
  <si>
    <t>95.95</t>
  </si>
  <si>
    <t>neodymium</t>
  </si>
  <si>
    <t>Nd</t>
  </si>
  <si>
    <t>144.242(3)</t>
  </si>
  <si>
    <t>neon</t>
  </si>
  <si>
    <t>Ne</t>
  </si>
  <si>
    <t>20.1797(6)</t>
  </si>
  <si>
    <t xml:space="preserve">g m </t>
  </si>
  <si>
    <t>20.180</t>
  </si>
  <si>
    <t>neptunium*</t>
  </si>
  <si>
    <t>Np</t>
  </si>
  <si>
    <t>nickel</t>
  </si>
  <si>
    <t>Ni</t>
  </si>
  <si>
    <t>58.6934(4)</t>
  </si>
  <si>
    <t>niobium</t>
  </si>
  <si>
    <t>Nb</t>
  </si>
  <si>
    <t>92.906 37(2)</t>
  </si>
  <si>
    <t>92.906</t>
  </si>
  <si>
    <t>nitrogen</t>
  </si>
  <si>
    <t>N</t>
  </si>
  <si>
    <t>[14.006 43, 14.007 28]</t>
  </si>
  <si>
    <t xml:space="preserve">  </t>
  </si>
  <si>
    <t>14.006</t>
  </si>
  <si>
    <t>nobelium*</t>
  </si>
  <si>
    <t>No</t>
  </si>
  <si>
    <t>osmium</t>
  </si>
  <si>
    <t>Os</t>
  </si>
  <si>
    <t>190.23(3)</t>
  </si>
  <si>
    <t>190.23</t>
  </si>
  <si>
    <t>oxygen</t>
  </si>
  <si>
    <t>O</t>
  </si>
  <si>
    <t>[15.999 03, 15.999 77]</t>
  </si>
  <si>
    <t>15.999</t>
  </si>
  <si>
    <t>palladium</t>
  </si>
  <si>
    <t>Pd</t>
  </si>
  <si>
    <t>106.42(1)</t>
  </si>
  <si>
    <t>phosphorus</t>
  </si>
  <si>
    <t>P</t>
  </si>
  <si>
    <t>30.973 761 998(5)</t>
  </si>
  <si>
    <t>platinum</t>
  </si>
  <si>
    <t>Pt</t>
  </si>
  <si>
    <t>195.084(9)</t>
  </si>
  <si>
    <t>plutonium*</t>
  </si>
  <si>
    <t>Pu</t>
  </si>
  <si>
    <t>polonium*</t>
  </si>
  <si>
    <t xml:space="preserve">Po </t>
  </si>
  <si>
    <t>potassium</t>
  </si>
  <si>
    <t>K</t>
  </si>
  <si>
    <t>39.0983(1)</t>
  </si>
  <si>
    <t>praseodymium</t>
  </si>
  <si>
    <t>Pr</t>
  </si>
  <si>
    <t>140.907 66(2)</t>
  </si>
  <si>
    <t>promethium*</t>
  </si>
  <si>
    <t>Pm</t>
  </si>
  <si>
    <t>protactinium*</t>
  </si>
  <si>
    <t>Pa</t>
  </si>
  <si>
    <t>231.035 88(2)</t>
  </si>
  <si>
    <t>radium*</t>
  </si>
  <si>
    <t>Ra</t>
  </si>
  <si>
    <t>radon*</t>
  </si>
  <si>
    <t>Rn</t>
  </si>
  <si>
    <t>rhenium</t>
  </si>
  <si>
    <t>Re</t>
  </si>
  <si>
    <t>186.207(1)</t>
  </si>
  <si>
    <t>rhodium</t>
  </si>
  <si>
    <t>Rh</t>
  </si>
  <si>
    <t>102.905 50(2)</t>
  </si>
  <si>
    <t>roentgenium*</t>
  </si>
  <si>
    <t>Rg</t>
  </si>
  <si>
    <t>rubidium</t>
  </si>
  <si>
    <t>Rb</t>
  </si>
  <si>
    <t>85.4678(3)</t>
  </si>
  <si>
    <t>ruthenium</t>
  </si>
  <si>
    <t>Ru</t>
  </si>
  <si>
    <t>101.07(2)</t>
  </si>
  <si>
    <t>101.07</t>
  </si>
  <si>
    <t>rutherfordium*</t>
  </si>
  <si>
    <t>Rf</t>
  </si>
  <si>
    <t>samarium</t>
  </si>
  <si>
    <t>Sm</t>
  </si>
  <si>
    <t>150.36(2)</t>
  </si>
  <si>
    <t>150.36</t>
  </si>
  <si>
    <t>scandium</t>
  </si>
  <si>
    <t>Sc</t>
  </si>
  <si>
    <t>44.955 908(5)</t>
  </si>
  <si>
    <t>seaborgium*</t>
  </si>
  <si>
    <t>Sg</t>
  </si>
  <si>
    <t>selenium</t>
  </si>
  <si>
    <t>Se</t>
  </si>
  <si>
    <t>78.971(8)</t>
  </si>
  <si>
    <t>silicon</t>
  </si>
  <si>
    <t>Si</t>
  </si>
  <si>
    <t>[28.084, 28.086]</t>
  </si>
  <si>
    <t xml:space="preserve">28.084 </t>
  </si>
  <si>
    <t>silver</t>
  </si>
  <si>
    <t>Ag</t>
  </si>
  <si>
    <t>107.8682(2)</t>
  </si>
  <si>
    <t>sodium</t>
  </si>
  <si>
    <t>Na</t>
  </si>
  <si>
    <t xml:space="preserve">22.989 769 28 (2) </t>
  </si>
  <si>
    <t>22.990</t>
  </si>
  <si>
    <t>strontium</t>
  </si>
  <si>
    <t>Sr</t>
  </si>
  <si>
    <t>87.62(1)</t>
  </si>
  <si>
    <t>sulfur</t>
  </si>
  <si>
    <t>S</t>
  </si>
  <si>
    <t>[32.059, 32.076]</t>
  </si>
  <si>
    <t>32.059</t>
  </si>
  <si>
    <t>tantalum</t>
  </si>
  <si>
    <t>Ta</t>
  </si>
  <si>
    <t>180.947 88(2)</t>
  </si>
  <si>
    <t>technetium*</t>
  </si>
  <si>
    <t>Tc</t>
  </si>
  <si>
    <t>tellurium</t>
  </si>
  <si>
    <t>Te</t>
  </si>
  <si>
    <t>127.60(3)</t>
  </si>
  <si>
    <t>127.60</t>
  </si>
  <si>
    <t>terbium</t>
  </si>
  <si>
    <t>Tb</t>
  </si>
  <si>
    <t xml:space="preserve">158.925 35(2) </t>
  </si>
  <si>
    <t>thallium</t>
  </si>
  <si>
    <t>Tl</t>
  </si>
  <si>
    <t>[204.382, 204.385]</t>
  </si>
  <si>
    <t>204.38</t>
  </si>
  <si>
    <t>thorium*</t>
  </si>
  <si>
    <t>Th</t>
  </si>
  <si>
    <t>232.0377(4)</t>
  </si>
  <si>
    <t>thulium</t>
  </si>
  <si>
    <t>Tm</t>
  </si>
  <si>
    <t>168.934 22(2)</t>
  </si>
  <si>
    <t>tin</t>
  </si>
  <si>
    <t>Sn</t>
  </si>
  <si>
    <t>118.710(7)</t>
  </si>
  <si>
    <t>titanium</t>
  </si>
  <si>
    <t>Ti</t>
  </si>
  <si>
    <t>47.867(1)</t>
  </si>
  <si>
    <t>tungsten</t>
  </si>
  <si>
    <t>W</t>
  </si>
  <si>
    <t>183.84(1)</t>
  </si>
  <si>
    <t>ununoctium*</t>
  </si>
  <si>
    <t>Uuo</t>
  </si>
  <si>
    <t>ununpentium*</t>
  </si>
  <si>
    <t>Uup</t>
  </si>
  <si>
    <t>ununseptium*</t>
  </si>
  <si>
    <t>Uus</t>
  </si>
  <si>
    <t>ununtrium*</t>
  </si>
  <si>
    <t>Uut</t>
  </si>
  <si>
    <t>uranium*</t>
  </si>
  <si>
    <t>U</t>
  </si>
  <si>
    <t>238.028 91(3)</t>
  </si>
  <si>
    <t>vanadium</t>
  </si>
  <si>
    <t>V</t>
  </si>
  <si>
    <t>50.9415(1)</t>
  </si>
  <si>
    <t>xenon</t>
  </si>
  <si>
    <t>Xe</t>
  </si>
  <si>
    <t>131.293(6)</t>
  </si>
  <si>
    <t>ytterbium</t>
  </si>
  <si>
    <t>Yb</t>
  </si>
  <si>
    <t>173.054(5)</t>
  </si>
  <si>
    <t>yttrium</t>
  </si>
  <si>
    <t>Y</t>
  </si>
  <si>
    <t>88.905 84(2)</t>
  </si>
  <si>
    <t>zinc</t>
  </si>
  <si>
    <t>Zn</t>
  </si>
  <si>
    <t>65.38(2)</t>
  </si>
  <si>
    <t>65.38</t>
  </si>
  <si>
    <t>zirconium</t>
  </si>
  <si>
    <t>Zr</t>
  </si>
  <si>
    <t>91.224(2)</t>
  </si>
  <si>
    <t>91.224</t>
  </si>
  <si>
    <r>
      <t xml:space="preserve"> </t>
    </r>
    <r>
      <rPr>
        <b/>
        <vertAlign val="superscript"/>
        <sz val="12"/>
        <color indexed="8"/>
        <rFont val="Arial"/>
        <family val="2"/>
      </rPr>
      <t>*</t>
    </r>
    <r>
      <rPr>
        <b/>
        <vertAlign val="superscript"/>
        <sz val="9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Element has no stable isotopes. However, four such elements (Bi, Th, Pa, and U) do have a characteristic terrestrial</t>
    </r>
  </si>
  <si>
    <t xml:space="preserve">   isotopic composition, and for these elements, standard atomic weights are tabulated.</t>
  </si>
  <si>
    <t xml:space="preserve"> g Geological specimens are known in which the element has an isotopic composition outside the limits for normal </t>
  </si>
  <si>
    <t xml:space="preserve">    material. The difference between the atomic weight of the element in such materials and that given in the table may </t>
  </si>
  <si>
    <t xml:space="preserve">    exceed the stated uncertainty.</t>
  </si>
  <si>
    <t xml:space="preserve"> m Modified isotopic compositions may be found in commercially available material because the material has been </t>
  </si>
  <si>
    <t xml:space="preserve">     subjected to an undisclosed or inadvertent isotopic fractionation. Substantial deviations in atomic weight of the </t>
  </si>
  <si>
    <t xml:space="preserve">     element from that given in the table can occur.</t>
  </si>
  <si>
    <t xml:space="preserve"> r Range in isotopic composition of normal terrestrial material prevents a more precise Ar(E) being given; the tabulated </t>
  </si>
  <si>
    <r>
      <t xml:space="preserve">   </t>
    </r>
    <r>
      <rPr>
        <i/>
        <sz val="11"/>
        <color indexed="8"/>
        <rFont val="Arial"/>
        <family val="2"/>
      </rPr>
      <t xml:space="preserve"> A</t>
    </r>
    <r>
      <rPr>
        <vertAlign val="subscript"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>(E) value and and uncertainty should be applicable to normal material.</t>
    </r>
  </si>
  <si>
    <t>207.2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</si>
  <si>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</si>
  <si>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H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O</t>
    </r>
  </si>
  <si>
    <r>
      <t>2 SiO</t>
    </r>
    <r>
      <rPr>
        <vertAlign val="subscript"/>
        <sz val="11"/>
        <color theme="1"/>
        <rFont val="Times New Roman"/>
        <family val="1"/>
      </rPr>
      <t>2</t>
    </r>
  </si>
  <si>
    <t>Residue</t>
  </si>
  <si>
    <t>Theory</t>
  </si>
  <si>
    <t>Actual</t>
  </si>
  <si>
    <t>Error</t>
  </si>
  <si>
    <t>Mass</t>
  </si>
  <si>
    <t>Moles</t>
  </si>
  <si>
    <t>Molar mass</t>
  </si>
  <si>
    <t>Silicic acid</t>
  </si>
  <si>
    <r>
      <t>H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SiO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Symbol"/>
        <family val="1"/>
        <charset val="2"/>
      </rPr>
      <t>®</t>
    </r>
    <r>
      <rPr>
        <sz val="12"/>
        <color theme="1"/>
        <rFont val="Times New Roman"/>
        <family val="1"/>
      </rPr>
      <t xml:space="preserve">  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+ 2H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</si>
  <si>
    <r>
      <t>KMg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(AlSi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>)(OH)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 = ½K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sz val="12"/>
        <color theme="1"/>
        <rFont val="Symbol"/>
        <family val="1"/>
        <charset val="2"/>
      </rPr>
      <t>×</t>
    </r>
    <r>
      <rPr>
        <sz val="12"/>
        <color theme="1"/>
        <rFont val="Times New Roman"/>
        <family val="1"/>
      </rPr>
      <t>3MgO</t>
    </r>
    <r>
      <rPr>
        <sz val="12"/>
        <color theme="1"/>
        <rFont val="Symbol"/>
        <family val="1"/>
        <charset val="2"/>
      </rPr>
      <t>×</t>
    </r>
    <r>
      <rPr>
        <sz val="12"/>
        <color theme="1"/>
        <rFont val="Times New Roman"/>
        <family val="1"/>
      </rPr>
      <t>½Al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(Si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)(OH)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</si>
  <si>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r>
      <t>SiO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 xml:space="preserve"> from XRF</t>
    </r>
  </si>
  <si>
    <t>s</t>
  </si>
  <si>
    <t>e</t>
  </si>
  <si>
    <t>Borax</t>
  </si>
  <si>
    <t>Waterglass</t>
  </si>
  <si>
    <t>silica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</si>
  <si>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>O</t>
    </r>
  </si>
  <si>
    <r>
      <t>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2"/>
      </rPr>
      <t>O</t>
    </r>
    <r>
      <rPr>
        <vertAlign val="subscript"/>
        <sz val="11"/>
        <color theme="1"/>
        <rFont val="Times New Roman"/>
        <family val="1"/>
      </rPr>
      <t>3</t>
    </r>
  </si>
  <si>
    <t>Mol</t>
  </si>
  <si>
    <t>Basis 100 g mixture</t>
  </si>
  <si>
    <t>Total</t>
  </si>
  <si>
    <r>
      <t>Na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B</t>
    </r>
    <r>
      <rPr>
        <vertAlign val="subscript"/>
        <sz val="12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7</t>
    </r>
    <r>
      <rPr>
        <sz val="12"/>
        <color rgb="FF000000"/>
        <rFont val="Calibri"/>
        <family val="2"/>
        <scheme val="minor"/>
      </rPr>
      <t>·10H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</si>
  <si>
    <r>
      <t>Na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SiO</t>
    </r>
    <r>
      <rPr>
        <vertAlign val="subscript"/>
        <sz val="12"/>
        <color rgb="FF000000"/>
        <rFont val="Calibri"/>
        <family val="2"/>
        <scheme val="minor"/>
      </rPr>
      <t>3</t>
    </r>
    <r>
      <rPr>
        <sz val="12"/>
        <color rgb="FF000000"/>
        <rFont val="Calibri"/>
        <family val="2"/>
        <scheme val="minor"/>
      </rPr>
      <t>·5H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</si>
  <si>
    <r>
      <t>SiO</t>
    </r>
    <r>
      <rPr>
        <vertAlign val="subscript"/>
        <sz val="12"/>
        <color theme="1"/>
        <rFont val="Calibri"/>
        <family val="2"/>
        <scheme val="minor"/>
      </rPr>
      <t>2</t>
    </r>
  </si>
  <si>
    <t>(°C/min)</t>
  </si>
  <si>
    <t>(-)</t>
  </si>
  <si>
    <t>(°C)</t>
  </si>
  <si>
    <t>(wt.%)</t>
  </si>
  <si>
    <r>
      <t>(g/cm</t>
    </r>
    <r>
      <rPr>
        <b/>
        <vertAlign val="superscript"/>
        <sz val="12"/>
        <color theme="1"/>
        <rFont val="Calibri"/>
        <family val="2"/>
      </rPr>
      <t>3</t>
    </r>
    <r>
      <rPr>
        <b/>
        <sz val="12"/>
        <color theme="1"/>
        <rFont val="Calibri"/>
        <family val="2"/>
      </rPr>
      <t>)</t>
    </r>
  </si>
  <si>
    <t>(MPa)</t>
  </si>
  <si>
    <t>(%)</t>
  </si>
  <si>
    <r>
      <t>ρ</t>
    </r>
    <r>
      <rPr>
        <b/>
        <i/>
        <vertAlign val="subscript"/>
        <sz val="12"/>
        <color theme="1"/>
        <rFont val="Calibri"/>
        <family val="2"/>
      </rPr>
      <t>Bavg</t>
    </r>
  </si>
  <si>
    <r>
      <t>σ</t>
    </r>
    <r>
      <rPr>
        <b/>
        <i/>
        <vertAlign val="subscript"/>
        <sz val="12"/>
        <color theme="1"/>
        <rFont val="Calibri"/>
        <family val="2"/>
      </rPr>
      <t>avg</t>
    </r>
  </si>
  <si>
    <t>WG</t>
  </si>
  <si>
    <t>Silica</t>
  </si>
  <si>
    <t>Mean</t>
  </si>
  <si>
    <t>Stdev</t>
  </si>
  <si>
    <t>Max</t>
  </si>
  <si>
    <t>Min</t>
  </si>
  <si>
    <t>Diference</t>
  </si>
  <si>
    <t>sr</t>
  </si>
  <si>
    <t>Sum</t>
  </si>
  <si>
    <r>
      <rPr>
        <sz val="12"/>
        <color theme="1"/>
        <rFont val="Symbol"/>
        <family val="1"/>
        <charset val="2"/>
      </rPr>
      <t>e</t>
    </r>
    <r>
      <rPr>
        <b/>
        <i/>
        <vertAlign val="subscript"/>
        <sz val="12"/>
        <color theme="1"/>
        <rFont val="Calibri"/>
        <family val="2"/>
      </rPr>
      <t>avg</t>
    </r>
  </si>
  <si>
    <r>
      <t>r</t>
    </r>
    <r>
      <rPr>
        <vertAlign val="superscript"/>
        <sz val="12"/>
        <color theme="1"/>
        <rFont val="Symbol"/>
        <family val="1"/>
        <charset val="2"/>
      </rPr>
      <t>2</t>
    </r>
  </si>
  <si>
    <t>Slope</t>
  </si>
  <si>
    <t>Intercept</t>
  </si>
  <si>
    <r>
      <t>σ</t>
    </r>
    <r>
      <rPr>
        <b/>
        <i/>
        <vertAlign val="subscript"/>
        <sz val="12"/>
        <color theme="1"/>
        <rFont val="Calibri"/>
        <family val="2"/>
      </rPr>
      <t>pred</t>
    </r>
  </si>
  <si>
    <t>Correlation</t>
  </si>
  <si>
    <r>
      <t>T</t>
    </r>
    <r>
      <rPr>
        <b/>
        <i/>
        <vertAlign val="subscript"/>
        <sz val="12"/>
        <color theme="1"/>
        <rFont val="Calibri"/>
        <family val="2"/>
      </rPr>
      <t>i</t>
    </r>
  </si>
  <si>
    <r>
      <t>T</t>
    </r>
    <r>
      <rPr>
        <b/>
        <i/>
        <vertAlign val="subscript"/>
        <sz val="12"/>
        <color theme="1"/>
        <rFont val="Calibri"/>
        <family val="2"/>
      </rPr>
      <t>f</t>
    </r>
  </si>
  <si>
    <t>PS</t>
  </si>
  <si>
    <r>
      <t>t</t>
    </r>
    <r>
      <rPr>
        <b/>
        <i/>
        <vertAlign val="subscript"/>
        <sz val="12"/>
        <color theme="1"/>
        <rFont val="Calibri"/>
        <family val="2"/>
      </rPr>
      <t>s</t>
    </r>
  </si>
  <si>
    <t>B: WG</t>
  </si>
  <si>
    <r>
      <t>SiO</t>
    </r>
    <r>
      <rPr>
        <b/>
        <i/>
        <vertAlign val="subscript"/>
        <sz val="12"/>
        <color theme="1"/>
        <rFont val="Calibri"/>
        <family val="2"/>
      </rPr>
      <t>2</t>
    </r>
    <r>
      <rPr>
        <b/>
        <i/>
        <sz val="12"/>
        <color theme="1"/>
        <rFont val="Calibri"/>
        <family val="2"/>
      </rPr>
      <t>:WG</t>
    </r>
  </si>
  <si>
    <t>Borax content</t>
  </si>
  <si>
    <t>Water-glass content</t>
  </si>
  <si>
    <t>Silica content</t>
  </si>
  <si>
    <t>(μm)</t>
  </si>
  <si>
    <t>(min)</t>
  </si>
  <si>
    <t>90-45</t>
  </si>
  <si>
    <t>250-90</t>
  </si>
  <si>
    <t>-</t>
  </si>
  <si>
    <t>C3</t>
  </si>
  <si>
    <t>B:WG</t>
  </si>
  <si>
    <r>
      <t>SiO</t>
    </r>
    <r>
      <rPr>
        <b/>
        <i/>
        <vertAlign val="subscript"/>
        <sz val="12"/>
        <color theme="1"/>
        <rFont val="Calibri"/>
        <family val="2"/>
      </rPr>
      <t>2</t>
    </r>
    <r>
      <rPr>
        <b/>
        <i/>
        <sz val="12"/>
        <color theme="1"/>
        <rFont val="Calibri"/>
        <family val="2"/>
      </rPr>
      <t>: WG</t>
    </r>
  </si>
  <si>
    <t>Waterglass content</t>
  </si>
  <si>
    <r>
      <t>HR</t>
    </r>
    <r>
      <rPr>
        <b/>
        <i/>
        <vertAlign val="subscript"/>
        <sz val="12"/>
        <color theme="1"/>
        <rFont val="Calibri"/>
        <family val="2"/>
      </rPr>
      <t>avg</t>
    </r>
  </si>
  <si>
    <t>( - )</t>
  </si>
  <si>
    <t>C2</t>
  </si>
  <si>
    <t>C1</t>
  </si>
  <si>
    <t>Exp</t>
  </si>
  <si>
    <r>
      <t>ρ</t>
    </r>
    <r>
      <rPr>
        <b/>
        <i/>
        <vertAlign val="subscript"/>
        <sz val="12"/>
        <color theme="1"/>
        <rFont val="Calibri"/>
        <family val="2"/>
      </rPr>
      <t>B</t>
    </r>
  </si>
  <si>
    <t>σ</t>
  </si>
  <si>
    <t>Correlations</t>
  </si>
  <si>
    <t>A</t>
  </si>
  <si>
    <t>D</t>
  </si>
  <si>
    <t>E</t>
  </si>
  <si>
    <t>G</t>
  </si>
  <si>
    <t>HR</t>
  </si>
  <si>
    <t>Ts</t>
  </si>
  <si>
    <t>(g/cm3)</t>
  </si>
  <si>
    <r>
      <t>ρ</t>
    </r>
    <r>
      <rPr>
        <b/>
        <vertAlign val="subscript"/>
        <sz val="12"/>
        <color theme="1"/>
        <rFont val="Calibri"/>
        <family val="2"/>
      </rPr>
      <t>B</t>
    </r>
  </si>
  <si>
    <t>max</t>
  </si>
  <si>
    <t>min</t>
  </si>
  <si>
    <t>mean</t>
  </si>
  <si>
    <t xml:space="preserve">   Borax</t>
  </si>
  <si>
    <t>480</t>
  </si>
  <si>
    <t>500</t>
  </si>
  <si>
    <t>520</t>
  </si>
  <si>
    <t>525</t>
  </si>
  <si>
    <t>550</t>
  </si>
  <si>
    <t>450</t>
  </si>
  <si>
    <t>&lt;10</t>
  </si>
  <si>
    <t>18-20</t>
  </si>
  <si>
    <t>25-28</t>
  </si>
  <si>
    <t>28-30</t>
  </si>
  <si>
    <t>&gt;30</t>
  </si>
  <si>
    <t>Corrected</t>
  </si>
  <si>
    <r>
      <t>H</t>
    </r>
    <r>
      <rPr>
        <i/>
        <vertAlign val="subscript"/>
        <sz val="12"/>
        <color theme="1"/>
        <rFont val="Times New Roman"/>
        <family val="1"/>
      </rPr>
      <t>2x</t>
    </r>
    <r>
      <rPr>
        <sz val="12"/>
        <color theme="1"/>
        <rFont val="Times New Roman"/>
        <family val="1"/>
      </rPr>
      <t>Si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4+</t>
    </r>
    <r>
      <rPr>
        <i/>
        <vertAlign val="subscript"/>
        <sz val="12"/>
        <color theme="1"/>
        <rFont val="Times New Roman"/>
        <family val="1"/>
      </rPr>
      <t>x</t>
    </r>
    <r>
      <rPr>
        <sz val="12"/>
        <color theme="1"/>
        <rFont val="Symbol"/>
        <family val="1"/>
        <charset val="2"/>
      </rPr>
      <t>×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  <r>
      <rPr>
        <sz val="12"/>
        <color theme="1"/>
        <rFont val="Symbol"/>
        <family val="1"/>
        <charset val="2"/>
      </rPr>
      <t>®</t>
    </r>
    <r>
      <rPr>
        <sz val="12"/>
        <color theme="1"/>
        <rFont val="Times New Roman"/>
        <family val="1"/>
      </rPr>
      <t xml:space="preserve">  2 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+ (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>+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>) 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O  </t>
    </r>
  </si>
  <si>
    <t xml:space="preserve">x = </t>
  </si>
  <si>
    <t xml:space="preserve">x + y = </t>
  </si>
  <si>
    <t>y =</t>
  </si>
  <si>
    <t>Silica/WG</t>
  </si>
  <si>
    <r>
      <t>Error</t>
    </r>
    <r>
      <rPr>
        <b/>
        <vertAlign val="superscript"/>
        <sz val="12"/>
        <color theme="1"/>
        <rFont val="Calibri"/>
        <family val="2"/>
      </rPr>
      <t>2</t>
    </r>
  </si>
  <si>
    <t xml:space="preserve">C = 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</si>
  <si>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Times New Roman"/>
        <family val="2"/>
      </rPr>
      <t>s</t>
    </r>
  </si>
  <si>
    <r>
      <t>ρ</t>
    </r>
    <r>
      <rPr>
        <b/>
        <i/>
        <vertAlign val="subscript"/>
        <sz val="12"/>
        <color theme="1"/>
        <rFont val="Calibri"/>
        <family val="2"/>
      </rPr>
      <t>s</t>
    </r>
  </si>
  <si>
    <t>j</t>
  </si>
  <si>
    <r>
      <t>C</t>
    </r>
    <r>
      <rPr>
        <vertAlign val="subscript"/>
        <sz val="11"/>
        <color theme="1"/>
        <rFont val="Times New Roman"/>
        <family val="1"/>
      </rPr>
      <t>1</t>
    </r>
  </si>
  <si>
    <r>
      <t>C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</si>
  <si>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</si>
  <si>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t xml:space="preserve">n = </t>
  </si>
  <si>
    <t>Gibson (2005)</t>
  </si>
  <si>
    <t>Density</t>
  </si>
  <si>
    <t>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</si>
</sst>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9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b/>
      <vertAlign val="superscript"/>
      <sz val="12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bscript"/>
      <sz val="11"/>
      <color theme="1"/>
      <name val="Times New Roman"/>
      <family val="1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Symbol"/>
      <family val="1"/>
      <charset val="2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i/>
      <vertAlign val="subscript"/>
      <sz val="12"/>
      <color theme="1"/>
      <name val="Calibri"/>
      <family val="2"/>
    </font>
    <font>
      <sz val="12"/>
      <color theme="1"/>
      <name val="Times New Roman"/>
      <family val="2"/>
    </font>
    <font>
      <vertAlign val="superscript"/>
      <sz val="12"/>
      <color theme="1"/>
      <name val="Symbol"/>
      <family val="1"/>
      <charset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2"/>
      <color theme="1"/>
      <name val="Calibri"/>
      <family val="2"/>
    </font>
    <font>
      <sz val="16"/>
      <color rgb="FF000000"/>
      <name val="Calibri"/>
      <family val="2"/>
    </font>
    <font>
      <sz val="16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11"/>
      <color theme="1"/>
      <name val="Times New Roman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lightGray"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8" fillId="0" borderId="1" xfId="0" applyFont="1" applyBorder="1" applyAlignme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49" fontId="4" fillId="0" borderId="0" xfId="0" applyNumberFormat="1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2" xfId="0" applyNumberFormat="1" applyFont="1" applyFill="1" applyBorder="1" applyAlignment="1">
      <alignment horizontal="left"/>
    </xf>
    <xf numFmtId="2" fontId="0" fillId="0" borderId="0" xfId="0" applyNumberFormat="1"/>
    <xf numFmtId="0" fontId="13" fillId="0" borderId="0" xfId="0" applyFont="1"/>
    <xf numFmtId="2" fontId="8" fillId="0" borderId="0" xfId="0" applyNumberFormat="1" applyFont="1" applyAlignment="1">
      <alignment horizontal="right"/>
    </xf>
    <xf numFmtId="2" fontId="8" fillId="0" borderId="0" xfId="0" applyNumberFormat="1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2" fontId="0" fillId="3" borderId="0" xfId="0" applyNumberFormat="1" applyFill="1"/>
    <xf numFmtId="0" fontId="0" fillId="4" borderId="0" xfId="0" applyFill="1"/>
    <xf numFmtId="2" fontId="0" fillId="0" borderId="0" xfId="0" applyNumberFormat="1" applyFill="1"/>
    <xf numFmtId="2" fontId="0" fillId="5" borderId="0" xfId="0" applyNumberFormat="1" applyFill="1"/>
    <xf numFmtId="1" fontId="0" fillId="4" borderId="0" xfId="0" applyNumberFormat="1" applyFill="1"/>
    <xf numFmtId="0" fontId="0" fillId="2" borderId="0" xfId="0" applyFill="1"/>
    <xf numFmtId="0" fontId="20" fillId="6" borderId="0" xfId="0" applyFont="1" applyFill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/>
    <xf numFmtId="164" fontId="0" fillId="0" borderId="0" xfId="0" applyNumberFormat="1" applyAlignment="1">
      <alignment horizontal="center"/>
    </xf>
    <xf numFmtId="164" fontId="0" fillId="0" borderId="0" xfId="0" applyNumberFormat="1"/>
    <xf numFmtId="2" fontId="2" fillId="0" borderId="0" xfId="0" applyNumberFormat="1" applyFont="1"/>
    <xf numFmtId="0" fontId="22" fillId="0" borderId="0" xfId="0" applyFont="1"/>
    <xf numFmtId="0" fontId="24" fillId="0" borderId="0" xfId="0" applyFont="1"/>
    <xf numFmtId="0" fontId="22" fillId="0" borderId="0" xfId="0" applyFont="1" applyAlignment="1">
      <alignment horizontal="right"/>
    </xf>
    <xf numFmtId="49" fontId="22" fillId="0" borderId="0" xfId="0" applyNumberFormat="1" applyFont="1" applyAlignment="1">
      <alignment horizontal="right"/>
    </xf>
    <xf numFmtId="2" fontId="24" fillId="0" borderId="0" xfId="0" applyNumberFormat="1" applyFont="1" applyAlignment="1">
      <alignment horizontal="right"/>
    </xf>
    <xf numFmtId="2" fontId="24" fillId="0" borderId="0" xfId="0" applyNumberFormat="1" applyFont="1" applyBorder="1" applyAlignment="1">
      <alignment horizontal="center" vertical="center" wrapText="1"/>
    </xf>
    <xf numFmtId="2" fontId="0" fillId="7" borderId="0" xfId="0" applyNumberFormat="1" applyFill="1"/>
    <xf numFmtId="164" fontId="24" fillId="3" borderId="3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24" fillId="0" borderId="4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8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2" fontId="19" fillId="0" borderId="0" xfId="0" applyNumberFormat="1" applyFont="1"/>
    <xf numFmtId="0" fontId="30" fillId="0" borderId="0" xfId="0" applyFont="1"/>
    <xf numFmtId="0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5" fontId="0" fillId="0" borderId="0" xfId="0" applyNumberFormat="1"/>
    <xf numFmtId="2" fontId="0" fillId="8" borderId="0" xfId="0" applyNumberFormat="1" applyFill="1"/>
    <xf numFmtId="2" fontId="19" fillId="8" borderId="0" xfId="0" applyNumberFormat="1" applyFont="1" applyFill="1"/>
    <xf numFmtId="0" fontId="26" fillId="0" borderId="0" xfId="0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6" fillId="5" borderId="0" xfId="0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right" vertical="center" wrapText="1"/>
    </xf>
    <xf numFmtId="0" fontId="32" fillId="3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32" fillId="3" borderId="0" xfId="0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right"/>
    </xf>
    <xf numFmtId="0" fontId="20" fillId="5" borderId="0" xfId="0" applyFont="1" applyFill="1" applyBorder="1" applyAlignment="1">
      <alignment horizontal="right" vertical="center" wrapText="1"/>
    </xf>
    <xf numFmtId="2" fontId="20" fillId="5" borderId="0" xfId="0" applyNumberFormat="1" applyFont="1" applyFill="1" applyBorder="1" applyAlignment="1">
      <alignment horizontal="right" vertical="center" wrapText="1"/>
    </xf>
    <xf numFmtId="2" fontId="32" fillId="2" borderId="0" xfId="0" applyNumberFormat="1" applyFont="1" applyFill="1" applyAlignment="1">
      <alignment horizontal="right"/>
    </xf>
    <xf numFmtId="2" fontId="32" fillId="3" borderId="0" xfId="0" applyNumberFormat="1" applyFont="1" applyFill="1" applyAlignment="1">
      <alignment horizontal="right"/>
    </xf>
    <xf numFmtId="165" fontId="20" fillId="5" borderId="0" xfId="0" applyNumberFormat="1" applyFont="1" applyFill="1" applyBorder="1" applyAlignment="1">
      <alignment horizontal="right" vertical="center" wrapText="1"/>
    </xf>
    <xf numFmtId="165" fontId="32" fillId="2" borderId="0" xfId="0" applyNumberFormat="1" applyFont="1" applyFill="1" applyAlignment="1">
      <alignment horizontal="right"/>
    </xf>
    <xf numFmtId="165" fontId="32" fillId="3" borderId="0" xfId="0" applyNumberFormat="1" applyFont="1" applyFill="1" applyAlignment="1">
      <alignment horizontal="right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2" fillId="0" borderId="0" xfId="0" applyFont="1" applyFill="1" applyBorder="1" applyAlignment="1">
      <alignment horizontal="right" vertical="center" wrapText="1"/>
    </xf>
    <xf numFmtId="2" fontId="32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right"/>
    </xf>
    <xf numFmtId="0" fontId="20" fillId="9" borderId="0" xfId="0" applyFont="1" applyFill="1" applyBorder="1" applyAlignment="1">
      <alignment horizontal="center" vertical="center" wrapText="1"/>
    </xf>
    <xf numFmtId="0" fontId="20" fillId="9" borderId="0" xfId="0" applyFont="1" applyFill="1" applyBorder="1" applyAlignment="1">
      <alignment horizontal="right" vertical="center" wrapText="1"/>
    </xf>
    <xf numFmtId="165" fontId="20" fillId="9" borderId="0" xfId="0" applyNumberFormat="1" applyFont="1" applyFill="1" applyBorder="1" applyAlignment="1">
      <alignment horizontal="right" vertical="center" wrapText="1"/>
    </xf>
    <xf numFmtId="2" fontId="20" fillId="9" borderId="0" xfId="0" applyNumberFormat="1" applyFont="1" applyFill="1" applyBorder="1" applyAlignment="1">
      <alignment horizontal="right" vertical="center" wrapText="1"/>
    </xf>
    <xf numFmtId="2" fontId="32" fillId="9" borderId="0" xfId="0" applyNumberFormat="1" applyFont="1" applyFill="1" applyAlignment="1">
      <alignment horizontal="right"/>
    </xf>
    <xf numFmtId="0" fontId="26" fillId="9" borderId="0" xfId="0" applyFont="1" applyFill="1" applyBorder="1" applyAlignment="1">
      <alignment horizontal="center" vertical="center" wrapText="1"/>
    </xf>
    <xf numFmtId="0" fontId="32" fillId="9" borderId="0" xfId="0" applyFont="1" applyFill="1" applyAlignment="1">
      <alignment horizontal="right"/>
    </xf>
    <xf numFmtId="165" fontId="32" fillId="9" borderId="0" xfId="0" applyNumberFormat="1" applyFont="1" applyFill="1" applyAlignment="1">
      <alignment horizontal="right"/>
    </xf>
    <xf numFmtId="0" fontId="32" fillId="9" borderId="0" xfId="0" applyFont="1" applyFill="1" applyAlignment="1">
      <alignment horizontal="right" vertical="center" wrapText="1"/>
    </xf>
    <xf numFmtId="0" fontId="20" fillId="3" borderId="0" xfId="0" applyFont="1" applyFill="1" applyBorder="1" applyAlignment="1">
      <alignment horizontal="right" vertical="center" wrapText="1"/>
    </xf>
    <xf numFmtId="165" fontId="20" fillId="3" borderId="0" xfId="0" applyNumberFormat="1" applyFont="1" applyFill="1" applyBorder="1" applyAlignment="1">
      <alignment horizontal="right" vertical="center" wrapText="1"/>
    </xf>
    <xf numFmtId="2" fontId="20" fillId="3" borderId="0" xfId="0" applyNumberFormat="1" applyFont="1" applyFill="1" applyBorder="1" applyAlignment="1">
      <alignment horizontal="right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32" fillId="4" borderId="0" xfId="0" applyFont="1" applyFill="1" applyAlignment="1">
      <alignment horizontal="right"/>
    </xf>
    <xf numFmtId="165" fontId="32" fillId="4" borderId="0" xfId="0" applyNumberFormat="1" applyFont="1" applyFill="1" applyAlignment="1">
      <alignment horizontal="right"/>
    </xf>
    <xf numFmtId="2" fontId="32" fillId="4" borderId="0" xfId="0" applyNumberFormat="1" applyFont="1" applyFill="1" applyAlignment="1">
      <alignment horizontal="right"/>
    </xf>
    <xf numFmtId="0" fontId="32" fillId="4" borderId="0" xfId="0" applyFont="1" applyFill="1" applyAlignment="1">
      <alignment horizontal="right" vertical="center" wrapText="1"/>
    </xf>
    <xf numFmtId="0" fontId="32" fillId="2" borderId="0" xfId="0" applyFont="1" applyFill="1" applyAlignment="1">
      <alignment horizontal="right" vertical="center" wrapText="1"/>
    </xf>
    <xf numFmtId="0" fontId="32" fillId="2" borderId="0" xfId="0" applyFont="1" applyFill="1" applyBorder="1" applyAlignment="1">
      <alignment horizontal="right" vertical="center" wrapText="1"/>
    </xf>
    <xf numFmtId="0" fontId="20" fillId="10" borderId="0" xfId="0" applyFont="1" applyFill="1" applyBorder="1" applyAlignment="1">
      <alignment horizontal="center" vertical="center" wrapText="1"/>
    </xf>
    <xf numFmtId="0" fontId="32" fillId="10" borderId="0" xfId="0" applyFont="1" applyFill="1" applyBorder="1" applyAlignment="1">
      <alignment horizontal="right"/>
    </xf>
    <xf numFmtId="0" fontId="32" fillId="10" borderId="0" xfId="0" applyFont="1" applyFill="1" applyAlignment="1">
      <alignment horizontal="right"/>
    </xf>
    <xf numFmtId="165" fontId="32" fillId="10" borderId="0" xfId="0" applyNumberFormat="1" applyFont="1" applyFill="1" applyAlignment="1">
      <alignment horizontal="right"/>
    </xf>
    <xf numFmtId="2" fontId="32" fillId="10" borderId="0" xfId="0" applyNumberFormat="1" applyFont="1" applyFill="1" applyAlignment="1">
      <alignment horizontal="right"/>
    </xf>
    <xf numFmtId="0" fontId="20" fillId="11" borderId="0" xfId="0" applyFont="1" applyFill="1" applyBorder="1" applyAlignment="1">
      <alignment horizontal="center" vertical="center" wrapText="1"/>
    </xf>
    <xf numFmtId="0" fontId="32" fillId="11" borderId="0" xfId="0" applyFont="1" applyFill="1" applyAlignment="1">
      <alignment horizontal="right"/>
    </xf>
    <xf numFmtId="165" fontId="32" fillId="11" borderId="0" xfId="0" applyNumberFormat="1" applyFont="1" applyFill="1" applyAlignment="1">
      <alignment horizontal="right"/>
    </xf>
    <xf numFmtId="2" fontId="32" fillId="11" borderId="0" xfId="0" applyNumberFormat="1" applyFont="1" applyFill="1" applyAlignment="1">
      <alignment horizontal="right"/>
    </xf>
    <xf numFmtId="0" fontId="20" fillId="12" borderId="0" xfId="0" applyFont="1" applyFill="1" applyBorder="1" applyAlignment="1">
      <alignment horizontal="center" vertical="center" wrapText="1"/>
    </xf>
    <xf numFmtId="0" fontId="32" fillId="12" borderId="0" xfId="0" applyFont="1" applyFill="1" applyAlignment="1">
      <alignment horizontal="right" vertical="center" wrapText="1"/>
    </xf>
    <xf numFmtId="0" fontId="32" fillId="12" borderId="0" xfId="0" applyFont="1" applyFill="1" applyAlignment="1">
      <alignment horizontal="right"/>
    </xf>
    <xf numFmtId="165" fontId="32" fillId="12" borderId="0" xfId="0" applyNumberFormat="1" applyFont="1" applyFill="1" applyAlignment="1">
      <alignment horizontal="right"/>
    </xf>
    <xf numFmtId="2" fontId="32" fillId="12" borderId="0" xfId="0" applyNumberFormat="1" applyFont="1" applyFill="1" applyAlignment="1">
      <alignment horizontal="right"/>
    </xf>
    <xf numFmtId="165" fontId="0" fillId="0" borderId="0" xfId="0" applyNumberFormat="1" applyBorder="1"/>
    <xf numFmtId="0" fontId="28" fillId="0" borderId="0" xfId="0" applyFont="1" applyBorder="1" applyAlignment="1">
      <alignment horizontal="center" vertical="center" wrapText="1"/>
    </xf>
    <xf numFmtId="0" fontId="30" fillId="0" borderId="0" xfId="0" applyFont="1" applyBorder="1"/>
    <xf numFmtId="0" fontId="20" fillId="12" borderId="0" xfId="0" applyFont="1" applyFill="1" applyBorder="1" applyAlignment="1">
      <alignment horizontal="right" vertical="center" wrapText="1"/>
    </xf>
    <xf numFmtId="165" fontId="20" fillId="12" borderId="0" xfId="0" applyNumberFormat="1" applyFont="1" applyFill="1" applyBorder="1" applyAlignment="1">
      <alignment horizontal="right" vertical="center" wrapText="1"/>
    </xf>
    <xf numFmtId="2" fontId="20" fillId="12" borderId="0" xfId="0" applyNumberFormat="1" applyFont="1" applyFill="1" applyBorder="1" applyAlignment="1">
      <alignment horizontal="right" vertical="center" wrapText="1"/>
    </xf>
    <xf numFmtId="0" fontId="26" fillId="12" borderId="0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/>
    <xf numFmtId="1" fontId="0" fillId="0" borderId="0" xfId="0" applyNumberFormat="1" applyFill="1"/>
    <xf numFmtId="2" fontId="0" fillId="0" borderId="0" xfId="0" applyNumberFormat="1" applyBorder="1"/>
    <xf numFmtId="0" fontId="36" fillId="0" borderId="0" xfId="0" applyFont="1" applyAlignment="1">
      <alignment horizontal="center"/>
    </xf>
    <xf numFmtId="0" fontId="35" fillId="0" borderId="0" xfId="0" applyFont="1" applyAlignment="1">
      <alignment horizontal="center" vertical="center" readingOrder="1"/>
    </xf>
    <xf numFmtId="165" fontId="35" fillId="0" borderId="0" xfId="0" applyNumberFormat="1" applyFont="1" applyAlignment="1">
      <alignment horizontal="center" vertical="center" readingOrder="1"/>
    </xf>
    <xf numFmtId="49" fontId="32" fillId="0" borderId="0" xfId="0" applyNumberFormat="1" applyFont="1" applyFill="1" applyAlignment="1">
      <alignment horizontal="right"/>
    </xf>
    <xf numFmtId="0" fontId="30" fillId="0" borderId="0" xfId="0" applyFont="1" applyFill="1" applyBorder="1"/>
    <xf numFmtId="165" fontId="0" fillId="8" borderId="0" xfId="0" applyNumberFormat="1" applyFill="1"/>
    <xf numFmtId="1" fontId="0" fillId="0" borderId="0" xfId="0" applyNumberFormat="1"/>
    <xf numFmtId="1" fontId="33" fillId="4" borderId="0" xfId="0" applyNumberFormat="1" applyFont="1" applyFill="1"/>
    <xf numFmtId="0" fontId="0" fillId="0" borderId="0" xfId="0" applyFill="1" applyBorder="1"/>
    <xf numFmtId="2" fontId="0" fillId="0" borderId="0" xfId="0" applyNumberFormat="1" applyFill="1" applyBorder="1"/>
    <xf numFmtId="2" fontId="20" fillId="0" borderId="0" xfId="0" applyNumberFormat="1" applyFont="1" applyFill="1" applyBorder="1" applyAlignment="1">
      <alignment horizontal="right" vertical="center" wrapText="1"/>
    </xf>
    <xf numFmtId="2" fontId="19" fillId="0" borderId="0" xfId="0" applyNumberFormat="1" applyFont="1" applyFill="1"/>
    <xf numFmtId="2" fontId="2" fillId="0" borderId="0" xfId="0" applyNumberFormat="1" applyFont="1" applyFill="1"/>
    <xf numFmtId="0" fontId="0" fillId="3" borderId="0" xfId="0" applyFill="1"/>
    <xf numFmtId="0" fontId="28" fillId="3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2" fontId="21" fillId="3" borderId="0" xfId="0" applyNumberFormat="1" applyFont="1" applyFill="1" applyAlignment="1">
      <alignment horizontal="center"/>
    </xf>
    <xf numFmtId="0" fontId="0" fillId="13" borderId="0" xfId="0" applyFill="1"/>
    <xf numFmtId="165" fontId="0" fillId="3" borderId="0" xfId="0" applyNumberFormat="1" applyFill="1"/>
    <xf numFmtId="165" fontId="26" fillId="3" borderId="0" xfId="0" applyNumberFormat="1" applyFont="1" applyFill="1" applyBorder="1" applyAlignment="1">
      <alignment horizontal="right" vertical="center" wrapText="1"/>
    </xf>
    <xf numFmtId="2" fontId="26" fillId="3" borderId="0" xfId="0" applyNumberFormat="1" applyFont="1" applyFill="1" applyBorder="1" applyAlignment="1">
      <alignment horizontal="right" vertical="center" wrapText="1"/>
    </xf>
    <xf numFmtId="1" fontId="38" fillId="0" borderId="0" xfId="0" applyNumberFormat="1" applyFont="1"/>
    <xf numFmtId="2" fontId="38" fillId="0" borderId="0" xfId="0" applyNumberFormat="1" applyFont="1"/>
    <xf numFmtId="0" fontId="38" fillId="0" borderId="0" xfId="0" applyFont="1"/>
    <xf numFmtId="165" fontId="38" fillId="0" borderId="0" xfId="0" applyNumberFormat="1" applyFont="1"/>
    <xf numFmtId="165" fontId="26" fillId="9" borderId="0" xfId="0" applyNumberFormat="1" applyFont="1" applyFill="1" applyBorder="1" applyAlignment="1">
      <alignment horizontal="right" vertical="center" wrapText="1"/>
    </xf>
    <xf numFmtId="2" fontId="26" fillId="9" borderId="0" xfId="0" applyNumberFormat="1" applyFont="1" applyFill="1" applyBorder="1" applyAlignment="1">
      <alignment horizontal="right" vertical="center" wrapText="1"/>
    </xf>
    <xf numFmtId="165" fontId="33" fillId="4" borderId="0" xfId="0" applyNumberFormat="1" applyFont="1" applyFill="1" applyAlignment="1">
      <alignment horizontal="right"/>
    </xf>
    <xf numFmtId="2" fontId="33" fillId="4" borderId="0" xfId="0" applyNumberFormat="1" applyFont="1" applyFill="1" applyAlignment="1">
      <alignment horizontal="right"/>
    </xf>
    <xf numFmtId="165" fontId="26" fillId="5" borderId="0" xfId="0" applyNumberFormat="1" applyFont="1" applyFill="1" applyBorder="1" applyAlignment="1">
      <alignment horizontal="right" vertical="center" wrapText="1"/>
    </xf>
    <xf numFmtId="2" fontId="26" fillId="5" borderId="0" xfId="0" applyNumberFormat="1" applyFont="1" applyFill="1" applyBorder="1" applyAlignment="1">
      <alignment horizontal="right" vertical="center" wrapText="1"/>
    </xf>
    <xf numFmtId="165" fontId="33" fillId="12" borderId="0" xfId="0" applyNumberFormat="1" applyFont="1" applyFill="1" applyAlignment="1">
      <alignment horizontal="right"/>
    </xf>
    <xf numFmtId="2" fontId="33" fillId="12" borderId="0" xfId="0" applyNumberFormat="1" applyFont="1" applyFill="1" applyAlignment="1">
      <alignment horizontal="right"/>
    </xf>
    <xf numFmtId="1" fontId="32" fillId="0" borderId="0" xfId="0" applyNumberFormat="1" applyFont="1"/>
    <xf numFmtId="0" fontId="8" fillId="0" borderId="1" xfId="0" applyFont="1" applyBorder="1" applyAlignment="1"/>
    <xf numFmtId="0" fontId="9" fillId="0" borderId="1" xfId="0" applyFont="1" applyBorder="1" applyAlignme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CC"/>
      <color rgb="FFFF00FF"/>
      <color rgb="FF00FF00"/>
      <color rgb="FFCC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44652230971128"/>
          <c:y val="5.3912219305920092E-2"/>
          <c:w val="0.79368889435695533"/>
          <c:h val="0.79592255025401049"/>
        </c:manualLayout>
      </c:layout>
      <c:scatterChart>
        <c:scatterStyle val="lineMarker"/>
        <c:varyColors val="0"/>
        <c:ser>
          <c:idx val="0"/>
          <c:order val="0"/>
          <c:tx>
            <c:v>525</c:v>
          </c:tx>
          <c:spPr>
            <a:ln w="15875">
              <a:noFill/>
            </a:ln>
          </c:spPr>
          <c:marker>
            <c:symbol val="diamond"/>
            <c:size val="8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'C3'!$G$9:$G$15</c:f>
              <c:numCache>
                <c:formatCode>General</c:formatCode>
                <c:ptCount val="7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0.23100000000000001</c:v>
                </c:pt>
                <c:pt idx="4">
                  <c:v>0.3</c:v>
                </c:pt>
                <c:pt idx="5">
                  <c:v>0.313</c:v>
                </c:pt>
                <c:pt idx="6">
                  <c:v>0.188</c:v>
                </c:pt>
              </c:numCache>
            </c:numRef>
          </c:xVal>
          <c:yVal>
            <c:numRef>
              <c:f>'C3'!$H$9:$H$15</c:f>
              <c:numCache>
                <c:formatCode>General</c:formatCode>
                <c:ptCount val="7"/>
                <c:pt idx="0">
                  <c:v>2.09</c:v>
                </c:pt>
                <c:pt idx="1">
                  <c:v>2.09</c:v>
                </c:pt>
                <c:pt idx="2">
                  <c:v>1.08</c:v>
                </c:pt>
                <c:pt idx="3">
                  <c:v>1.1000000000000001</c:v>
                </c:pt>
                <c:pt idx="4">
                  <c:v>1.33</c:v>
                </c:pt>
                <c:pt idx="5">
                  <c:v>1.56</c:v>
                </c:pt>
                <c:pt idx="6">
                  <c:v>0.28000000000000003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7883-4C38-8787-0DB7F72CE6F4}"/>
            </c:ext>
          </c:extLst>
        </c:ser>
        <c:ser>
          <c:idx val="1"/>
          <c:order val="1"/>
          <c:tx>
            <c:v>550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'C3'!$G$16:$G$19</c:f>
              <c:numCache>
                <c:formatCode>General</c:formatCode>
                <c:ptCount val="4"/>
                <c:pt idx="0">
                  <c:v>0.26100000000000001</c:v>
                </c:pt>
                <c:pt idx="1">
                  <c:v>0.314</c:v>
                </c:pt>
                <c:pt idx="2">
                  <c:v>0.29699999999999999</c:v>
                </c:pt>
                <c:pt idx="3">
                  <c:v>0.3</c:v>
                </c:pt>
              </c:numCache>
            </c:numRef>
          </c:xVal>
          <c:yVal>
            <c:numRef>
              <c:f>'C3'!$H$16:$H$19</c:f>
              <c:numCache>
                <c:formatCode>General</c:formatCode>
                <c:ptCount val="4"/>
                <c:pt idx="0">
                  <c:v>1.19</c:v>
                </c:pt>
                <c:pt idx="1">
                  <c:v>1.84</c:v>
                </c:pt>
                <c:pt idx="2">
                  <c:v>1.46</c:v>
                </c:pt>
                <c:pt idx="3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883-4C38-8787-0DB7F72CE6F4}"/>
            </c:ext>
          </c:extLst>
        </c:ser>
        <c:ser>
          <c:idx val="2"/>
          <c:order val="2"/>
          <c:tx>
            <c:v>500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'C3'!$G$4:$G$7</c:f>
              <c:numCache>
                <c:formatCode>General</c:formatCode>
                <c:ptCount val="4"/>
                <c:pt idx="0">
                  <c:v>0.23</c:v>
                </c:pt>
                <c:pt idx="1">
                  <c:v>0.32400000000000001</c:v>
                </c:pt>
                <c:pt idx="2">
                  <c:v>0.22</c:v>
                </c:pt>
                <c:pt idx="3">
                  <c:v>0.27600000000000002</c:v>
                </c:pt>
              </c:numCache>
            </c:numRef>
          </c:xVal>
          <c:yVal>
            <c:numRef>
              <c:f>'C3'!$H$4:$H$7</c:f>
              <c:numCache>
                <c:formatCode>General</c:formatCode>
                <c:ptCount val="4"/>
                <c:pt idx="0">
                  <c:v>0.64100000000000001</c:v>
                </c:pt>
                <c:pt idx="1">
                  <c:v>1.28</c:v>
                </c:pt>
                <c:pt idx="2">
                  <c:v>0.63200000000000001</c:v>
                </c:pt>
                <c:pt idx="3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883-4C38-8787-0DB7F72CE6F4}"/>
            </c:ext>
          </c:extLst>
        </c:ser>
        <c:ser>
          <c:idx val="3"/>
          <c:order val="3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'C3'!$G$3:$G$19</c:f>
              <c:numCache>
                <c:formatCode>General</c:formatCode>
                <c:ptCount val="17"/>
                <c:pt idx="0">
                  <c:v>0.27600000000000002</c:v>
                </c:pt>
                <c:pt idx="1">
                  <c:v>0.23</c:v>
                </c:pt>
                <c:pt idx="2">
                  <c:v>0.32400000000000001</c:v>
                </c:pt>
                <c:pt idx="3">
                  <c:v>0.22</c:v>
                </c:pt>
                <c:pt idx="4">
                  <c:v>0.27600000000000002</c:v>
                </c:pt>
                <c:pt idx="5">
                  <c:v>0.26300000000000001</c:v>
                </c:pt>
                <c:pt idx="6">
                  <c:v>0.32600000000000001</c:v>
                </c:pt>
                <c:pt idx="7">
                  <c:v>0.32600000000000001</c:v>
                </c:pt>
                <c:pt idx="8">
                  <c:v>0.312</c:v>
                </c:pt>
                <c:pt idx="9">
                  <c:v>0.23100000000000001</c:v>
                </c:pt>
                <c:pt idx="10">
                  <c:v>0.3</c:v>
                </c:pt>
                <c:pt idx="11">
                  <c:v>0.313</c:v>
                </c:pt>
                <c:pt idx="12">
                  <c:v>0.188</c:v>
                </c:pt>
                <c:pt idx="13">
                  <c:v>0.26100000000000001</c:v>
                </c:pt>
                <c:pt idx="14">
                  <c:v>0.314</c:v>
                </c:pt>
                <c:pt idx="15">
                  <c:v>0.29699999999999999</c:v>
                </c:pt>
                <c:pt idx="16">
                  <c:v>0.3</c:v>
                </c:pt>
              </c:numCache>
            </c:numRef>
          </c:xVal>
          <c:yVal>
            <c:numRef>
              <c:f>'C3'!$H$3:$H$19</c:f>
              <c:numCache>
                <c:formatCode>General</c:formatCode>
                <c:ptCount val="17"/>
                <c:pt idx="0">
                  <c:v>0.41</c:v>
                </c:pt>
                <c:pt idx="1">
                  <c:v>0.64100000000000001</c:v>
                </c:pt>
                <c:pt idx="2">
                  <c:v>1.28</c:v>
                </c:pt>
                <c:pt idx="3">
                  <c:v>0.63200000000000001</c:v>
                </c:pt>
                <c:pt idx="4">
                  <c:v>1.1000000000000001</c:v>
                </c:pt>
                <c:pt idx="5">
                  <c:v>0.62</c:v>
                </c:pt>
                <c:pt idx="6">
                  <c:v>2.09</c:v>
                </c:pt>
                <c:pt idx="7">
                  <c:v>2.09</c:v>
                </c:pt>
                <c:pt idx="8">
                  <c:v>1.08</c:v>
                </c:pt>
                <c:pt idx="9">
                  <c:v>1.1000000000000001</c:v>
                </c:pt>
                <c:pt idx="10">
                  <c:v>1.33</c:v>
                </c:pt>
                <c:pt idx="11">
                  <c:v>1.56</c:v>
                </c:pt>
                <c:pt idx="12">
                  <c:v>0.28000000000000003</c:v>
                </c:pt>
                <c:pt idx="13">
                  <c:v>1.19</c:v>
                </c:pt>
                <c:pt idx="14">
                  <c:v>1.84</c:v>
                </c:pt>
                <c:pt idx="15">
                  <c:v>1.46</c:v>
                </c:pt>
                <c:pt idx="16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883-4C38-8787-0DB7F72CE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500000000000000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653871391076112E-5"/>
              <c:y val="0.16018343860863543"/>
            </c:manualLayout>
          </c:layout>
          <c:overlay val="0"/>
        </c:title>
        <c:numFmt formatCode="General" sourceLinked="1"/>
        <c:majorTickMark val="cross"/>
        <c:minorTickMark val="in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774216699475063"/>
          <c:y val="7.6131967020605942E-2"/>
          <c:w val="0.39559116633858266"/>
          <c:h val="0.3108443862099655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0.31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rate'!$G$6:$G$21</c:f>
              <c:numCache>
                <c:formatCode>0.000</c:formatCode>
                <c:ptCount val="16"/>
                <c:pt idx="0">
                  <c:v>0.27600000000000002</c:v>
                </c:pt>
                <c:pt idx="1">
                  <c:v>0.27600000000000002</c:v>
                </c:pt>
                <c:pt idx="2">
                  <c:v>0.32400000000000001</c:v>
                </c:pt>
                <c:pt idx="3">
                  <c:v>0.27600000000000002</c:v>
                </c:pt>
                <c:pt idx="4">
                  <c:v>0.26300000000000001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0.312</c:v>
                </c:pt>
                <c:pt idx="8">
                  <c:v>0.313</c:v>
                </c:pt>
                <c:pt idx="9">
                  <c:v>0.3</c:v>
                </c:pt>
                <c:pt idx="10">
                  <c:v>0.188</c:v>
                </c:pt>
                <c:pt idx="11">
                  <c:v>0.314</c:v>
                </c:pt>
                <c:pt idx="12">
                  <c:v>0.29699999999999999</c:v>
                </c:pt>
                <c:pt idx="13">
                  <c:v>0.26800000000000002</c:v>
                </c:pt>
                <c:pt idx="14">
                  <c:v>0.30299999999999999</c:v>
                </c:pt>
                <c:pt idx="15">
                  <c:v>0.26500000000000001</c:v>
                </c:pt>
              </c:numCache>
            </c:numRef>
          </c:xVal>
          <c:yVal>
            <c:numRef>
              <c:f>'Heating rate'!$H$6:$H$21</c:f>
              <c:numCache>
                <c:formatCode>0.00</c:formatCode>
                <c:ptCount val="16"/>
                <c:pt idx="0">
                  <c:v>0.56200000000000006</c:v>
                </c:pt>
                <c:pt idx="1">
                  <c:v>0.41</c:v>
                </c:pt>
                <c:pt idx="2">
                  <c:v>1.28</c:v>
                </c:pt>
                <c:pt idx="3">
                  <c:v>1.1000000000000001</c:v>
                </c:pt>
                <c:pt idx="4">
                  <c:v>0.62</c:v>
                </c:pt>
                <c:pt idx="5">
                  <c:v>2.09</c:v>
                </c:pt>
                <c:pt idx="6">
                  <c:v>2.09</c:v>
                </c:pt>
                <c:pt idx="7">
                  <c:v>1.08</c:v>
                </c:pt>
                <c:pt idx="8">
                  <c:v>1.56</c:v>
                </c:pt>
                <c:pt idx="9">
                  <c:v>1.33</c:v>
                </c:pt>
                <c:pt idx="10">
                  <c:v>0.28000000000000003</c:v>
                </c:pt>
                <c:pt idx="11">
                  <c:v>1.84</c:v>
                </c:pt>
                <c:pt idx="12">
                  <c:v>1.46</c:v>
                </c:pt>
                <c:pt idx="13">
                  <c:v>0.98199999999999998</c:v>
                </c:pt>
                <c:pt idx="14">
                  <c:v>1.2</c:v>
                </c:pt>
                <c:pt idx="15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0-42AC-AC3F-CCEE0A737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500000000000000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Compression strangth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86020701418261"/>
          <c:y val="3.1000124984376952E-2"/>
          <c:w val="0.79368887123530929"/>
          <c:h val="0.81497012873390828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'Density = f(composition)'!$N$14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'Density = f(composition)'!$N$15:$N$22</c:f>
              <c:numCache>
                <c:formatCode>0.000</c:formatCode>
                <c:ptCount val="8"/>
                <c:pt idx="0">
                  <c:v>0.255</c:v>
                </c:pt>
                <c:pt idx="1">
                  <c:v>5.3999999999999999E-2</c:v>
                </c:pt>
                <c:pt idx="2">
                  <c:v>5.3999999999999999E-2</c:v>
                </c:pt>
                <c:pt idx="3">
                  <c:v>0.29699999999999999</c:v>
                </c:pt>
                <c:pt idx="4">
                  <c:v>0.23</c:v>
                </c:pt>
                <c:pt idx="5">
                  <c:v>0.22</c:v>
                </c:pt>
                <c:pt idx="6">
                  <c:v>6.2E-2</c:v>
                </c:pt>
                <c:pt idx="7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0-413D-81AE-1B8F854584C8}"/>
            </c:ext>
          </c:extLst>
        </c:ser>
        <c:ser>
          <c:idx val="0"/>
          <c:order val="1"/>
          <c:tx>
            <c:strRef>
              <c:f>'Density = f(composition)'!$O$14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'Density = f(composition)'!$O$15:$O$22</c:f>
              <c:numCache>
                <c:formatCode>0.000</c:formatCode>
                <c:ptCount val="8"/>
                <c:pt idx="0">
                  <c:v>3.2999999999999974E-2</c:v>
                </c:pt>
                <c:pt idx="1">
                  <c:v>0.11549999999999999</c:v>
                </c:pt>
                <c:pt idx="2">
                  <c:v>0.19700000000000001</c:v>
                </c:pt>
                <c:pt idx="3">
                  <c:v>1.4749999999999985E-2</c:v>
                </c:pt>
                <c:pt idx="4">
                  <c:v>3.4000000000000002E-2</c:v>
                </c:pt>
                <c:pt idx="5">
                  <c:v>3.2749999999999974E-2</c:v>
                </c:pt>
                <c:pt idx="6">
                  <c:v>3.9000000000000007E-2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0-413D-81AE-1B8F854584C8}"/>
            </c:ext>
          </c:extLst>
        </c:ser>
        <c:ser>
          <c:idx val="1"/>
          <c:order val="2"/>
          <c:tx>
            <c:strRef>
              <c:f>'Density = f(composition)'!$P$14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'Density = f(composition)'!$P$15:$P$22</c:f>
              <c:numCache>
                <c:formatCode>0.000</c:formatCode>
                <c:ptCount val="8"/>
                <c:pt idx="0">
                  <c:v>2.6000000000000023E-2</c:v>
                </c:pt>
                <c:pt idx="1">
                  <c:v>0.14250000000000002</c:v>
                </c:pt>
                <c:pt idx="2">
                  <c:v>7.3000000000000009E-2</c:v>
                </c:pt>
                <c:pt idx="3">
                  <c:v>1.2250000000000039E-2</c:v>
                </c:pt>
                <c:pt idx="4">
                  <c:v>3.5999999999999976E-2</c:v>
                </c:pt>
                <c:pt idx="5">
                  <c:v>4.7250000000000014E-2</c:v>
                </c:pt>
                <c:pt idx="6">
                  <c:v>3.9000000000000007E-2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90-413D-81AE-1B8F85458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Composition</a:t>
                </a:r>
              </a:p>
            </c:rich>
          </c:tx>
          <c:layout>
            <c:manualLayout>
              <c:xMode val="edge"/>
              <c:yMode val="edge"/>
              <c:x val="0.45885581438818668"/>
              <c:y val="0.92847619047619045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0.3500000000000000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30892829572773989"/>
            </c:manualLayout>
          </c:layout>
          <c:overlay val="0"/>
        </c:title>
        <c:numFmt formatCode="#,##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5.000000000000001E-2"/>
        <c:minorUnit val="2.5000000000000005E-2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113624150096951"/>
          <c:y val="0.18981702287214097"/>
          <c:w val="0.17919016799457932"/>
          <c:h val="0.2412823397075365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87-4F2D-A985-46D653CD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08869366106689"/>
          <c:y val="3.1000124984376952E-2"/>
          <c:w val="0.81446038458842496"/>
          <c:h val="0.81497012873390828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'Strength = f(composition)'!$N$14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'Strength = f(composition)'!$N$15:$N$22</c:f>
              <c:numCache>
                <c:formatCode>0.000</c:formatCode>
                <c:ptCount val="8"/>
                <c:pt idx="0">
                  <c:v>0.72399999999999998</c:v>
                </c:pt>
                <c:pt idx="1">
                  <c:v>0.47799999999999998</c:v>
                </c:pt>
                <c:pt idx="2">
                  <c:v>0.121</c:v>
                </c:pt>
                <c:pt idx="3">
                  <c:v>1.08</c:v>
                </c:pt>
                <c:pt idx="4">
                  <c:v>0.28000000000000003</c:v>
                </c:pt>
                <c:pt idx="5">
                  <c:v>0.63200000000000001</c:v>
                </c:pt>
                <c:pt idx="6">
                  <c:v>0.40100000000000002</c:v>
                </c:pt>
                <c:pt idx="7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B-4008-B2B3-D5339F881BB8}"/>
            </c:ext>
          </c:extLst>
        </c:ser>
        <c:ser>
          <c:idx val="0"/>
          <c:order val="1"/>
          <c:tx>
            <c:strRef>
              <c:f>'Strength = f(composition)'!$O$14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'Strength = f(composition)'!$O$15:$O$22</c:f>
              <c:numCache>
                <c:formatCode>0.000</c:formatCode>
                <c:ptCount val="8"/>
                <c:pt idx="0">
                  <c:v>0.21350000000000002</c:v>
                </c:pt>
                <c:pt idx="1">
                  <c:v>1.6500000000000015E-2</c:v>
                </c:pt>
                <c:pt idx="2">
                  <c:v>0</c:v>
                </c:pt>
                <c:pt idx="3">
                  <c:v>0.2719999999999998</c:v>
                </c:pt>
                <c:pt idx="4">
                  <c:v>0.81599999999999984</c:v>
                </c:pt>
                <c:pt idx="5">
                  <c:v>0.40059999999999996</c:v>
                </c:pt>
                <c:pt idx="6">
                  <c:v>2.7499999999999969E-2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B-4008-B2B3-D5339F881BB8}"/>
            </c:ext>
          </c:extLst>
        </c:ser>
        <c:ser>
          <c:idx val="1"/>
          <c:order val="2"/>
          <c:tx>
            <c:strRef>
              <c:f>'Strength = f(composition)'!$P$14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= f(composition)'!$M$15:$M$22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'Strength = f(composition)'!$P$15:$P$22</c:f>
              <c:numCache>
                <c:formatCode>0.000</c:formatCode>
                <c:ptCount val="8"/>
                <c:pt idx="0">
                  <c:v>0.37250000000000005</c:v>
                </c:pt>
                <c:pt idx="1">
                  <c:v>1.6500000000000015E-2</c:v>
                </c:pt>
                <c:pt idx="2">
                  <c:v>0</c:v>
                </c:pt>
                <c:pt idx="3">
                  <c:v>0.48800000000000021</c:v>
                </c:pt>
                <c:pt idx="4">
                  <c:v>0.99399999999999999</c:v>
                </c:pt>
                <c:pt idx="5">
                  <c:v>0.56740000000000013</c:v>
                </c:pt>
                <c:pt idx="6">
                  <c:v>2.7500000000000024E-2</c:v>
                </c:pt>
                <c:pt idx="7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0B-4008-B2B3-D5339F881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Composition</a:t>
                </a:r>
              </a:p>
            </c:rich>
          </c:tx>
          <c:layout>
            <c:manualLayout>
              <c:xMode val="edge"/>
              <c:yMode val="edge"/>
              <c:x val="0.44995373723685128"/>
              <c:y val="0.92847619047619045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164390451193600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41036005514146"/>
          <c:y val="0.20886464191976006"/>
          <c:w val="0.17919016799457932"/>
          <c:h val="0.212896182094885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B-4AAD-9DC1-48AA9D728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8275660646277"/>
          <c:y val="2.7353051456803192E-2"/>
          <c:w val="0.79072151218486408"/>
          <c:h val="0.83233706080857539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'Density vs Ts'!$N$14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'Density vs Ts'!$N$15:$N$18</c:f>
              <c:numCache>
                <c:formatCode>0.000</c:formatCode>
                <c:ptCount val="4"/>
                <c:pt idx="0">
                  <c:v>5.3999999999999999E-2</c:v>
                </c:pt>
                <c:pt idx="1">
                  <c:v>0.22</c:v>
                </c:pt>
                <c:pt idx="2">
                  <c:v>0.188</c:v>
                </c:pt>
                <c:pt idx="3">
                  <c:v>0.14299999999999999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7-47A2-9CF3-C6078F6113D3}"/>
            </c:ext>
          </c:extLst>
        </c:ser>
        <c:ser>
          <c:idx val="0"/>
          <c:order val="1"/>
          <c:tx>
            <c:strRef>
              <c:f>'Density vs Ts'!$O$14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'Density vs Ts'!$O$15:$O$18</c:f>
              <c:numCache>
                <c:formatCode>0.000</c:formatCode>
                <c:ptCount val="4"/>
                <c:pt idx="0">
                  <c:v>0.142375</c:v>
                </c:pt>
                <c:pt idx="1">
                  <c:v>4.250000000000001E-2</c:v>
                </c:pt>
                <c:pt idx="2">
                  <c:v>9.7142857142857142E-2</c:v>
                </c:pt>
                <c:pt idx="3">
                  <c:v>0.11639999999999998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7-47A2-9CF3-C6078F6113D3}"/>
            </c:ext>
          </c:extLst>
        </c:ser>
        <c:ser>
          <c:idx val="1"/>
          <c:order val="2"/>
          <c:tx>
            <c:strRef>
              <c:f>'Density vs Ts'!$P$14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'Density vs Ts'!$P$15:$P$18</c:f>
              <c:numCache>
                <c:formatCode>0.000</c:formatCode>
                <c:ptCount val="4"/>
                <c:pt idx="0">
                  <c:v>0.11762500000000001</c:v>
                </c:pt>
                <c:pt idx="1">
                  <c:v>6.1499999999999999E-2</c:v>
                </c:pt>
                <c:pt idx="2">
                  <c:v>4.085714285714287E-2</c:v>
                </c:pt>
                <c:pt idx="3">
                  <c:v>5.4600000000000037E-2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A7-47A2-9CF3-C6078F611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Sintering temperature</a:t>
                </a:r>
                <a:r>
                  <a:rPr lang="en-US" baseline="0"/>
                  <a:t> (</a:t>
                </a:r>
                <a:r>
                  <a:rPr lang="en-US" baseline="0">
                    <a:sym typeface="Symbol" panose="05050102010706020507" pitchFamily="18" charset="2"/>
                  </a:rPr>
                  <a:t>C)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09617047127267"/>
              <c:y val="0.93450980392156868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0.3600000000000000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30892829572773989"/>
            </c:manualLayout>
          </c:layout>
          <c:overlay val="0"/>
        </c:title>
        <c:numFmt formatCode="#,##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6.0000000000000012E-2"/>
        <c:minorUnit val="2.0000000000000004E-2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766443141194887"/>
          <c:y val="2.6605130241072809E-2"/>
          <c:w val="0.64803289796490571"/>
          <c:h val="7.564128013410088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3-44DC-80AF-26FDC4324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4-4713-8746-341334B68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8275660646277"/>
          <c:y val="2.7353051456803192E-2"/>
          <c:w val="0.79072151218486408"/>
          <c:h val="0.82953594036039613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'Density vs HR'!$N$14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'Density vs HR'!$N$15:$N$19</c:f>
              <c:numCache>
                <c:formatCode>0.000</c:formatCode>
                <c:ptCount val="5"/>
                <c:pt idx="0">
                  <c:v>0.23</c:v>
                </c:pt>
                <c:pt idx="1">
                  <c:v>0.23100000000000001</c:v>
                </c:pt>
                <c:pt idx="2">
                  <c:v>0.16900000000000001</c:v>
                </c:pt>
                <c:pt idx="3">
                  <c:v>0.14000000000000001</c:v>
                </c:pt>
                <c:pt idx="4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C-4A7C-8BB0-B1958B4AB2C7}"/>
            </c:ext>
          </c:extLst>
        </c:ser>
        <c:ser>
          <c:idx val="0"/>
          <c:order val="1"/>
          <c:tx>
            <c:strRef>
              <c:f>'Density vs HR'!$O$14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'Density vs HR'!$O$15:$O$19</c:f>
              <c:numCache>
                <c:formatCode>0.000</c:formatCode>
                <c:ptCount val="5"/>
                <c:pt idx="0">
                  <c:v>6.6833333333333328E-2</c:v>
                </c:pt>
                <c:pt idx="1">
                  <c:v>5.1500000000000018E-2</c:v>
                </c:pt>
                <c:pt idx="2">
                  <c:v>8.0333333333333312E-2</c:v>
                </c:pt>
                <c:pt idx="3">
                  <c:v>9.8600000000000049E-2</c:v>
                </c:pt>
                <c:pt idx="4">
                  <c:v>7.6666666666666689E-2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AC-4A7C-8BB0-B1958B4AB2C7}"/>
            </c:ext>
          </c:extLst>
        </c:ser>
        <c:ser>
          <c:idx val="1"/>
          <c:order val="2"/>
          <c:tx>
            <c:strRef>
              <c:f>'Density vs HR'!$P$14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'Density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'Density vs HR'!$P$15:$P$19</c:f>
              <c:numCache>
                <c:formatCode>0.000</c:formatCode>
                <c:ptCount val="5"/>
                <c:pt idx="0">
                  <c:v>2.9166666666666674E-2</c:v>
                </c:pt>
                <c:pt idx="1">
                  <c:v>3.0499999999999972E-2</c:v>
                </c:pt>
                <c:pt idx="2">
                  <c:v>5.0666666666666665E-2</c:v>
                </c:pt>
                <c:pt idx="3">
                  <c:v>7.5399999999999939E-2</c:v>
                </c:pt>
                <c:pt idx="4">
                  <c:v>0.14533333333333334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AC-4A7C-8BB0-B1958B4AB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Heating rate </a:t>
                </a:r>
                <a:r>
                  <a:rPr lang="en-US" baseline="0"/>
                  <a:t>(</a:t>
                </a:r>
                <a:r>
                  <a:rPr lang="en-US" baseline="0">
                    <a:sym typeface="Symbol" panose="05050102010706020507" pitchFamily="18" charset="2"/>
                  </a:rPr>
                  <a:t>Kmin</a:t>
                </a:r>
                <a:r>
                  <a:rPr lang="en-US" baseline="30000">
                    <a:sym typeface="Symbol" panose="05050102010706020507" pitchFamily="18" charset="2"/>
                  </a:rPr>
                  <a:t>1</a:t>
                </a:r>
                <a:r>
                  <a:rPr lang="en-US" baseline="0">
                    <a:sym typeface="Symbol" panose="05050102010706020507" pitchFamily="18" charset="2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09617047127267"/>
              <c:y val="0.93450980392156868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0.3600000000000000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30892829572773989"/>
            </c:manualLayout>
          </c:layout>
          <c:overlay val="0"/>
        </c:title>
        <c:numFmt formatCode="#,##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6.0000000000000012E-2"/>
        <c:minorUnit val="2.0000000000000004E-2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063179046239399"/>
          <c:y val="3.1647044119485067E-2"/>
          <c:w val="0.68067384751980187"/>
          <c:h val="7.564128013410088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08869366106689"/>
          <c:y val="2.7353051456803192E-2"/>
          <c:w val="0.81446038458842496"/>
          <c:h val="0.81011473565804282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'Strength vs Ts'!$N$14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'Strength vs Ts'!$N$15:$N$18</c:f>
              <c:numCache>
                <c:formatCode>0.000</c:formatCode>
                <c:ptCount val="4"/>
                <c:pt idx="0">
                  <c:v>0.111</c:v>
                </c:pt>
                <c:pt idx="1">
                  <c:v>0.63200000000000001</c:v>
                </c:pt>
                <c:pt idx="2">
                  <c:v>0.28000000000000003</c:v>
                </c:pt>
                <c:pt idx="3">
                  <c:v>0.47799999999999998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3-48A5-95DC-0FEF3B45D32A}"/>
            </c:ext>
          </c:extLst>
        </c:ser>
        <c:ser>
          <c:idx val="0"/>
          <c:order val="1"/>
          <c:tx>
            <c:strRef>
              <c:f>'Strength vs Ts'!$O$14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'Strength vs Ts'!$O$15:$O$18</c:f>
              <c:numCache>
                <c:formatCode>0.000</c:formatCode>
                <c:ptCount val="4"/>
                <c:pt idx="0">
                  <c:v>0.46775</c:v>
                </c:pt>
                <c:pt idx="1">
                  <c:v>0.28125</c:v>
                </c:pt>
                <c:pt idx="2">
                  <c:v>1.0814285714285714</c:v>
                </c:pt>
                <c:pt idx="3">
                  <c:v>0.61840000000000006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3-48A5-95DC-0FEF3B45D32A}"/>
            </c:ext>
          </c:extLst>
        </c:ser>
        <c:ser>
          <c:idx val="1"/>
          <c:order val="2"/>
          <c:tx>
            <c:strRef>
              <c:f>'Strength vs Ts'!$P$14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Ts'!$M$15:$M$18</c:f>
              <c:strCache>
                <c:ptCount val="4"/>
                <c:pt idx="0">
                  <c:v>450</c:v>
                </c:pt>
                <c:pt idx="1">
                  <c:v>500</c:v>
                </c:pt>
                <c:pt idx="2">
                  <c:v>525</c:v>
                </c:pt>
                <c:pt idx="3">
                  <c:v>550</c:v>
                </c:pt>
              </c:strCache>
            </c:strRef>
          </c:cat>
          <c:val>
            <c:numRef>
              <c:f>'Strength vs Ts'!$P$15:$P$18</c:f>
              <c:numCache>
                <c:formatCode>0.000</c:formatCode>
                <c:ptCount val="4"/>
                <c:pt idx="0">
                  <c:v>0.73125000000000007</c:v>
                </c:pt>
                <c:pt idx="1">
                  <c:v>0.36675000000000002</c:v>
                </c:pt>
                <c:pt idx="2">
                  <c:v>0.72857142857142843</c:v>
                </c:pt>
                <c:pt idx="3">
                  <c:v>0.74360000000000004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3-48A5-95DC-0FEF3B45D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Sintering temperature</a:t>
                </a:r>
                <a:r>
                  <a:rPr lang="en-US" baseline="0"/>
                  <a:t> (</a:t>
                </a:r>
                <a:r>
                  <a:rPr lang="en-US" baseline="0">
                    <a:sym typeface="Symbol" panose="05050102010706020507" pitchFamily="18" charset="2"/>
                  </a:rPr>
                  <a:t>C)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09617047127267"/>
              <c:y val="0.93450980392156868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14216822897137857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469707236150377"/>
          <c:y val="5.0321209848768901E-2"/>
          <c:w val="0.17919016799457932"/>
          <c:h val="0.212896182094885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44652230971128"/>
          <c:y val="5.3912219305920092E-2"/>
          <c:w val="0.79368889435695533"/>
          <c:h val="0.79592255025401049"/>
        </c:manualLayout>
      </c:layout>
      <c:scatterChart>
        <c:scatterStyle val="lineMarker"/>
        <c:varyColors val="0"/>
        <c:ser>
          <c:idx val="0"/>
          <c:order val="0"/>
          <c:tx>
            <c:v>525</c:v>
          </c:tx>
          <c:spPr>
            <a:ln w="15875">
              <a:noFill/>
            </a:ln>
          </c:spPr>
          <c:marker>
            <c:symbol val="diamond"/>
            <c:size val="8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'C3'!$B$9:$B$15</c:f>
              <c:numCache>
                <c:formatCode>General</c:formatCode>
                <c:ptCount val="7"/>
                <c:pt idx="0">
                  <c:v>5.9</c:v>
                </c:pt>
                <c:pt idx="1">
                  <c:v>5.9</c:v>
                </c:pt>
                <c:pt idx="2">
                  <c:v>18.8</c:v>
                </c:pt>
                <c:pt idx="3">
                  <c:v>18.8</c:v>
                </c:pt>
                <c:pt idx="4">
                  <c:v>18.8</c:v>
                </c:pt>
                <c:pt idx="5">
                  <c:v>18.8</c:v>
                </c:pt>
                <c:pt idx="6">
                  <c:v>27.5</c:v>
                </c:pt>
              </c:numCache>
            </c:numRef>
          </c:xVal>
          <c:yVal>
            <c:numRef>
              <c:f>'C3'!$H$9:$H$15</c:f>
              <c:numCache>
                <c:formatCode>General</c:formatCode>
                <c:ptCount val="7"/>
                <c:pt idx="0">
                  <c:v>2.09</c:v>
                </c:pt>
                <c:pt idx="1">
                  <c:v>2.09</c:v>
                </c:pt>
                <c:pt idx="2">
                  <c:v>1.08</c:v>
                </c:pt>
                <c:pt idx="3">
                  <c:v>1.1000000000000001</c:v>
                </c:pt>
                <c:pt idx="4">
                  <c:v>1.33</c:v>
                </c:pt>
                <c:pt idx="5">
                  <c:v>1.56</c:v>
                </c:pt>
                <c:pt idx="6">
                  <c:v>0.28000000000000003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8448-4CC9-BD15-2160C615F192}"/>
            </c:ext>
          </c:extLst>
        </c:ser>
        <c:ser>
          <c:idx val="1"/>
          <c:order val="1"/>
          <c:tx>
            <c:v>550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'C3'!$B$16:$B$19</c:f>
              <c:numCache>
                <c:formatCode>General</c:formatCode>
                <c:ptCount val="4"/>
                <c:pt idx="0">
                  <c:v>8.1999999999999993</c:v>
                </c:pt>
                <c:pt idx="1">
                  <c:v>8.3000000000000007</c:v>
                </c:pt>
                <c:pt idx="2">
                  <c:v>26.3</c:v>
                </c:pt>
                <c:pt idx="3">
                  <c:v>26.3</c:v>
                </c:pt>
              </c:numCache>
            </c:numRef>
          </c:xVal>
          <c:yVal>
            <c:numRef>
              <c:f>'C3'!$H$16:$H$19</c:f>
              <c:numCache>
                <c:formatCode>General</c:formatCode>
                <c:ptCount val="4"/>
                <c:pt idx="0">
                  <c:v>1.19</c:v>
                </c:pt>
                <c:pt idx="1">
                  <c:v>1.84</c:v>
                </c:pt>
                <c:pt idx="2">
                  <c:v>1.46</c:v>
                </c:pt>
                <c:pt idx="3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48-4CC9-BD15-2160C615F192}"/>
            </c:ext>
          </c:extLst>
        </c:ser>
        <c:ser>
          <c:idx val="2"/>
          <c:order val="2"/>
          <c:tx>
            <c:v>500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'C3'!$B$4:$B$7</c:f>
              <c:numCache>
                <c:formatCode>General</c:formatCode>
                <c:ptCount val="4"/>
                <c:pt idx="0">
                  <c:v>7.7</c:v>
                </c:pt>
                <c:pt idx="1">
                  <c:v>7.7</c:v>
                </c:pt>
                <c:pt idx="2">
                  <c:v>28.5</c:v>
                </c:pt>
                <c:pt idx="3">
                  <c:v>28.5</c:v>
                </c:pt>
              </c:numCache>
            </c:numRef>
          </c:xVal>
          <c:yVal>
            <c:numRef>
              <c:f>'C3'!$H$4:$H$7</c:f>
              <c:numCache>
                <c:formatCode>General</c:formatCode>
                <c:ptCount val="4"/>
                <c:pt idx="0">
                  <c:v>0.64100000000000001</c:v>
                </c:pt>
                <c:pt idx="1">
                  <c:v>1.28</c:v>
                </c:pt>
                <c:pt idx="2">
                  <c:v>0.63200000000000001</c:v>
                </c:pt>
                <c:pt idx="3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48-4CC9-BD15-2160C615F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Heating rate (°C</a:t>
                </a:r>
                <a:r>
                  <a:rPr lang="en-US">
                    <a:sym typeface="Symbol" panose="05050102010706020507" pitchFamily="18" charset="2"/>
                  </a:rPr>
                  <a:t>min</a:t>
                </a:r>
                <a:r>
                  <a:rPr lang="en-US" baseline="30000">
                    <a:sym typeface="Symbol" panose="05050102010706020507" pitchFamily="18" charset="2"/>
                  </a:rPr>
                  <a:t>1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8091629907518104"/>
              <c:y val="0.92928571428571427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653871391076112E-5"/>
              <c:y val="0.16018343860863543"/>
            </c:manualLayout>
          </c:layout>
          <c:overlay val="0"/>
        </c:title>
        <c:numFmt formatCode="General" sourceLinked="1"/>
        <c:majorTickMark val="cross"/>
        <c:minorTickMark val="in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451300032808403"/>
          <c:y val="6.3573097318879099E-2"/>
          <c:w val="0.37736199967191597"/>
          <c:h val="9.4203883855177445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0B-4F18-B1FB-F11048E1C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8"/>
          <c:y val="3.1000124984376952E-2"/>
          <c:w val="0.81149302553797986"/>
          <c:h val="0.80507286589176352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'Strength vs HR'!$N$14</c:f>
              <c:strCache>
                <c:ptCount val="1"/>
                <c:pt idx="0">
                  <c:v>min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'Strength vs HR'!$N$15:$N$19</c:f>
              <c:numCache>
                <c:formatCode>0.000</c:formatCode>
                <c:ptCount val="5"/>
                <c:pt idx="0">
                  <c:v>0.64100000000000001</c:v>
                </c:pt>
                <c:pt idx="1">
                  <c:v>0.41</c:v>
                </c:pt>
                <c:pt idx="2">
                  <c:v>0.28000000000000003</c:v>
                </c:pt>
                <c:pt idx="3">
                  <c:v>0.40100000000000002</c:v>
                </c:pt>
                <c:pt idx="4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5-44B9-AFD4-B1F937BD9123}"/>
            </c:ext>
          </c:extLst>
        </c:ser>
        <c:ser>
          <c:idx val="0"/>
          <c:order val="1"/>
          <c:tx>
            <c:strRef>
              <c:f>'Strength vs HR'!$O$14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'Strength vs HR'!$O$15:$O$19</c:f>
              <c:numCache>
                <c:formatCode>0.000</c:formatCode>
                <c:ptCount val="5"/>
                <c:pt idx="0">
                  <c:v>0.88083333333333336</c:v>
                </c:pt>
                <c:pt idx="1">
                  <c:v>0.60666666666666691</c:v>
                </c:pt>
                <c:pt idx="2">
                  <c:v>0.64849999999999997</c:v>
                </c:pt>
                <c:pt idx="3">
                  <c:v>0.42010000000000003</c:v>
                </c:pt>
                <c:pt idx="4">
                  <c:v>0.15366666666666667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5-44B9-AFD4-B1F937BD9123}"/>
            </c:ext>
          </c:extLst>
        </c:ser>
        <c:ser>
          <c:idx val="1"/>
          <c:order val="2"/>
          <c:tx>
            <c:strRef>
              <c:f>'Strength vs HR'!$P$14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bg1"/>
            </a:solidFill>
            <a:ln w="28575">
              <a:solidFill>
                <a:schemeClr val="tx1"/>
              </a:solidFill>
            </a:ln>
          </c:spPr>
          <c:invertIfNegative val="0"/>
          <c:cat>
            <c:strRef>
              <c:f>'Strength vs HR'!$M$15:$M$19</c:f>
              <c:strCache>
                <c:ptCount val="5"/>
                <c:pt idx="0">
                  <c:v>&lt;10</c:v>
                </c:pt>
                <c:pt idx="1">
                  <c:v>18-20</c:v>
                </c:pt>
                <c:pt idx="2">
                  <c:v>25-28</c:v>
                </c:pt>
                <c:pt idx="3">
                  <c:v>28-30</c:v>
                </c:pt>
                <c:pt idx="4">
                  <c:v>&gt;30</c:v>
                </c:pt>
              </c:strCache>
            </c:strRef>
          </c:cat>
          <c:val>
            <c:numRef>
              <c:f>'Strength vs HR'!$P$15:$P$19</c:f>
              <c:numCache>
                <c:formatCode>0.000</c:formatCode>
                <c:ptCount val="5"/>
                <c:pt idx="0">
                  <c:v>0.56816666666666649</c:v>
                </c:pt>
                <c:pt idx="1">
                  <c:v>0.54333333333333322</c:v>
                </c:pt>
                <c:pt idx="2">
                  <c:v>0.6715000000000001</c:v>
                </c:pt>
                <c:pt idx="3">
                  <c:v>0.4889</c:v>
                </c:pt>
                <c:pt idx="4">
                  <c:v>0.29733333333333339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5-44B9-AFD4-B1F937BD9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31368"/>
        <c:axId val="278632544"/>
      </c:barChart>
      <c:catAx>
        <c:axId val="27863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Heating</a:t>
                </a:r>
                <a:r>
                  <a:rPr lang="en-US" baseline="0"/>
                  <a:t> rate (</a:t>
                </a:r>
                <a:r>
                  <a:rPr lang="en-US" baseline="0">
                    <a:sym typeface="Symbol" panose="05050102010706020507" pitchFamily="18" charset="2"/>
                  </a:rPr>
                  <a:t>Kmin</a:t>
                </a:r>
                <a:r>
                  <a:rPr lang="en-US" baseline="30000">
                    <a:sym typeface="Symbol" panose="05050102010706020507" pitchFamily="18" charset="2"/>
                  </a:rPr>
                  <a:t>1</a:t>
                </a:r>
                <a:r>
                  <a:rPr lang="en-US" baseline="0">
                    <a:sym typeface="Symbol" panose="05050102010706020507" pitchFamily="18" charset="2"/>
                  </a:rPr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7873712002616888"/>
              <c:y val="0.93450980392156868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auto val="1"/>
        <c:lblAlgn val="ctr"/>
        <c:lblOffset val="100"/>
        <c:noMultiLvlLbl val="0"/>
      </c:catAx>
      <c:valAx>
        <c:axId val="278632544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14534283214598176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between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5167036613004981"/>
          <c:y val="4.8827396575428068E-2"/>
          <c:w val="0.17919016799457932"/>
          <c:h val="0.212896182094885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rate'!$G$11:$G$21</c:f>
              <c:numCache>
                <c:formatCode>0.000</c:formatCode>
                <c:ptCount val="11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0.313</c:v>
                </c:pt>
                <c:pt idx="4">
                  <c:v>0.3</c:v>
                </c:pt>
                <c:pt idx="5">
                  <c:v>0.188</c:v>
                </c:pt>
                <c:pt idx="6">
                  <c:v>0.314</c:v>
                </c:pt>
                <c:pt idx="7">
                  <c:v>0.29699999999999999</c:v>
                </c:pt>
                <c:pt idx="8">
                  <c:v>0.26800000000000002</c:v>
                </c:pt>
                <c:pt idx="9">
                  <c:v>0.30299999999999999</c:v>
                </c:pt>
                <c:pt idx="10">
                  <c:v>0.26500000000000001</c:v>
                </c:pt>
              </c:numCache>
            </c:numRef>
          </c:xVal>
          <c:yVal>
            <c:numRef>
              <c:f>'Density = f(composition)'!$H$18:$H$28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06-484F-867C-2D3ED3A1F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99077081240217"/>
          <c:y val="5.7094319057373201E-2"/>
          <c:w val="0.75511320357952294"/>
          <c:h val="0.79592255025401049"/>
        </c:manualLayout>
      </c:layout>
      <c:scatterChart>
        <c:scatterStyle val="lineMarker"/>
        <c:varyColors val="0"/>
        <c:ser>
          <c:idx val="4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Composition!$C$25:$C$46</c:f>
              <c:numCache>
                <c:formatCode>General</c:formatCode>
                <c:ptCount val="22"/>
                <c:pt idx="0">
                  <c:v>525</c:v>
                </c:pt>
                <c:pt idx="1">
                  <c:v>550</c:v>
                </c:pt>
                <c:pt idx="2">
                  <c:v>550</c:v>
                </c:pt>
                <c:pt idx="3">
                  <c:v>550</c:v>
                </c:pt>
                <c:pt idx="4">
                  <c:v>500</c:v>
                </c:pt>
                <c:pt idx="5">
                  <c:v>550</c:v>
                </c:pt>
                <c:pt idx="6">
                  <c:v>550</c:v>
                </c:pt>
                <c:pt idx="7">
                  <c:v>500</c:v>
                </c:pt>
                <c:pt idx="8">
                  <c:v>525</c:v>
                </c:pt>
                <c:pt idx="9">
                  <c:v>450</c:v>
                </c:pt>
                <c:pt idx="10">
                  <c:v>450</c:v>
                </c:pt>
                <c:pt idx="11">
                  <c:v>450</c:v>
                </c:pt>
              </c:numCache>
            </c:numRef>
          </c:xVal>
          <c:yVal>
            <c:numRef>
              <c:f>Composition!$H$25:$H$46</c:f>
              <c:numCache>
                <c:formatCode>0.00</c:formatCode>
                <c:ptCount val="22"/>
                <c:pt idx="0">
                  <c:v>0.28000000000000003</c:v>
                </c:pt>
                <c:pt idx="1">
                  <c:v>0.98199999999999998</c:v>
                </c:pt>
                <c:pt idx="2">
                  <c:v>1.2</c:v>
                </c:pt>
                <c:pt idx="3">
                  <c:v>0.93200000000000005</c:v>
                </c:pt>
                <c:pt idx="4">
                  <c:v>0.64100000000000001</c:v>
                </c:pt>
                <c:pt idx="5">
                  <c:v>1.19</c:v>
                </c:pt>
                <c:pt idx="6">
                  <c:v>1.6</c:v>
                </c:pt>
                <c:pt idx="7">
                  <c:v>0.63200000000000001</c:v>
                </c:pt>
                <c:pt idx="8">
                  <c:v>1.1000000000000001</c:v>
                </c:pt>
                <c:pt idx="9">
                  <c:v>0.45600000000000002</c:v>
                </c:pt>
                <c:pt idx="10">
                  <c:v>0.40100000000000002</c:v>
                </c:pt>
                <c:pt idx="11">
                  <c:v>0.111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8B-4BE5-8B98-22848BA7BCE7}"/>
            </c:ext>
          </c:extLst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Composition!$C$13:$C$18</c:f>
              <c:numCache>
                <c:formatCode>General</c:formatCode>
                <c:ptCount val="6"/>
                <c:pt idx="0">
                  <c:v>525</c:v>
                </c:pt>
                <c:pt idx="1">
                  <c:v>500</c:v>
                </c:pt>
                <c:pt idx="2">
                  <c:v>550</c:v>
                </c:pt>
                <c:pt idx="3">
                  <c:v>550</c:v>
                </c:pt>
                <c:pt idx="4">
                  <c:v>500</c:v>
                </c:pt>
                <c:pt idx="5">
                  <c:v>450</c:v>
                </c:pt>
              </c:numCache>
            </c:numRef>
          </c:xVal>
          <c:yVal>
            <c:numRef>
              <c:f>Composition!$H$13:$H$18</c:f>
              <c:numCache>
                <c:formatCode>0.00</c:formatCode>
                <c:ptCount val="6"/>
                <c:pt idx="0">
                  <c:v>1.08</c:v>
                </c:pt>
                <c:pt idx="1">
                  <c:v>1.28</c:v>
                </c:pt>
                <c:pt idx="2">
                  <c:v>1.84</c:v>
                </c:pt>
                <c:pt idx="3">
                  <c:v>1.46</c:v>
                </c:pt>
                <c:pt idx="4">
                  <c:v>1.1000000000000001</c:v>
                </c:pt>
                <c:pt idx="5">
                  <c:v>0.56200000000000006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8B-4BE5-8B98-22848BA7BC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6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Sintering temperature (</a:t>
                </a:r>
                <a:r>
                  <a:rPr lang="en-US">
                    <a:sym typeface="Symbol" panose="05050102010706020507" pitchFamily="18" charset="2"/>
                  </a:rPr>
                  <a:t>C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0"/>
        <c:minorUnit val="50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</a:t>
                </a:r>
                <a:r>
                  <a:rPr lang="en-US" baseline="0"/>
                  <a:t>strenght</a:t>
                </a:r>
                <a:r>
                  <a:rPr lang="en-US"/>
                  <a:t>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1088908004146539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0.23 : 0.46 : 0.3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Composition!$G$11:$G$21</c:f>
              <c:numCache>
                <c:formatCode>0.000</c:formatCode>
                <c:ptCount val="11"/>
                <c:pt idx="0">
                  <c:v>0.14299999999999999</c:v>
                </c:pt>
                <c:pt idx="1">
                  <c:v>5.3999999999999999E-2</c:v>
                </c:pt>
                <c:pt idx="2">
                  <c:v>0.312</c:v>
                </c:pt>
                <c:pt idx="3">
                  <c:v>0.32400000000000001</c:v>
                </c:pt>
                <c:pt idx="4">
                  <c:v>0.314</c:v>
                </c:pt>
                <c:pt idx="5">
                  <c:v>0.29699999999999999</c:v>
                </c:pt>
                <c:pt idx="6">
                  <c:v>0.27600000000000002</c:v>
                </c:pt>
                <c:pt idx="7">
                  <c:v>0.27600000000000002</c:v>
                </c:pt>
                <c:pt idx="8">
                  <c:v>0.27600000000000002</c:v>
                </c:pt>
                <c:pt idx="9">
                  <c:v>0.26300000000000001</c:v>
                </c:pt>
                <c:pt idx="10">
                  <c:v>0.32600000000000001</c:v>
                </c:pt>
              </c:numCache>
            </c:numRef>
          </c:xVal>
          <c:yVal>
            <c:numRef>
              <c:f>Composition!$H$18:$H$28</c:f>
              <c:numCache>
                <c:formatCode>0.00</c:formatCode>
                <c:ptCount val="11"/>
                <c:pt idx="0">
                  <c:v>0.56200000000000006</c:v>
                </c:pt>
                <c:pt idx="1">
                  <c:v>0.41</c:v>
                </c:pt>
                <c:pt idx="2">
                  <c:v>0.62</c:v>
                </c:pt>
                <c:pt idx="3">
                  <c:v>2.09</c:v>
                </c:pt>
                <c:pt idx="4">
                  <c:v>2.09</c:v>
                </c:pt>
                <c:pt idx="5">
                  <c:v>1.56</c:v>
                </c:pt>
                <c:pt idx="6">
                  <c:v>1.33</c:v>
                </c:pt>
                <c:pt idx="7">
                  <c:v>0.28000000000000003</c:v>
                </c:pt>
                <c:pt idx="8">
                  <c:v>0.98199999999999998</c:v>
                </c:pt>
                <c:pt idx="9">
                  <c:v>1.2</c:v>
                </c:pt>
                <c:pt idx="10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4D-48D2-9104-D0BC20C6A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0248571869692758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7811374097525645"/>
          <c:y val="0.14573479785615032"/>
          <c:w val="0.40966471179233166"/>
          <c:h val="0.10553827830344738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5.7094319057373201E-2"/>
          <c:w val="0.76104792168041313"/>
          <c:h val="0.79592255025401049"/>
        </c:manualLayout>
      </c:layout>
      <c:scatterChart>
        <c:scatterStyle val="lineMarker"/>
        <c:varyColors val="0"/>
        <c:ser>
          <c:idx val="0"/>
          <c:order val="0"/>
          <c:tx>
            <c:v>525</c:v>
          </c:tx>
          <c:spPr>
            <a:ln w="15875">
              <a:noFill/>
            </a:ln>
          </c:spPr>
          <c:marker>
            <c:symbol val="diamond"/>
            <c:size val="8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'C3r'!$G$10:$G$16</c:f>
              <c:numCache>
                <c:formatCode>General</c:formatCode>
                <c:ptCount val="7"/>
                <c:pt idx="0">
                  <c:v>0.32600000000000001</c:v>
                </c:pt>
                <c:pt idx="1">
                  <c:v>0.32600000000000001</c:v>
                </c:pt>
                <c:pt idx="2">
                  <c:v>0.312</c:v>
                </c:pt>
                <c:pt idx="3">
                  <c:v>0.23100000000000001</c:v>
                </c:pt>
                <c:pt idx="4">
                  <c:v>0.3</c:v>
                </c:pt>
                <c:pt idx="5">
                  <c:v>0.313</c:v>
                </c:pt>
                <c:pt idx="6">
                  <c:v>0.188</c:v>
                </c:pt>
              </c:numCache>
            </c:numRef>
          </c:xVal>
          <c:yVal>
            <c:numRef>
              <c:f>'C3r'!$H$10:$H$16</c:f>
              <c:numCache>
                <c:formatCode>General</c:formatCode>
                <c:ptCount val="7"/>
                <c:pt idx="0">
                  <c:v>2.09</c:v>
                </c:pt>
                <c:pt idx="1">
                  <c:v>2.09</c:v>
                </c:pt>
                <c:pt idx="2">
                  <c:v>1.08</c:v>
                </c:pt>
                <c:pt idx="3">
                  <c:v>1.1000000000000001</c:v>
                </c:pt>
                <c:pt idx="4">
                  <c:v>1.33</c:v>
                </c:pt>
                <c:pt idx="5">
                  <c:v>1.56</c:v>
                </c:pt>
                <c:pt idx="6">
                  <c:v>0.28000000000000003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D646-49DB-8896-96F2230DDA72}"/>
            </c:ext>
          </c:extLst>
        </c:ser>
        <c:ser>
          <c:idx val="1"/>
          <c:order val="1"/>
          <c:tx>
            <c:v>550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'C3r'!$G$17:$G$20</c:f>
              <c:numCache>
                <c:formatCode>General</c:formatCode>
                <c:ptCount val="4"/>
                <c:pt idx="0">
                  <c:v>0.26100000000000001</c:v>
                </c:pt>
                <c:pt idx="1">
                  <c:v>0.314</c:v>
                </c:pt>
                <c:pt idx="2">
                  <c:v>0.29699999999999999</c:v>
                </c:pt>
                <c:pt idx="3">
                  <c:v>0.3</c:v>
                </c:pt>
              </c:numCache>
            </c:numRef>
          </c:xVal>
          <c:yVal>
            <c:numRef>
              <c:f>'C3r'!$H$17:$H$20</c:f>
              <c:numCache>
                <c:formatCode>General</c:formatCode>
                <c:ptCount val="4"/>
                <c:pt idx="0">
                  <c:v>1.19</c:v>
                </c:pt>
                <c:pt idx="1">
                  <c:v>1.84</c:v>
                </c:pt>
                <c:pt idx="2">
                  <c:v>1.46</c:v>
                </c:pt>
                <c:pt idx="3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46-49DB-8896-96F2230DDA72}"/>
            </c:ext>
          </c:extLst>
        </c:ser>
        <c:ser>
          <c:idx val="2"/>
          <c:order val="2"/>
          <c:tx>
            <c:v>500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'C3r'!$G$6:$G$9</c:f>
              <c:numCache>
                <c:formatCode>General</c:formatCode>
                <c:ptCount val="4"/>
                <c:pt idx="0">
                  <c:v>0.23</c:v>
                </c:pt>
                <c:pt idx="1">
                  <c:v>0.32400000000000001</c:v>
                </c:pt>
                <c:pt idx="2">
                  <c:v>0.22</c:v>
                </c:pt>
                <c:pt idx="3">
                  <c:v>0.27600000000000002</c:v>
                </c:pt>
              </c:numCache>
            </c:numRef>
          </c:xVal>
          <c:yVal>
            <c:numRef>
              <c:f>'C3r'!$H$6:$H$9</c:f>
              <c:numCache>
                <c:formatCode>General</c:formatCode>
                <c:ptCount val="4"/>
                <c:pt idx="0">
                  <c:v>0.64100000000000001</c:v>
                </c:pt>
                <c:pt idx="1">
                  <c:v>1.28</c:v>
                </c:pt>
                <c:pt idx="2">
                  <c:v>0.63200000000000001</c:v>
                </c:pt>
                <c:pt idx="3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46-49DB-8896-96F2230DDA72}"/>
            </c:ext>
          </c:extLst>
        </c:ser>
        <c:ser>
          <c:idx val="3"/>
          <c:order val="3"/>
          <c:tx>
            <c:v>Fit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'C3r'!$K$6:$K$7</c:f>
              <c:numCache>
                <c:formatCode>General</c:formatCode>
                <c:ptCount val="2"/>
                <c:pt idx="0">
                  <c:v>0.188</c:v>
                </c:pt>
                <c:pt idx="1">
                  <c:v>0.32600000000000001</c:v>
                </c:pt>
              </c:numCache>
            </c:numRef>
          </c:xVal>
          <c:yVal>
            <c:numRef>
              <c:f>'C3r'!$L$6:$L$7</c:f>
              <c:numCache>
                <c:formatCode>0.00</c:formatCode>
                <c:ptCount val="2"/>
                <c:pt idx="0">
                  <c:v>0.3448728548992559</c:v>
                </c:pt>
                <c:pt idx="1">
                  <c:v>1.7367091856278249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46-49DB-8896-96F2230DD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500000000000000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Foam 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General" sourceLinked="1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653871391076112E-5"/>
              <c:y val="0.16018343860863543"/>
            </c:manualLayout>
          </c:layout>
          <c:overlay val="0"/>
        </c:title>
        <c:numFmt formatCode="#,##0.0" sourceLinked="0"/>
        <c:majorTickMark val="cross"/>
        <c:minorTickMark val="in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2855884483282321"/>
          <c:y val="0.14834545681789776"/>
          <c:w val="0.17496343372508705"/>
          <c:h val="0.31757730283714536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2.846950253667271E-2"/>
          <c:w val="0.76104792168041313"/>
          <c:h val="0.81924611464383279"/>
        </c:manualLayout>
      </c:layout>
      <c:scatterChart>
        <c:scatterStyle val="lineMarker"/>
        <c:varyColors val="0"/>
        <c:ser>
          <c:idx val="0"/>
          <c:order val="0"/>
          <c:tx>
            <c:v>Experiment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'Strength vs Density'!$G$9:$G$39</c:f>
              <c:numCache>
                <c:formatCode>0.000</c:formatCode>
                <c:ptCount val="31"/>
                <c:pt idx="0">
                  <c:v>0.312</c:v>
                </c:pt>
                <c:pt idx="1">
                  <c:v>0.32400000000000001</c:v>
                </c:pt>
                <c:pt idx="2">
                  <c:v>0.314</c:v>
                </c:pt>
                <c:pt idx="3">
                  <c:v>0.29699999999999999</c:v>
                </c:pt>
                <c:pt idx="4">
                  <c:v>0.27600000000000002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0.313</c:v>
                </c:pt>
                <c:pt idx="8">
                  <c:v>0.3</c:v>
                </c:pt>
                <c:pt idx="9">
                  <c:v>0.27600000000000002</c:v>
                </c:pt>
                <c:pt idx="10">
                  <c:v>0.26300000000000001</c:v>
                </c:pt>
                <c:pt idx="11">
                  <c:v>0.26800000000000002</c:v>
                </c:pt>
                <c:pt idx="12">
                  <c:v>0.188</c:v>
                </c:pt>
                <c:pt idx="13">
                  <c:v>0.30299999999999999</c:v>
                </c:pt>
                <c:pt idx="14">
                  <c:v>0.26500000000000001</c:v>
                </c:pt>
                <c:pt idx="15">
                  <c:v>0.27600000000000002</c:v>
                </c:pt>
                <c:pt idx="16">
                  <c:v>0.23</c:v>
                </c:pt>
                <c:pt idx="17">
                  <c:v>0.26100000000000001</c:v>
                </c:pt>
                <c:pt idx="18">
                  <c:v>0.3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0.27400000000000002</c:v>
                </c:pt>
                <c:pt idx="22">
                  <c:v>0.255</c:v>
                </c:pt>
                <c:pt idx="23">
                  <c:v>0.314</c:v>
                </c:pt>
                <c:pt idx="24">
                  <c:v>0.309</c:v>
                </c:pt>
                <c:pt idx="25">
                  <c:v>0.161</c:v>
                </c:pt>
                <c:pt idx="26">
                  <c:v>0.14000000000000001</c:v>
                </c:pt>
                <c:pt idx="27">
                  <c:v>0.16900000000000001</c:v>
                </c:pt>
                <c:pt idx="28">
                  <c:v>0.14299999999999999</c:v>
                </c:pt>
                <c:pt idx="29">
                  <c:v>6.2E-2</c:v>
                </c:pt>
                <c:pt idx="30">
                  <c:v>5.3999999999999999E-2</c:v>
                </c:pt>
              </c:numCache>
            </c:numRef>
          </c:xVal>
          <c:yVal>
            <c:numRef>
              <c:f>'Strength vs Density'!$H$9:$H$39</c:f>
              <c:numCache>
                <c:formatCode>0.00</c:formatCode>
                <c:ptCount val="31"/>
                <c:pt idx="0">
                  <c:v>1.08</c:v>
                </c:pt>
                <c:pt idx="1">
                  <c:v>1.28</c:v>
                </c:pt>
                <c:pt idx="2">
                  <c:v>1.84</c:v>
                </c:pt>
                <c:pt idx="3">
                  <c:v>1.46</c:v>
                </c:pt>
                <c:pt idx="4">
                  <c:v>1.1000000000000001</c:v>
                </c:pt>
                <c:pt idx="5">
                  <c:v>2.09</c:v>
                </c:pt>
                <c:pt idx="6">
                  <c:v>2.09</c:v>
                </c:pt>
                <c:pt idx="7">
                  <c:v>1.56</c:v>
                </c:pt>
                <c:pt idx="8">
                  <c:v>1.33</c:v>
                </c:pt>
                <c:pt idx="9">
                  <c:v>0.41</c:v>
                </c:pt>
                <c:pt idx="10">
                  <c:v>0.62</c:v>
                </c:pt>
                <c:pt idx="11">
                  <c:v>0.98199999999999998</c:v>
                </c:pt>
                <c:pt idx="12">
                  <c:v>0.28000000000000003</c:v>
                </c:pt>
                <c:pt idx="13">
                  <c:v>1.2</c:v>
                </c:pt>
                <c:pt idx="14">
                  <c:v>0.93200000000000005</c:v>
                </c:pt>
                <c:pt idx="15">
                  <c:v>0.56200000000000006</c:v>
                </c:pt>
                <c:pt idx="16">
                  <c:v>0.64100000000000001</c:v>
                </c:pt>
                <c:pt idx="17">
                  <c:v>1.19</c:v>
                </c:pt>
                <c:pt idx="18">
                  <c:v>1.6</c:v>
                </c:pt>
                <c:pt idx="19">
                  <c:v>0.63200000000000001</c:v>
                </c:pt>
                <c:pt idx="20">
                  <c:v>1.1000000000000001</c:v>
                </c:pt>
                <c:pt idx="21">
                  <c:v>0.77100000000000002</c:v>
                </c:pt>
                <c:pt idx="22">
                  <c:v>0.72399999999999998</c:v>
                </c:pt>
                <c:pt idx="23">
                  <c:v>0.94499999999999995</c:v>
                </c:pt>
                <c:pt idx="24">
                  <c:v>1.31</c:v>
                </c:pt>
                <c:pt idx="25">
                  <c:v>0.45600000000000002</c:v>
                </c:pt>
                <c:pt idx="26">
                  <c:v>0.40100000000000002</c:v>
                </c:pt>
                <c:pt idx="27">
                  <c:v>0.47799999999999998</c:v>
                </c:pt>
                <c:pt idx="28">
                  <c:v>0.51100000000000001</c:v>
                </c:pt>
                <c:pt idx="29">
                  <c:v>0.111</c:v>
                </c:pt>
                <c:pt idx="30">
                  <c:v>0.121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52-46C2-AEF1-152CA7B1ED64}"/>
            </c:ext>
          </c:extLst>
        </c:ser>
        <c:ser>
          <c:idx val="1"/>
          <c:order val="1"/>
          <c:tx>
            <c:v>Power law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'Strength vs Density'!$O$9:$O$39</c:f>
              <c:numCache>
                <c:formatCode>General</c:formatCode>
                <c:ptCount val="31"/>
                <c:pt idx="0">
                  <c:v>0.14000000000000001</c:v>
                </c:pt>
                <c:pt idx="1">
                  <c:v>0.15000000000000002</c:v>
                </c:pt>
                <c:pt idx="2">
                  <c:v>0.16000000000000003</c:v>
                </c:pt>
                <c:pt idx="3">
                  <c:v>0.17000000000000004</c:v>
                </c:pt>
                <c:pt idx="4">
                  <c:v>0.18000000000000005</c:v>
                </c:pt>
                <c:pt idx="5">
                  <c:v>0.19000000000000006</c:v>
                </c:pt>
                <c:pt idx="6">
                  <c:v>0.20000000000000007</c:v>
                </c:pt>
                <c:pt idx="7">
                  <c:v>0.21000000000000008</c:v>
                </c:pt>
                <c:pt idx="8">
                  <c:v>0.22000000000000008</c:v>
                </c:pt>
                <c:pt idx="9">
                  <c:v>0.23000000000000009</c:v>
                </c:pt>
                <c:pt idx="10">
                  <c:v>0.2400000000000001</c:v>
                </c:pt>
                <c:pt idx="11">
                  <c:v>0.25000000000000011</c:v>
                </c:pt>
                <c:pt idx="12">
                  <c:v>0.26000000000000012</c:v>
                </c:pt>
                <c:pt idx="13">
                  <c:v>0.27000000000000013</c:v>
                </c:pt>
                <c:pt idx="14">
                  <c:v>0.28000000000000014</c:v>
                </c:pt>
                <c:pt idx="15">
                  <c:v>0.29000000000000015</c:v>
                </c:pt>
                <c:pt idx="16">
                  <c:v>0.30000000000000016</c:v>
                </c:pt>
                <c:pt idx="17">
                  <c:v>0.31000000000000016</c:v>
                </c:pt>
                <c:pt idx="18">
                  <c:v>0.32000000000000017</c:v>
                </c:pt>
                <c:pt idx="19">
                  <c:v>0.33000000000000018</c:v>
                </c:pt>
                <c:pt idx="30">
                  <c:v>2.23</c:v>
                </c:pt>
              </c:numCache>
            </c:numRef>
          </c:xVal>
          <c:yVal>
            <c:numRef>
              <c:f>'Strength vs Density'!$K$9:$K$39</c:f>
              <c:numCache>
                <c:formatCode>0.00</c:formatCode>
                <c:ptCount val="31"/>
                <c:pt idx="0">
                  <c:v>0.19214181463379129</c:v>
                </c:pt>
                <c:pt idx="1">
                  <c:v>0.22831263503091195</c:v>
                </c:pt>
                <c:pt idx="2">
                  <c:v>0.26828831348158128</c:v>
                </c:pt>
                <c:pt idx="3">
                  <c:v>0.3121936765433373</c:v>
                </c:pt>
                <c:pt idx="4">
                  <c:v>0.360149703465239</c:v>
                </c:pt>
                <c:pt idx="5">
                  <c:v>0.41227386159951313</c:v>
                </c:pt>
                <c:pt idx="6">
                  <c:v>0.46868039571374159</c:v>
                </c:pt>
                <c:pt idx="7">
                  <c:v>0.52948057961837092</c:v>
                </c:pt>
                <c:pt idx="8">
                  <c:v>0.59478293664603687</c:v>
                </c:pt>
                <c:pt idx="9">
                  <c:v>0.66469343412939086</c:v>
                </c:pt>
                <c:pt idx="10">
                  <c:v>0.73931565597944771</c:v>
                </c:pt>
                <c:pt idx="11">
                  <c:v>0.8187509566698653</c:v>
                </c:pt>
                <c:pt idx="12">
                  <c:v>0.90309859931734582</c:v>
                </c:pt>
                <c:pt idx="13">
                  <c:v>0.99245588006757002</c:v>
                </c:pt>
                <c:pt idx="14">
                  <c:v>1.0869182406163409</c:v>
                </c:pt>
                <c:pt idx="15">
                  <c:v>1.1865793703927452</c:v>
                </c:pt>
                <c:pt idx="16">
                  <c:v>1.2915312996874175</c:v>
                </c:pt>
                <c:pt idx="17">
                  <c:v>1.4018644848111563</c:v>
                </c:pt>
                <c:pt idx="18">
                  <c:v>1.5176678862074273</c:v>
                </c:pt>
                <c:pt idx="19">
                  <c:v>1.63902904030904</c:v>
                </c:pt>
                <c:pt idx="30">
                  <c:v>26.200030613435654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2F-4061-833D-29CB3BC48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17050906427394247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959905605271151"/>
          <c:y val="6.1035066837575536E-2"/>
          <c:w val="0.53520806560900958"/>
          <c:h val="0.1599066105108954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2.846950253667271E-2"/>
          <c:w val="0.76104792168041313"/>
          <c:h val="0.81924611464383279"/>
        </c:manualLayout>
      </c:layout>
      <c:scatterChart>
        <c:scatterStyle val="lineMarker"/>
        <c:varyColors val="0"/>
        <c:ser>
          <c:idx val="0"/>
          <c:order val="0"/>
          <c:tx>
            <c:v>Experiment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'Strength vs Density'!$G$9:$G$39</c:f>
              <c:numCache>
                <c:formatCode>0.000</c:formatCode>
                <c:ptCount val="31"/>
                <c:pt idx="0">
                  <c:v>0.312</c:v>
                </c:pt>
                <c:pt idx="1">
                  <c:v>0.32400000000000001</c:v>
                </c:pt>
                <c:pt idx="2">
                  <c:v>0.314</c:v>
                </c:pt>
                <c:pt idx="3">
                  <c:v>0.29699999999999999</c:v>
                </c:pt>
                <c:pt idx="4">
                  <c:v>0.27600000000000002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0.313</c:v>
                </c:pt>
                <c:pt idx="8">
                  <c:v>0.3</c:v>
                </c:pt>
                <c:pt idx="9">
                  <c:v>0.27600000000000002</c:v>
                </c:pt>
                <c:pt idx="10">
                  <c:v>0.26300000000000001</c:v>
                </c:pt>
                <c:pt idx="11">
                  <c:v>0.26800000000000002</c:v>
                </c:pt>
                <c:pt idx="12">
                  <c:v>0.188</c:v>
                </c:pt>
                <c:pt idx="13">
                  <c:v>0.30299999999999999</c:v>
                </c:pt>
                <c:pt idx="14">
                  <c:v>0.26500000000000001</c:v>
                </c:pt>
                <c:pt idx="15">
                  <c:v>0.27600000000000002</c:v>
                </c:pt>
                <c:pt idx="16">
                  <c:v>0.23</c:v>
                </c:pt>
                <c:pt idx="17">
                  <c:v>0.26100000000000001</c:v>
                </c:pt>
                <c:pt idx="18">
                  <c:v>0.3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0.27400000000000002</c:v>
                </c:pt>
                <c:pt idx="22">
                  <c:v>0.255</c:v>
                </c:pt>
                <c:pt idx="23">
                  <c:v>0.314</c:v>
                </c:pt>
                <c:pt idx="24">
                  <c:v>0.309</c:v>
                </c:pt>
                <c:pt idx="25">
                  <c:v>0.161</c:v>
                </c:pt>
                <c:pt idx="26">
                  <c:v>0.14000000000000001</c:v>
                </c:pt>
                <c:pt idx="27">
                  <c:v>0.16900000000000001</c:v>
                </c:pt>
                <c:pt idx="28">
                  <c:v>0.14299999999999999</c:v>
                </c:pt>
                <c:pt idx="29">
                  <c:v>6.2E-2</c:v>
                </c:pt>
                <c:pt idx="30">
                  <c:v>5.3999999999999999E-2</c:v>
                </c:pt>
              </c:numCache>
            </c:numRef>
          </c:xVal>
          <c:yVal>
            <c:numRef>
              <c:f>'Strength vs Density'!$H$9:$H$39</c:f>
              <c:numCache>
                <c:formatCode>0.00</c:formatCode>
                <c:ptCount val="31"/>
                <c:pt idx="0">
                  <c:v>1.08</c:v>
                </c:pt>
                <c:pt idx="1">
                  <c:v>1.28</c:v>
                </c:pt>
                <c:pt idx="2">
                  <c:v>1.84</c:v>
                </c:pt>
                <c:pt idx="3">
                  <c:v>1.46</c:v>
                </c:pt>
                <c:pt idx="4">
                  <c:v>1.1000000000000001</c:v>
                </c:pt>
                <c:pt idx="5">
                  <c:v>2.09</c:v>
                </c:pt>
                <c:pt idx="6">
                  <c:v>2.09</c:v>
                </c:pt>
                <c:pt idx="7">
                  <c:v>1.56</c:v>
                </c:pt>
                <c:pt idx="8">
                  <c:v>1.33</c:v>
                </c:pt>
                <c:pt idx="9">
                  <c:v>0.41</c:v>
                </c:pt>
                <c:pt idx="10">
                  <c:v>0.62</c:v>
                </c:pt>
                <c:pt idx="11">
                  <c:v>0.98199999999999998</c:v>
                </c:pt>
                <c:pt idx="12">
                  <c:v>0.28000000000000003</c:v>
                </c:pt>
                <c:pt idx="13">
                  <c:v>1.2</c:v>
                </c:pt>
                <c:pt idx="14">
                  <c:v>0.93200000000000005</c:v>
                </c:pt>
                <c:pt idx="15">
                  <c:v>0.56200000000000006</c:v>
                </c:pt>
                <c:pt idx="16">
                  <c:v>0.64100000000000001</c:v>
                </c:pt>
                <c:pt idx="17">
                  <c:v>1.19</c:v>
                </c:pt>
                <c:pt idx="18">
                  <c:v>1.6</c:v>
                </c:pt>
                <c:pt idx="19">
                  <c:v>0.63200000000000001</c:v>
                </c:pt>
                <c:pt idx="20">
                  <c:v>1.1000000000000001</c:v>
                </c:pt>
                <c:pt idx="21">
                  <c:v>0.77100000000000002</c:v>
                </c:pt>
                <c:pt idx="22">
                  <c:v>0.72399999999999998</c:v>
                </c:pt>
                <c:pt idx="23">
                  <c:v>0.94499999999999995</c:v>
                </c:pt>
                <c:pt idx="24">
                  <c:v>1.31</c:v>
                </c:pt>
                <c:pt idx="25">
                  <c:v>0.45600000000000002</c:v>
                </c:pt>
                <c:pt idx="26">
                  <c:v>0.40100000000000002</c:v>
                </c:pt>
                <c:pt idx="27">
                  <c:v>0.47799999999999998</c:v>
                </c:pt>
                <c:pt idx="28">
                  <c:v>0.51100000000000001</c:v>
                </c:pt>
                <c:pt idx="29">
                  <c:v>0.111</c:v>
                </c:pt>
                <c:pt idx="30">
                  <c:v>0.121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BE-48F9-ADB8-848955A7E444}"/>
            </c:ext>
          </c:extLst>
        </c:ser>
        <c:ser>
          <c:idx val="1"/>
          <c:order val="1"/>
          <c:tx>
            <c:v>Power law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'Strength vs Density'!$O$9:$O$39</c:f>
              <c:numCache>
                <c:formatCode>General</c:formatCode>
                <c:ptCount val="31"/>
                <c:pt idx="0">
                  <c:v>0.14000000000000001</c:v>
                </c:pt>
                <c:pt idx="1">
                  <c:v>0.15000000000000002</c:v>
                </c:pt>
                <c:pt idx="2">
                  <c:v>0.16000000000000003</c:v>
                </c:pt>
                <c:pt idx="3">
                  <c:v>0.17000000000000004</c:v>
                </c:pt>
                <c:pt idx="4">
                  <c:v>0.18000000000000005</c:v>
                </c:pt>
                <c:pt idx="5">
                  <c:v>0.19000000000000006</c:v>
                </c:pt>
                <c:pt idx="6">
                  <c:v>0.20000000000000007</c:v>
                </c:pt>
                <c:pt idx="7">
                  <c:v>0.21000000000000008</c:v>
                </c:pt>
                <c:pt idx="8">
                  <c:v>0.22000000000000008</c:v>
                </c:pt>
                <c:pt idx="9">
                  <c:v>0.23000000000000009</c:v>
                </c:pt>
                <c:pt idx="10">
                  <c:v>0.2400000000000001</c:v>
                </c:pt>
                <c:pt idx="11">
                  <c:v>0.25000000000000011</c:v>
                </c:pt>
                <c:pt idx="12">
                  <c:v>0.26000000000000012</c:v>
                </c:pt>
                <c:pt idx="13">
                  <c:v>0.27000000000000013</c:v>
                </c:pt>
                <c:pt idx="14">
                  <c:v>0.28000000000000014</c:v>
                </c:pt>
                <c:pt idx="15">
                  <c:v>0.29000000000000015</c:v>
                </c:pt>
                <c:pt idx="16">
                  <c:v>0.30000000000000016</c:v>
                </c:pt>
                <c:pt idx="17">
                  <c:v>0.31000000000000016</c:v>
                </c:pt>
                <c:pt idx="18">
                  <c:v>0.32000000000000017</c:v>
                </c:pt>
                <c:pt idx="19">
                  <c:v>0.33000000000000018</c:v>
                </c:pt>
                <c:pt idx="30">
                  <c:v>2.23</c:v>
                </c:pt>
              </c:numCache>
            </c:numRef>
          </c:xVal>
          <c:yVal>
            <c:numRef>
              <c:f>'Strength vs Density'!$K$9:$K$39</c:f>
              <c:numCache>
                <c:formatCode>0.00</c:formatCode>
                <c:ptCount val="31"/>
                <c:pt idx="0">
                  <c:v>0.19214181463379129</c:v>
                </c:pt>
                <c:pt idx="1">
                  <c:v>0.22831263503091195</c:v>
                </c:pt>
                <c:pt idx="2">
                  <c:v>0.26828831348158128</c:v>
                </c:pt>
                <c:pt idx="3">
                  <c:v>0.3121936765433373</c:v>
                </c:pt>
                <c:pt idx="4">
                  <c:v>0.360149703465239</c:v>
                </c:pt>
                <c:pt idx="5">
                  <c:v>0.41227386159951313</c:v>
                </c:pt>
                <c:pt idx="6">
                  <c:v>0.46868039571374159</c:v>
                </c:pt>
                <c:pt idx="7">
                  <c:v>0.52948057961837092</c:v>
                </c:pt>
                <c:pt idx="8">
                  <c:v>0.59478293664603687</c:v>
                </c:pt>
                <c:pt idx="9">
                  <c:v>0.66469343412939086</c:v>
                </c:pt>
                <c:pt idx="10">
                  <c:v>0.73931565597944771</c:v>
                </c:pt>
                <c:pt idx="11">
                  <c:v>0.8187509566698653</c:v>
                </c:pt>
                <c:pt idx="12">
                  <c:v>0.90309859931734582</c:v>
                </c:pt>
                <c:pt idx="13">
                  <c:v>0.99245588006757002</c:v>
                </c:pt>
                <c:pt idx="14">
                  <c:v>1.0869182406163409</c:v>
                </c:pt>
                <c:pt idx="15">
                  <c:v>1.1865793703927452</c:v>
                </c:pt>
                <c:pt idx="16">
                  <c:v>1.2915312996874175</c:v>
                </c:pt>
                <c:pt idx="17">
                  <c:v>1.4018644848111563</c:v>
                </c:pt>
                <c:pt idx="18">
                  <c:v>1.5176678862074273</c:v>
                </c:pt>
                <c:pt idx="19">
                  <c:v>1.63902904030904</c:v>
                </c:pt>
                <c:pt idx="30">
                  <c:v>26.200030613435654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BE-48F9-ADB8-848955A7E444}"/>
            </c:ext>
          </c:extLst>
        </c:ser>
        <c:ser>
          <c:idx val="2"/>
          <c:order val="2"/>
          <c:tx>
            <c:v>Ashby-Gibson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'Strength vs Density'!$O$9:$O$28</c:f>
              <c:numCache>
                <c:formatCode>General</c:formatCode>
                <c:ptCount val="20"/>
                <c:pt idx="0">
                  <c:v>0.14000000000000001</c:v>
                </c:pt>
                <c:pt idx="1">
                  <c:v>0.15000000000000002</c:v>
                </c:pt>
                <c:pt idx="2">
                  <c:v>0.16000000000000003</c:v>
                </c:pt>
                <c:pt idx="3">
                  <c:v>0.17000000000000004</c:v>
                </c:pt>
                <c:pt idx="4">
                  <c:v>0.18000000000000005</c:v>
                </c:pt>
                <c:pt idx="5">
                  <c:v>0.19000000000000006</c:v>
                </c:pt>
                <c:pt idx="6">
                  <c:v>0.20000000000000007</c:v>
                </c:pt>
                <c:pt idx="7">
                  <c:v>0.21000000000000008</c:v>
                </c:pt>
                <c:pt idx="8">
                  <c:v>0.22000000000000008</c:v>
                </c:pt>
                <c:pt idx="9">
                  <c:v>0.23000000000000009</c:v>
                </c:pt>
                <c:pt idx="10">
                  <c:v>0.2400000000000001</c:v>
                </c:pt>
                <c:pt idx="11">
                  <c:v>0.25000000000000011</c:v>
                </c:pt>
                <c:pt idx="12">
                  <c:v>0.26000000000000012</c:v>
                </c:pt>
                <c:pt idx="13">
                  <c:v>0.27000000000000013</c:v>
                </c:pt>
                <c:pt idx="14">
                  <c:v>0.28000000000000014</c:v>
                </c:pt>
                <c:pt idx="15">
                  <c:v>0.29000000000000015</c:v>
                </c:pt>
                <c:pt idx="16">
                  <c:v>0.30000000000000016</c:v>
                </c:pt>
                <c:pt idx="17">
                  <c:v>0.31000000000000016</c:v>
                </c:pt>
                <c:pt idx="18">
                  <c:v>0.32000000000000017</c:v>
                </c:pt>
                <c:pt idx="19">
                  <c:v>0.33000000000000018</c:v>
                </c:pt>
              </c:numCache>
            </c:numRef>
          </c:xVal>
          <c:yVal>
            <c:numRef>
              <c:f>'Strength vs Density'!$P$9:$P$28</c:f>
              <c:numCache>
                <c:formatCode>0.000</c:formatCode>
                <c:ptCount val="20"/>
                <c:pt idx="0">
                  <c:v>0.27835235557117</c:v>
                </c:pt>
                <c:pt idx="1">
                  <c:v>0.31947796223700581</c:v>
                </c:pt>
                <c:pt idx="2">
                  <c:v>0.36343400714235352</c:v>
                </c:pt>
                <c:pt idx="3">
                  <c:v>0.41022031158108258</c:v>
                </c:pt>
                <c:pt idx="4">
                  <c:v>0.45983671288186934</c:v>
                </c:pt>
                <c:pt idx="5">
                  <c:v>0.51228306214410679</c:v>
                </c:pt>
                <c:pt idx="6">
                  <c:v>0.5675592223976994</c:v>
                </c:pt>
                <c:pt idx="7">
                  <c:v>0.6256650670898386</c:v>
                </c:pt>
                <c:pt idx="8">
                  <c:v>0.6866004788276342</c:v>
                </c:pt>
                <c:pt idx="9">
                  <c:v>0.75036534832351787</c:v>
                </c:pt>
                <c:pt idx="10">
                  <c:v>0.81695957350321646</c:v>
                </c:pt>
                <c:pt idx="11">
                  <c:v>0.88638305874541579</c:v>
                </c:pt>
                <c:pt idx="12">
                  <c:v>0.95863571422912719</c:v>
                </c:pt>
                <c:pt idx="13">
                  <c:v>1.0337174553698947</c:v>
                </c:pt>
                <c:pt idx="14">
                  <c:v>1.1116282023298758</c:v>
                </c:pt>
                <c:pt idx="15">
                  <c:v>1.1923678795897927</c:v>
                </c:pt>
                <c:pt idx="16">
                  <c:v>1.2759364155730573</c:v>
                </c:pt>
                <c:pt idx="17">
                  <c:v>1.3623337423141684</c:v>
                </c:pt>
                <c:pt idx="18">
                  <c:v>1.451559795164888</c:v>
                </c:pt>
                <c:pt idx="19">
                  <c:v>1.5436145125328464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BE-48F9-ADB8-848955A7E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35000000000000003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.000000000000001E-2"/>
        <c:minorUnit val="2.5000000000000005E-2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Compressive strength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17050906427394247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1553377415360175"/>
          <c:y val="4.6500183116645305E-2"/>
          <c:w val="0.50256711605411331"/>
          <c:h val="0.2122321919062442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05605271151195"/>
          <c:y val="2.846950253667271E-2"/>
          <c:w val="0.76104792168041313"/>
          <c:h val="0.81924611464383279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'Qu data'!$Q$4:$Q$17</c:f>
              <c:numCache>
                <c:formatCode>General</c:formatCode>
                <c:ptCount val="14"/>
                <c:pt idx="0">
                  <c:v>5.1999999999999998E-2</c:v>
                </c:pt>
                <c:pt idx="1">
                  <c:v>5.1999999999999998E-2</c:v>
                </c:pt>
                <c:pt idx="2">
                  <c:v>5.5999999999999994E-2</c:v>
                </c:pt>
                <c:pt idx="3">
                  <c:v>0.06</c:v>
                </c:pt>
                <c:pt idx="4">
                  <c:v>6.4000000000000001E-2</c:v>
                </c:pt>
                <c:pt idx="5">
                  <c:v>6.8000000000000005E-2</c:v>
                </c:pt>
                <c:pt idx="6">
                  <c:v>7.2000000000000008E-2</c:v>
                </c:pt>
                <c:pt idx="7">
                  <c:v>7.2000000000000008E-2</c:v>
                </c:pt>
                <c:pt idx="8">
                  <c:v>7.6000000000000012E-2</c:v>
                </c:pt>
                <c:pt idx="9">
                  <c:v>8.0000000000000016E-2</c:v>
                </c:pt>
                <c:pt idx="10">
                  <c:v>8.4000000000000019E-2</c:v>
                </c:pt>
                <c:pt idx="11">
                  <c:v>8.8000000000000023E-2</c:v>
                </c:pt>
                <c:pt idx="12">
                  <c:v>0.09</c:v>
                </c:pt>
                <c:pt idx="13">
                  <c:v>0.09</c:v>
                </c:pt>
              </c:numCache>
            </c:numRef>
          </c:xVal>
          <c:yVal>
            <c:numRef>
              <c:f>'Qu data'!$R$4:$R$17</c:f>
              <c:numCache>
                <c:formatCode>0.00</c:formatCode>
                <c:ptCount val="14"/>
                <c:pt idx="0">
                  <c:v>1.0839908216861995</c:v>
                </c:pt>
                <c:pt idx="1">
                  <c:v>0.9</c:v>
                </c:pt>
                <c:pt idx="2">
                  <c:v>1.3483754314541276</c:v>
                </c:pt>
                <c:pt idx="3">
                  <c:v>1.6521663202323433</c:v>
                </c:pt>
                <c:pt idx="4">
                  <c:v>1.9980185536382826</c:v>
                </c:pt>
                <c:pt idx="5">
                  <c:v>2.3885774721673911</c:v>
                </c:pt>
                <c:pt idx="6">
                  <c:v>2.8264793330721503</c:v>
                </c:pt>
                <c:pt idx="7">
                  <c:v>3</c:v>
                </c:pt>
                <c:pt idx="8">
                  <c:v>3.3143518744874889</c:v>
                </c:pt>
                <c:pt idx="9">
                  <c:v>3.8548148150386901</c:v>
                </c:pt>
                <c:pt idx="10">
                  <c:v>4.4504802993323036</c:v>
                </c:pt>
                <c:pt idx="11">
                  <c:v>5.1039532976151056</c:v>
                </c:pt>
                <c:pt idx="12">
                  <c:v>5.4</c:v>
                </c:pt>
                <c:pt idx="13">
                  <c:v>5.4531797953962702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ED-4383-A563-FAB137A0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9654137959317592"/>
              <c:y val="0.9265934065934066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2.0000000000000004E-2"/>
        <c:minorUnit val="5.000000000000001E-3"/>
      </c:valAx>
      <c:valAx>
        <c:axId val="278632544"/>
        <c:scaling>
          <c:orientation val="minMax"/>
          <c:max val="6"/>
          <c:min val="0"/>
        </c:scaling>
        <c:delete val="0"/>
        <c:axPos val="l"/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1"/>
        <c:minorUnit val="0.1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959905605271151"/>
          <c:y val="6.1035066837575536E-2"/>
          <c:w val="0.20075718015665797"/>
          <c:h val="8.501558949426624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72964321596302"/>
          <c:y val="2.9680970729722613E-2"/>
          <c:w val="0.74340685530035744"/>
          <c:h val="0.81719910011248598"/>
        </c:manualLayout>
      </c:layout>
      <c:scatterChart>
        <c:scatterStyle val="lineMarker"/>
        <c:varyColors val="0"/>
        <c:ser>
          <c:idx val="4"/>
          <c:order val="0"/>
          <c:tx>
            <c:v>Silica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'Density vs composition'!$F$6:$F$36</c:f>
              <c:numCache>
                <c:formatCode>0.000</c:formatCode>
                <c:ptCount val="31"/>
                <c:pt idx="0">
                  <c:v>0.34200000000000003</c:v>
                </c:pt>
                <c:pt idx="1">
                  <c:v>0.33399999999999996</c:v>
                </c:pt>
                <c:pt idx="2">
                  <c:v>0.33399999999999996</c:v>
                </c:pt>
                <c:pt idx="3">
                  <c:v>0.33399999999999996</c:v>
                </c:pt>
                <c:pt idx="4">
                  <c:v>0.33399999999999996</c:v>
                </c:pt>
                <c:pt idx="5">
                  <c:v>0.312</c:v>
                </c:pt>
                <c:pt idx="6">
                  <c:v>0.312</c:v>
                </c:pt>
                <c:pt idx="7">
                  <c:v>0.312</c:v>
                </c:pt>
                <c:pt idx="8">
                  <c:v>0.312</c:v>
                </c:pt>
                <c:pt idx="9">
                  <c:v>0.312</c:v>
                </c:pt>
                <c:pt idx="10">
                  <c:v>0.312</c:v>
                </c:pt>
                <c:pt idx="11">
                  <c:v>0.312</c:v>
                </c:pt>
                <c:pt idx="12">
                  <c:v>0.312</c:v>
                </c:pt>
                <c:pt idx="13">
                  <c:v>0.312</c:v>
                </c:pt>
                <c:pt idx="14">
                  <c:v>0.312</c:v>
                </c:pt>
                <c:pt idx="15">
                  <c:v>0.312</c:v>
                </c:pt>
                <c:pt idx="16">
                  <c:v>0.28600000000000003</c:v>
                </c:pt>
                <c:pt idx="17">
                  <c:v>0.28600000000000003</c:v>
                </c:pt>
                <c:pt idx="18">
                  <c:v>0.28600000000000003</c:v>
                </c:pt>
                <c:pt idx="19">
                  <c:v>0.28600000000000003</c:v>
                </c:pt>
                <c:pt idx="20">
                  <c:v>0.27600000000000002</c:v>
                </c:pt>
                <c:pt idx="21">
                  <c:v>0.34</c:v>
                </c:pt>
                <c:pt idx="22">
                  <c:v>0.34</c:v>
                </c:pt>
                <c:pt idx="23">
                  <c:v>0.34</c:v>
                </c:pt>
                <c:pt idx="24">
                  <c:v>0.34</c:v>
                </c:pt>
                <c:pt idx="25">
                  <c:v>0.22600000000000001</c:v>
                </c:pt>
                <c:pt idx="26">
                  <c:v>0.22600000000000001</c:v>
                </c:pt>
                <c:pt idx="27">
                  <c:v>0.25</c:v>
                </c:pt>
                <c:pt idx="28">
                  <c:v>0.25</c:v>
                </c:pt>
                <c:pt idx="29">
                  <c:v>0.11800000000000001</c:v>
                </c:pt>
                <c:pt idx="30">
                  <c:v>0.13200000000000001</c:v>
                </c:pt>
              </c:numCache>
            </c:numRef>
          </c:xVal>
          <c:yVal>
            <c:numRef>
              <c:f>'Density vs composition'!$G$6:$G$36</c:f>
              <c:numCache>
                <c:formatCode>0.000</c:formatCode>
                <c:ptCount val="31"/>
                <c:pt idx="0">
                  <c:v>0.312</c:v>
                </c:pt>
                <c:pt idx="1">
                  <c:v>0.32400000000000001</c:v>
                </c:pt>
                <c:pt idx="2">
                  <c:v>0.314</c:v>
                </c:pt>
                <c:pt idx="3">
                  <c:v>0.29699999999999999</c:v>
                </c:pt>
                <c:pt idx="4">
                  <c:v>0.27600000000000002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0.313</c:v>
                </c:pt>
                <c:pt idx="8">
                  <c:v>0.3</c:v>
                </c:pt>
                <c:pt idx="9">
                  <c:v>0.27600000000000002</c:v>
                </c:pt>
                <c:pt idx="10">
                  <c:v>0.26300000000000001</c:v>
                </c:pt>
                <c:pt idx="11">
                  <c:v>0.26800000000000002</c:v>
                </c:pt>
                <c:pt idx="12">
                  <c:v>0.188</c:v>
                </c:pt>
                <c:pt idx="13">
                  <c:v>0.30299999999999999</c:v>
                </c:pt>
                <c:pt idx="14">
                  <c:v>0.26500000000000001</c:v>
                </c:pt>
                <c:pt idx="15">
                  <c:v>0.27600000000000002</c:v>
                </c:pt>
                <c:pt idx="16">
                  <c:v>0.23</c:v>
                </c:pt>
                <c:pt idx="17">
                  <c:v>0.26100000000000001</c:v>
                </c:pt>
                <c:pt idx="18">
                  <c:v>0.3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0.27400000000000002</c:v>
                </c:pt>
                <c:pt idx="22">
                  <c:v>0.255</c:v>
                </c:pt>
                <c:pt idx="23">
                  <c:v>0.314</c:v>
                </c:pt>
                <c:pt idx="24">
                  <c:v>0.309</c:v>
                </c:pt>
                <c:pt idx="25">
                  <c:v>0.161</c:v>
                </c:pt>
                <c:pt idx="26">
                  <c:v>0.14000000000000001</c:v>
                </c:pt>
                <c:pt idx="27">
                  <c:v>0.16900000000000001</c:v>
                </c:pt>
                <c:pt idx="28">
                  <c:v>0.14299999999999999</c:v>
                </c:pt>
                <c:pt idx="29">
                  <c:v>6.2E-2</c:v>
                </c:pt>
                <c:pt idx="30">
                  <c:v>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3F-4320-9721-E5FB2C0364C3}"/>
            </c:ext>
          </c:extLst>
        </c:ser>
        <c:ser>
          <c:idx val="0"/>
          <c:order val="1"/>
          <c:tx>
            <c:v>Waterglass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'Density vs composition'!$E$6:$E$36</c:f>
              <c:numCache>
                <c:formatCode>0.000</c:formatCode>
                <c:ptCount val="31"/>
                <c:pt idx="0">
                  <c:v>0.43799999999999994</c:v>
                </c:pt>
                <c:pt idx="1">
                  <c:v>0.44400000000000001</c:v>
                </c:pt>
                <c:pt idx="2">
                  <c:v>0.44400000000000001</c:v>
                </c:pt>
                <c:pt idx="3">
                  <c:v>0.44400000000000001</c:v>
                </c:pt>
                <c:pt idx="4">
                  <c:v>0.44400000000000001</c:v>
                </c:pt>
                <c:pt idx="5">
                  <c:v>0.45799999999999996</c:v>
                </c:pt>
                <c:pt idx="6">
                  <c:v>0.45799999999999996</c:v>
                </c:pt>
                <c:pt idx="7">
                  <c:v>0.45799999999999996</c:v>
                </c:pt>
                <c:pt idx="8">
                  <c:v>0.45799999999999996</c:v>
                </c:pt>
                <c:pt idx="9">
                  <c:v>0.45799999999999996</c:v>
                </c:pt>
                <c:pt idx="10">
                  <c:v>0.45799999999999996</c:v>
                </c:pt>
                <c:pt idx="11">
                  <c:v>0.45799999999999996</c:v>
                </c:pt>
                <c:pt idx="12">
                  <c:v>0.45799999999999996</c:v>
                </c:pt>
                <c:pt idx="13">
                  <c:v>0.45799999999999996</c:v>
                </c:pt>
                <c:pt idx="14">
                  <c:v>0.45799999999999996</c:v>
                </c:pt>
                <c:pt idx="15">
                  <c:v>0.45799999999999996</c:v>
                </c:pt>
                <c:pt idx="16">
                  <c:v>0.47600000000000003</c:v>
                </c:pt>
                <c:pt idx="17">
                  <c:v>0.47600000000000003</c:v>
                </c:pt>
                <c:pt idx="18">
                  <c:v>0.47600000000000003</c:v>
                </c:pt>
                <c:pt idx="19">
                  <c:v>0.47600000000000003</c:v>
                </c:pt>
                <c:pt idx="20">
                  <c:v>0.48399999999999999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0.51600000000000001</c:v>
                </c:pt>
                <c:pt idx="26">
                  <c:v>0.51600000000000001</c:v>
                </c:pt>
                <c:pt idx="27">
                  <c:v>0.56799999999999995</c:v>
                </c:pt>
                <c:pt idx="28">
                  <c:v>0.56799999999999995</c:v>
                </c:pt>
                <c:pt idx="29">
                  <c:v>0.58799999999999997</c:v>
                </c:pt>
                <c:pt idx="30">
                  <c:v>0.65799999999999992</c:v>
                </c:pt>
              </c:numCache>
            </c:numRef>
          </c:xVal>
          <c:yVal>
            <c:numRef>
              <c:f>'Density vs composition'!$G$6:$G$36</c:f>
              <c:numCache>
                <c:formatCode>0.000</c:formatCode>
                <c:ptCount val="31"/>
                <c:pt idx="0">
                  <c:v>0.312</c:v>
                </c:pt>
                <c:pt idx="1">
                  <c:v>0.32400000000000001</c:v>
                </c:pt>
                <c:pt idx="2">
                  <c:v>0.314</c:v>
                </c:pt>
                <c:pt idx="3">
                  <c:v>0.29699999999999999</c:v>
                </c:pt>
                <c:pt idx="4">
                  <c:v>0.27600000000000002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0.313</c:v>
                </c:pt>
                <c:pt idx="8">
                  <c:v>0.3</c:v>
                </c:pt>
                <c:pt idx="9">
                  <c:v>0.27600000000000002</c:v>
                </c:pt>
                <c:pt idx="10">
                  <c:v>0.26300000000000001</c:v>
                </c:pt>
                <c:pt idx="11">
                  <c:v>0.26800000000000002</c:v>
                </c:pt>
                <c:pt idx="12">
                  <c:v>0.188</c:v>
                </c:pt>
                <c:pt idx="13">
                  <c:v>0.30299999999999999</c:v>
                </c:pt>
                <c:pt idx="14">
                  <c:v>0.26500000000000001</c:v>
                </c:pt>
                <c:pt idx="15">
                  <c:v>0.27600000000000002</c:v>
                </c:pt>
                <c:pt idx="16">
                  <c:v>0.23</c:v>
                </c:pt>
                <c:pt idx="17">
                  <c:v>0.26100000000000001</c:v>
                </c:pt>
                <c:pt idx="18">
                  <c:v>0.3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0.27400000000000002</c:v>
                </c:pt>
                <c:pt idx="22">
                  <c:v>0.255</c:v>
                </c:pt>
                <c:pt idx="23">
                  <c:v>0.314</c:v>
                </c:pt>
                <c:pt idx="24">
                  <c:v>0.309</c:v>
                </c:pt>
                <c:pt idx="25">
                  <c:v>0.161</c:v>
                </c:pt>
                <c:pt idx="26">
                  <c:v>0.14000000000000001</c:v>
                </c:pt>
                <c:pt idx="27">
                  <c:v>0.16900000000000001</c:v>
                </c:pt>
                <c:pt idx="28">
                  <c:v>0.14299999999999999</c:v>
                </c:pt>
                <c:pt idx="29">
                  <c:v>6.2E-2</c:v>
                </c:pt>
                <c:pt idx="30">
                  <c:v>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3F-4320-9721-E5FB2C036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70000000000000007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Component mass fraction (-)</a:t>
                </a:r>
              </a:p>
            </c:rich>
          </c:tx>
          <c:layout>
            <c:manualLayout>
              <c:xMode val="edge"/>
              <c:yMode val="edge"/>
              <c:x val="0.30455314376504122"/>
              <c:y val="0.93499680187035439"/>
            </c:manualLayout>
          </c:layout>
          <c:overlay val="0"/>
        </c:title>
        <c:numFmt formatCode="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0.1"/>
        <c:minorUnit val="5.000000000000001E-2"/>
      </c:valAx>
      <c:valAx>
        <c:axId val="278632544"/>
        <c:scaling>
          <c:orientation val="minMax"/>
          <c:max val="0.3600000000000000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8532728621688247"/>
            </c:manualLayout>
          </c:layout>
          <c:overlay val="0"/>
        </c:title>
        <c:numFmt formatCode="#,##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6.0000000000000012E-2"/>
        <c:minorUnit val="2.0000000000000004E-2"/>
      </c:valAx>
      <c:spPr>
        <a:ln w="15875"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1550246501086474"/>
          <c:y val="0.68354992390657054"/>
          <c:w val="0.28416061122923431"/>
          <c:h val="0.15401000406864035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872964321596302"/>
          <c:y val="2.9680970729722613E-2"/>
          <c:w val="0.74340685530035744"/>
          <c:h val="0.81719910011248598"/>
        </c:manualLayout>
      </c:layout>
      <c:scatterChart>
        <c:scatterStyle val="lineMarker"/>
        <c:varyColors val="0"/>
        <c:ser>
          <c:idx val="4"/>
          <c:order val="0"/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'Density vs composition'!$I$6:$I$36</c:f>
              <c:numCache>
                <c:formatCode>0.000</c:formatCode>
                <c:ptCount val="31"/>
                <c:pt idx="0">
                  <c:v>0.7808219178082193</c:v>
                </c:pt>
                <c:pt idx="1">
                  <c:v>0.75225225225225212</c:v>
                </c:pt>
                <c:pt idx="2">
                  <c:v>0.75225225225225212</c:v>
                </c:pt>
                <c:pt idx="3">
                  <c:v>0.75225225225225212</c:v>
                </c:pt>
                <c:pt idx="4">
                  <c:v>0.75225225225225212</c:v>
                </c:pt>
                <c:pt idx="5">
                  <c:v>0.68122270742358082</c:v>
                </c:pt>
                <c:pt idx="6">
                  <c:v>0.68122270742358082</c:v>
                </c:pt>
                <c:pt idx="7">
                  <c:v>0.68122270742358082</c:v>
                </c:pt>
                <c:pt idx="8">
                  <c:v>0.68122270742358082</c:v>
                </c:pt>
                <c:pt idx="9">
                  <c:v>0.68122270742358082</c:v>
                </c:pt>
                <c:pt idx="10">
                  <c:v>0.68122270742358082</c:v>
                </c:pt>
                <c:pt idx="11">
                  <c:v>0.68122270742358082</c:v>
                </c:pt>
                <c:pt idx="12">
                  <c:v>0.68122270742358082</c:v>
                </c:pt>
                <c:pt idx="13">
                  <c:v>0.68122270742358082</c:v>
                </c:pt>
                <c:pt idx="14">
                  <c:v>0.68122270742358082</c:v>
                </c:pt>
                <c:pt idx="15">
                  <c:v>0.68122270742358082</c:v>
                </c:pt>
                <c:pt idx="16">
                  <c:v>0.60084033613445376</c:v>
                </c:pt>
                <c:pt idx="17">
                  <c:v>0.60084033613445376</c:v>
                </c:pt>
                <c:pt idx="18">
                  <c:v>0.60084033613445376</c:v>
                </c:pt>
                <c:pt idx="19">
                  <c:v>0.60084033613445376</c:v>
                </c:pt>
                <c:pt idx="20">
                  <c:v>0.57024793388429762</c:v>
                </c:pt>
                <c:pt idx="21">
                  <c:v>0.68</c:v>
                </c:pt>
                <c:pt idx="22">
                  <c:v>0.68</c:v>
                </c:pt>
                <c:pt idx="23">
                  <c:v>0.68</c:v>
                </c:pt>
                <c:pt idx="24">
                  <c:v>0.68</c:v>
                </c:pt>
                <c:pt idx="25">
                  <c:v>0.43798449612403101</c:v>
                </c:pt>
                <c:pt idx="26">
                  <c:v>0.43798449612403101</c:v>
                </c:pt>
                <c:pt idx="27">
                  <c:v>0.44014084507042256</c:v>
                </c:pt>
                <c:pt idx="28">
                  <c:v>0.44014084507042256</c:v>
                </c:pt>
                <c:pt idx="29">
                  <c:v>0.20068027210884357</c:v>
                </c:pt>
                <c:pt idx="30">
                  <c:v>0.20060790273556234</c:v>
                </c:pt>
              </c:numCache>
            </c:numRef>
          </c:xVal>
          <c:yVal>
            <c:numRef>
              <c:f>'Density vs composition'!$G$6:$G$36</c:f>
              <c:numCache>
                <c:formatCode>0.000</c:formatCode>
                <c:ptCount val="31"/>
                <c:pt idx="0">
                  <c:v>0.312</c:v>
                </c:pt>
                <c:pt idx="1">
                  <c:v>0.32400000000000001</c:v>
                </c:pt>
                <c:pt idx="2">
                  <c:v>0.314</c:v>
                </c:pt>
                <c:pt idx="3">
                  <c:v>0.29699999999999999</c:v>
                </c:pt>
                <c:pt idx="4">
                  <c:v>0.27600000000000002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0.313</c:v>
                </c:pt>
                <c:pt idx="8">
                  <c:v>0.3</c:v>
                </c:pt>
                <c:pt idx="9">
                  <c:v>0.27600000000000002</c:v>
                </c:pt>
                <c:pt idx="10">
                  <c:v>0.26300000000000001</c:v>
                </c:pt>
                <c:pt idx="11">
                  <c:v>0.26800000000000002</c:v>
                </c:pt>
                <c:pt idx="12">
                  <c:v>0.188</c:v>
                </c:pt>
                <c:pt idx="13">
                  <c:v>0.30299999999999999</c:v>
                </c:pt>
                <c:pt idx="14">
                  <c:v>0.26500000000000001</c:v>
                </c:pt>
                <c:pt idx="15">
                  <c:v>0.27600000000000002</c:v>
                </c:pt>
                <c:pt idx="16">
                  <c:v>0.23</c:v>
                </c:pt>
                <c:pt idx="17">
                  <c:v>0.26100000000000001</c:v>
                </c:pt>
                <c:pt idx="18">
                  <c:v>0.3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0.27400000000000002</c:v>
                </c:pt>
                <c:pt idx="22">
                  <c:v>0.255</c:v>
                </c:pt>
                <c:pt idx="23">
                  <c:v>0.314</c:v>
                </c:pt>
                <c:pt idx="24">
                  <c:v>0.309</c:v>
                </c:pt>
                <c:pt idx="25">
                  <c:v>0.161</c:v>
                </c:pt>
                <c:pt idx="26">
                  <c:v>0.14000000000000001</c:v>
                </c:pt>
                <c:pt idx="27">
                  <c:v>0.16900000000000001</c:v>
                </c:pt>
                <c:pt idx="28">
                  <c:v>0.14299999999999999</c:v>
                </c:pt>
                <c:pt idx="29">
                  <c:v>6.2E-2</c:v>
                </c:pt>
                <c:pt idx="30">
                  <c:v>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E8-4AA1-ACA7-38E4C33FD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0.8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Silica to waterglass ratio (-)</a:t>
                </a:r>
              </a:p>
            </c:rich>
          </c:tx>
          <c:layout>
            <c:manualLayout>
              <c:xMode val="edge"/>
              <c:yMode val="edge"/>
              <c:x val="0.30455314376504122"/>
              <c:y val="0.93499680187035439"/>
            </c:manualLayout>
          </c:layout>
          <c:overlay val="0"/>
        </c:title>
        <c:numFmt formatCode="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0.1"/>
        <c:minorUnit val="5.000000000000001E-2"/>
      </c:valAx>
      <c:valAx>
        <c:axId val="278632544"/>
        <c:scaling>
          <c:orientation val="minMax"/>
          <c:max val="0.3600000000000000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Density (g</a:t>
                </a:r>
                <a:r>
                  <a:rPr lang="en-US">
                    <a:sym typeface="Symbol" panose="05050102010706020507" pitchFamily="18" charset="2"/>
                  </a:rPr>
                  <a:t>cm</a:t>
                </a:r>
                <a:r>
                  <a:rPr lang="en-US" baseline="30000">
                    <a:sym typeface="Symbol" panose="05050102010706020507" pitchFamily="18" charset="2"/>
                  </a:rPr>
                  <a:t>3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8532728621688247"/>
            </c:manualLayout>
          </c:layout>
          <c:overlay val="0"/>
        </c:title>
        <c:numFmt formatCode="#,##0.0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6.0000000000000012E-2"/>
        <c:minorUnit val="2.0000000000000004E-2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99077081240217"/>
          <c:y val="5.7094319057373201E-2"/>
          <c:w val="0.75511320357952294"/>
          <c:h val="0.79592255025401049"/>
        </c:manualLayout>
      </c:layout>
      <c:scatterChart>
        <c:scatterStyle val="lineMarker"/>
        <c:varyColors val="0"/>
        <c:ser>
          <c:idx val="4"/>
          <c:order val="0"/>
          <c:tx>
            <c:v>525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rate'!$B$11:$B$16</c:f>
              <c:numCache>
                <c:formatCode>General</c:formatCode>
                <c:ptCount val="6"/>
                <c:pt idx="0">
                  <c:v>5.9</c:v>
                </c:pt>
                <c:pt idx="1">
                  <c:v>5.9</c:v>
                </c:pt>
                <c:pt idx="2">
                  <c:v>18.8</c:v>
                </c:pt>
                <c:pt idx="3">
                  <c:v>18.8</c:v>
                </c:pt>
                <c:pt idx="4">
                  <c:v>18.8</c:v>
                </c:pt>
                <c:pt idx="5">
                  <c:v>27.5</c:v>
                </c:pt>
              </c:numCache>
            </c:numRef>
          </c:xVal>
          <c:yVal>
            <c:numRef>
              <c:f>'Heating rate'!$H$11:$H$16</c:f>
              <c:numCache>
                <c:formatCode>0.00</c:formatCode>
                <c:ptCount val="6"/>
                <c:pt idx="0">
                  <c:v>2.09</c:v>
                </c:pt>
                <c:pt idx="1">
                  <c:v>2.09</c:v>
                </c:pt>
                <c:pt idx="2">
                  <c:v>1.08</c:v>
                </c:pt>
                <c:pt idx="3">
                  <c:v>1.56</c:v>
                </c:pt>
                <c:pt idx="4">
                  <c:v>1.33</c:v>
                </c:pt>
                <c:pt idx="5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06-4C4D-9843-9724AB1BFCD2}"/>
            </c:ext>
          </c:extLst>
        </c:ser>
        <c:ser>
          <c:idx val="0"/>
          <c:order val="1"/>
          <c:tx>
            <c:v>550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'Heating rate'!$B$17:$B$21</c:f>
              <c:numCache>
                <c:formatCode>General</c:formatCode>
                <c:ptCount val="5"/>
                <c:pt idx="0">
                  <c:v>8.3000000000000007</c:v>
                </c:pt>
                <c:pt idx="1">
                  <c:v>26.3</c:v>
                </c:pt>
                <c:pt idx="2">
                  <c:v>27.2</c:v>
                </c:pt>
                <c:pt idx="3">
                  <c:v>28.4</c:v>
                </c:pt>
                <c:pt idx="4">
                  <c:v>28.4</c:v>
                </c:pt>
              </c:numCache>
            </c:numRef>
          </c:xVal>
          <c:yVal>
            <c:numRef>
              <c:f>'Heating rate'!$H$17:$H$21</c:f>
              <c:numCache>
                <c:formatCode>0.00</c:formatCode>
                <c:ptCount val="5"/>
                <c:pt idx="0">
                  <c:v>1.84</c:v>
                </c:pt>
                <c:pt idx="1">
                  <c:v>1.46</c:v>
                </c:pt>
                <c:pt idx="2">
                  <c:v>0.98199999999999998</c:v>
                </c:pt>
                <c:pt idx="3">
                  <c:v>1.2</c:v>
                </c:pt>
                <c:pt idx="4">
                  <c:v>0.93200000000000005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06-4C4D-9843-9724AB1BF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631368"/>
        <c:axId val="278632544"/>
        <c:extLst/>
      </c:scatterChart>
      <c:valAx>
        <c:axId val="278631368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Heating</a:t>
                </a:r>
                <a:r>
                  <a:rPr lang="en-US" baseline="0"/>
                  <a:t> rate </a:t>
                </a:r>
                <a:r>
                  <a:rPr lang="en-US"/>
                  <a:t>(K</a:t>
                </a:r>
                <a:r>
                  <a:rPr lang="en-US">
                    <a:sym typeface="Symbol" panose="05050102010706020507" pitchFamily="18" charset="2"/>
                  </a:rPr>
                  <a:t>min</a:t>
                </a:r>
                <a:r>
                  <a:rPr lang="en-US" baseline="30000">
                    <a:sym typeface="Symbol" panose="05050102010706020507" pitchFamily="18" charset="2"/>
                  </a:rPr>
                  <a:t>1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5203088857216297"/>
              <c:y val="0.93219568142217513"/>
            </c:manualLayout>
          </c:layout>
          <c:overlay val="0"/>
        </c:title>
        <c:numFmt formatCode="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2544"/>
        <c:crosses val="autoZero"/>
        <c:crossBetween val="midCat"/>
        <c:majorUnit val="5"/>
        <c:minorUnit val="2.5"/>
      </c:valAx>
      <c:valAx>
        <c:axId val="278632544"/>
        <c:scaling>
          <c:orientation val="minMax"/>
          <c:max val="2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Compression</a:t>
                </a:r>
                <a:r>
                  <a:rPr lang="en-US" baseline="0"/>
                  <a:t> stress</a:t>
                </a:r>
                <a:r>
                  <a:rPr lang="en-US"/>
                  <a:t> (MPa)</a:t>
                </a:r>
              </a:p>
            </c:rich>
          </c:tx>
          <c:layout>
            <c:manualLayout>
              <c:xMode val="edge"/>
              <c:yMode val="edge"/>
              <c:x val="3.4580247202037429E-5"/>
              <c:y val="0.23609916407507886"/>
            </c:manualLayout>
          </c:layout>
          <c:overlay val="0"/>
        </c:title>
        <c:numFmt formatCode="#,##0.0" sourceLinked="0"/>
        <c:majorTickMark val="cross"/>
        <c:minorTickMark val="out"/>
        <c:tickLblPos val="nextTo"/>
        <c:spPr>
          <a:ln w="15875">
            <a:solidFill>
              <a:schemeClr val="tx1"/>
            </a:solidFill>
          </a:ln>
        </c:spPr>
        <c:crossAx val="278631368"/>
        <c:crosses val="autoZero"/>
        <c:crossBetween val="midCat"/>
        <c:majorUnit val="0.30000000000000004"/>
        <c:minorUnit val="0.1"/>
      </c:valAx>
      <c:spPr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487931961027132"/>
          <c:y val="0.14293367740797108"/>
          <c:w val="0.14215729339470548"/>
          <c:h val="0.14193078806325679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>
          <a:latin typeface="+mn-lt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</xdr:row>
      <xdr:rowOff>12700</xdr:rowOff>
    </xdr:from>
    <xdr:to>
      <xdr:col>20</xdr:col>
      <xdr:colOff>419100</xdr:colOff>
      <xdr:row>20</xdr:row>
      <xdr:rowOff>184150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444500</xdr:colOff>
      <xdr:row>1</xdr:row>
      <xdr:rowOff>0</xdr:rowOff>
    </xdr:from>
    <xdr:to>
      <xdr:col>29</xdr:col>
      <xdr:colOff>444500</xdr:colOff>
      <xdr:row>20</xdr:row>
      <xdr:rowOff>171450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0.64392</cdr:x>
      <cdr:y>0.2493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803399" cy="75697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Borax:WG:silica</a:t>
          </a:r>
        </a:p>
        <a:p xmlns:a="http://schemas.openxmlformats.org/drawingml/2006/main">
          <a:pPr algn="ctr"/>
          <a:r>
            <a:rPr lang="en-ZA" sz="1600">
              <a:latin typeface="+mn-lt"/>
            </a:rPr>
            <a:t>0.23:0.46:0.31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12700</xdr:colOff>
      <xdr:row>21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0.85163</cdr:x>
      <cdr:y>0.02857</cdr:y>
    </cdr:from>
    <cdr:to>
      <cdr:x>0.9911</cdr:x>
      <cdr:y>0.1873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44900" y="114300"/>
          <a:ext cx="596900" cy="635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(a)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25400</xdr:colOff>
      <xdr:row>1</xdr:row>
      <xdr:rowOff>152400</xdr:rowOff>
    </xdr:from>
    <xdr:to>
      <xdr:col>18</xdr:col>
      <xdr:colOff>38100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0.82789</cdr:x>
      <cdr:y>0.03175</cdr:y>
    </cdr:from>
    <cdr:to>
      <cdr:x>0.98813</cdr:x>
      <cdr:y>0.19365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43300" y="127000"/>
          <a:ext cx="685800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(b)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12700</xdr:colOff>
      <xdr:row>21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0.8457</cdr:x>
      <cdr:y>0.02521</cdr:y>
    </cdr:from>
    <cdr:to>
      <cdr:x>0.98813</cdr:x>
      <cdr:y>0.13445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9500" y="114300"/>
          <a:ext cx="6096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(a)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368300</xdr:colOff>
      <xdr:row>0</xdr:row>
      <xdr:rowOff>101600</xdr:rowOff>
    </xdr:from>
    <xdr:to>
      <xdr:col>19</xdr:col>
      <xdr:colOff>381000</xdr:colOff>
      <xdr:row>21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12700</xdr:colOff>
      <xdr:row>21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0.84273</cdr:x>
      <cdr:y>0.02801</cdr:y>
    </cdr:from>
    <cdr:to>
      <cdr:x>0.98813</cdr:x>
      <cdr:y>0.14846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06800" y="127000"/>
          <a:ext cx="622300" cy="546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(b)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12700</xdr:colOff>
      <xdr:row>21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0.85163</cdr:x>
      <cdr:y>0.02857</cdr:y>
    </cdr:from>
    <cdr:to>
      <cdr:x>0.9911</cdr:x>
      <cdr:y>0.17778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44900" y="114300"/>
          <a:ext cx="596900" cy="596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(a)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12700</xdr:colOff>
      <xdr:row>20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177800</xdr:colOff>
      <xdr:row>25</xdr:row>
      <xdr:rowOff>114300</xdr:rowOff>
    </xdr:from>
    <xdr:to>
      <xdr:col>25</xdr:col>
      <xdr:colOff>190500</xdr:colOff>
      <xdr:row>48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0.85163</cdr:x>
      <cdr:y>0.02857</cdr:y>
    </cdr:from>
    <cdr:to>
      <cdr:x>0.98813</cdr:x>
      <cdr:y>0.1746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44900" y="114300"/>
          <a:ext cx="584200" cy="584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ZA" sz="1400"/>
            <a:t>(b)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558800</xdr:colOff>
      <xdr:row>1</xdr:row>
      <xdr:rowOff>190500</xdr:rowOff>
    </xdr:from>
    <xdr:to>
      <xdr:col>15</xdr:col>
      <xdr:colOff>571500</xdr:colOff>
      <xdr:row>23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342900</xdr:colOff>
      <xdr:row>2</xdr:row>
      <xdr:rowOff>139700</xdr:rowOff>
    </xdr:from>
    <xdr:to>
      <xdr:col>23</xdr:col>
      <xdr:colOff>355600</xdr:colOff>
      <xdr:row>24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0.22795</cdr:x>
      <cdr:y>0.05968</cdr:y>
    </cdr:from>
    <cdr:to>
      <cdr:x>0.40959</cdr:x>
      <cdr:y>0.14445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5618" y="238739"/>
          <a:ext cx="777404" cy="3391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T (</a:t>
          </a:r>
          <a:r>
            <a:rPr lang="en-ZA" sz="1600">
              <a:latin typeface="+mn-lt"/>
              <a:sym typeface="Symbol" panose="05050102010706020507" pitchFamily="18" charset="2"/>
            </a:rPr>
            <a:t>C)</a:t>
          </a:r>
          <a:endParaRPr lang="en-ZA" sz="1600">
            <a:latin typeface="+mn-lt"/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0.54303</cdr:x>
      <cdr:y>0.06443</cdr:y>
    </cdr:from>
    <cdr:to>
      <cdr:x>0.94955</cdr:x>
      <cdr:y>0.21008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24100" y="292100"/>
          <a:ext cx="1739900" cy="660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/>
            <a:t>Borax:WG:silica 0.23:0.46:0.31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0.22255</cdr:x>
      <cdr:y>0.08234</cdr:y>
    </cdr:from>
    <cdr:to>
      <cdr:x>0.5905</cdr:x>
      <cdr:y>0.16711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1" y="373321"/>
          <a:ext cx="1574799" cy="3843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Borax: WG: silica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25400</xdr:colOff>
      <xdr:row>3</xdr:row>
      <xdr:rowOff>139700</xdr:rowOff>
    </xdr:from>
    <xdr:to>
      <xdr:col>24</xdr:col>
      <xdr:colOff>38100</xdr:colOff>
      <xdr:row>24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0</xdr:row>
          <xdr:rowOff>0</xdr:rowOff>
        </xdr:from>
        <xdr:to>
          <xdr:col>18</xdr:col>
          <xdr:colOff>161925</xdr:colOff>
          <xdr:row>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4</xdr:row>
      <xdr:rowOff>0</xdr:rowOff>
    </xdr:from>
    <xdr:to>
      <xdr:col>32</xdr:col>
      <xdr:colOff>12700</xdr:colOff>
      <xdr:row>24</xdr:row>
      <xdr:rowOff>190500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18</xdr:col>
      <xdr:colOff>520701</xdr:colOff>
      <xdr:row>9</xdr:row>
      <xdr:rowOff>25401</xdr:rowOff>
    </xdr:from>
    <xdr:to>
      <xdr:col>21</xdr:col>
      <xdr:colOff>254001</xdr:colOff>
      <xdr:row>11</xdr:row>
      <xdr:rowOff>55717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93501" y="1968501"/>
          <a:ext cx="1562100" cy="4367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491775</xdr:colOff>
      <xdr:row>24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4758975" cy="4419600"/>
        </a:xfrm>
        <a:prstGeom prst="rect">
          <a:avLst/>
        </a:prstGeom>
      </xdr:spPr>
    </xdr:pic>
    <xdr:clientData/>
  </xdr:twoCellAnchor>
  <xdr:twoCellAnchor>
    <xdr:from>
      <xdr:col>0</xdr:col>
      <xdr:colOff>393700</xdr:colOff>
      <xdr:row>1</xdr:row>
      <xdr:rowOff>177800</xdr:rowOff>
    </xdr:from>
    <xdr:to>
      <xdr:col>8</xdr:col>
      <xdr:colOff>381000</xdr:colOff>
      <xdr:row>21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152400</xdr:colOff>
      <xdr:row>1</xdr:row>
      <xdr:rowOff>50800</xdr:rowOff>
    </xdr:from>
    <xdr:to>
      <xdr:col>26</xdr:col>
      <xdr:colOff>165100</xdr:colOff>
      <xdr:row>23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</xdr:row>
      <xdr:rowOff>0</xdr:rowOff>
    </xdr:from>
    <xdr:to>
      <xdr:col>18</xdr:col>
      <xdr:colOff>12700</xdr:colOff>
      <xdr:row>24</xdr:row>
      <xdr:rowOff>177800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0.4095</cdr:x>
      <cdr:y>0.62185</cdr:y>
    </cdr:from>
    <cdr:to>
      <cdr:x>0.71217</cdr:x>
      <cdr:y>0.69468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52600" y="2819400"/>
          <a:ext cx="1295400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600" b="1"/>
            <a:t>Component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368300</xdr:colOff>
      <xdr:row>4</xdr:row>
      <xdr:rowOff>215900</xdr:rowOff>
    </xdr:from>
    <xdr:to>
      <xdr:col>15</xdr:col>
      <xdr:colOff>381000</xdr:colOff>
      <xdr:row>27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50800</xdr:colOff>
      <xdr:row>5</xdr:row>
      <xdr:rowOff>101600</xdr:rowOff>
    </xdr:from>
    <xdr:to>
      <xdr:col>23</xdr:col>
      <xdr:colOff>63500</xdr:colOff>
      <xdr:row>27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0.72646</cdr:x>
      <cdr:y>0.06833</cdr:y>
    </cdr:from>
    <cdr:to>
      <cdr:x>0.9081</cdr:x>
      <cdr:y>0.1531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09195" y="309821"/>
          <a:ext cx="777401" cy="3843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>
              <a:latin typeface="+mn-lt"/>
            </a:rPr>
            <a:t>T (</a:t>
          </a:r>
          <a:r>
            <a:rPr lang="en-ZA" sz="1600">
              <a:latin typeface="+mn-lt"/>
              <a:sym typeface="Symbol" panose="05050102010706020507" pitchFamily="18" charset="2"/>
            </a:rPr>
            <a:t>C)</a:t>
          </a:r>
          <a:endParaRPr lang="en-ZA" sz="1600">
            <a:latin typeface="+mn-lt"/>
          </a:endParaRPr>
        </a:p>
      </cdr:txBody>
    </cdr:sp>
  </cdr:relSizeAnchor>
  <cdr:relSizeAnchor xmlns:cdr="http://schemas.openxmlformats.org/drawingml/2006/chartDrawing">
    <cdr:from>
      <cdr:x>0.21365</cdr:x>
      <cdr:y>0.66667</cdr:y>
    </cdr:from>
    <cdr:to>
      <cdr:x>0.65282</cdr:x>
      <cdr:y>0.81793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14400" y="3022600"/>
          <a:ext cx="1879600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/>
            <a:t>Borax:WG:silica 0.23:0.45:0.32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openxmlformats.org/officeDocument/2006/relationships/image" Target="../media/image1.wmf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opLeftCell="A75" workbookViewId="0">
      <selection activeCell="J1" sqref="A1:J1048576"/>
    </sheetView>
  </sheetViews>
  <sheetFormatPr defaultRowHeight="15" x14ac:dyDescent="0.25"/>
  <cols>
    <col min="1" max="1" width="22.28515625" style="2" customWidth="1"/>
    <col min="2" max="2" width="11" style="2" customWidth="1"/>
    <col min="3" max="3" width="9.140625" style="3"/>
    <col min="4" max="4" width="15.5703125" style="2" customWidth="1"/>
    <col min="5" max="5" width="22.5703125" style="2" customWidth="1"/>
    <col min="6" max="6" width="10.28515625" style="2" customWidth="1"/>
    <col min="7" max="7" width="3.140625" style="2" customWidth="1"/>
    <col min="8" max="8" width="17.7109375" style="17" customWidth="1"/>
    <col min="9" max="9" width="10.28515625" style="2" customWidth="1"/>
  </cols>
  <sheetData>
    <row r="1" spans="1:1" ht="23.25" x14ac:dyDescent="0.35">
      <c r="A1" s="1" t="s">
        <v>0</v>
      </c>
    </row>
    <row r="3" spans="1:1" ht="18.75" x14ac:dyDescent="0.35">
      <c r="A3" s="2" t="s">
        <v>1</v>
      </c>
    </row>
    <row r="5" spans="1:1" ht="18.75" x14ac:dyDescent="0.25">
      <c r="A5" s="4" t="s">
        <v>2</v>
      </c>
    </row>
    <row r="6" spans="1:1" x14ac:dyDescent="0.25">
      <c r="A6" s="4" t="s">
        <v>3</v>
      </c>
    </row>
    <row r="7" spans="1:1" x14ac:dyDescent="0.25">
      <c r="A7" s="4" t="s">
        <v>4</v>
      </c>
    </row>
    <row r="8" spans="1:1" x14ac:dyDescent="0.25">
      <c r="A8" s="4" t="s">
        <v>5</v>
      </c>
    </row>
    <row r="9" spans="1:1" x14ac:dyDescent="0.25">
      <c r="A9" s="4" t="s">
        <v>6</v>
      </c>
    </row>
    <row r="10" spans="1:1" x14ac:dyDescent="0.25">
      <c r="A10" s="4" t="s">
        <v>7</v>
      </c>
    </row>
    <row r="11" spans="1:1" x14ac:dyDescent="0.25">
      <c r="A11" s="4" t="s">
        <v>8</v>
      </c>
    </row>
    <row r="12" spans="1:1" x14ac:dyDescent="0.25">
      <c r="A12" s="4" t="s">
        <v>9</v>
      </c>
    </row>
    <row r="13" spans="1:1" ht="18.75" x14ac:dyDescent="0.25">
      <c r="A13" s="4" t="s">
        <v>10</v>
      </c>
    </row>
    <row r="14" spans="1:1" ht="18.75" x14ac:dyDescent="0.25">
      <c r="A14" s="4" t="s">
        <v>11</v>
      </c>
    </row>
    <row r="15" spans="1:1" ht="18.75" x14ac:dyDescent="0.25">
      <c r="A15" s="4" t="s">
        <v>12</v>
      </c>
    </row>
    <row r="16" spans="1:1" x14ac:dyDescent="0.25">
      <c r="A16" s="4" t="s">
        <v>13</v>
      </c>
    </row>
    <row r="17" spans="1:9" ht="18.75" x14ac:dyDescent="0.25">
      <c r="A17" s="4" t="s">
        <v>14</v>
      </c>
    </row>
    <row r="18" spans="1:9" x14ac:dyDescent="0.25">
      <c r="A18" s="4" t="s">
        <v>15</v>
      </c>
    </row>
    <row r="19" spans="1:9" x14ac:dyDescent="0.25">
      <c r="A19" s="4" t="s">
        <v>16</v>
      </c>
    </row>
    <row r="20" spans="1:9" ht="15.75" thickBot="1" x14ac:dyDescent="0.3"/>
    <row r="21" spans="1:9" ht="16.5" thickTop="1" thickBot="1" x14ac:dyDescent="0.3">
      <c r="A21" s="5" t="s">
        <v>17</v>
      </c>
      <c r="B21" s="6"/>
      <c r="C21" s="7"/>
      <c r="E21" s="188" t="s">
        <v>18</v>
      </c>
      <c r="F21" s="189"/>
      <c r="H21" s="190" t="s">
        <v>19</v>
      </c>
      <c r="I21" s="191"/>
    </row>
    <row r="22" spans="1:9" ht="30.75" thickTop="1" thickBot="1" x14ac:dyDescent="0.3">
      <c r="A22" s="8" t="s">
        <v>20</v>
      </c>
      <c r="B22" s="8" t="s">
        <v>21</v>
      </c>
      <c r="C22" s="8" t="s">
        <v>22</v>
      </c>
      <c r="D22" s="9"/>
      <c r="E22" s="8" t="s">
        <v>23</v>
      </c>
      <c r="F22" s="8" t="s">
        <v>24</v>
      </c>
      <c r="G22" s="9"/>
      <c r="H22" s="18" t="s">
        <v>23</v>
      </c>
      <c r="I22" s="8" t="s">
        <v>24</v>
      </c>
    </row>
    <row r="23" spans="1:9" ht="15.75" thickTop="1" x14ac:dyDescent="0.25">
      <c r="A23" s="2" t="s">
        <v>25</v>
      </c>
      <c r="B23" s="3" t="s">
        <v>26</v>
      </c>
      <c r="C23" s="3">
        <v>89</v>
      </c>
      <c r="D23" s="25"/>
      <c r="E23" s="10" t="s">
        <v>27</v>
      </c>
      <c r="F23" s="10" t="s">
        <v>27</v>
      </c>
      <c r="G23" s="10"/>
      <c r="H23" s="19" t="s">
        <v>27</v>
      </c>
      <c r="I23" s="10" t="s">
        <v>27</v>
      </c>
    </row>
    <row r="24" spans="1:9" x14ac:dyDescent="0.25">
      <c r="A24" s="2" t="s">
        <v>28</v>
      </c>
      <c r="B24" s="3" t="s">
        <v>29</v>
      </c>
      <c r="C24" s="3">
        <v>13</v>
      </c>
      <c r="D24" s="25">
        <v>26.981538570000001</v>
      </c>
      <c r="E24" s="10" t="s">
        <v>30</v>
      </c>
      <c r="F24" s="10" t="s">
        <v>27</v>
      </c>
      <c r="G24" s="10"/>
      <c r="H24" s="19">
        <v>26.981999999999999</v>
      </c>
      <c r="I24" s="10" t="s">
        <v>27</v>
      </c>
    </row>
    <row r="25" spans="1:9" x14ac:dyDescent="0.25">
      <c r="A25" s="2" t="s">
        <v>31</v>
      </c>
      <c r="B25" s="3" t="s">
        <v>32</v>
      </c>
      <c r="C25" s="3">
        <v>95</v>
      </c>
      <c r="D25" s="25"/>
      <c r="E25" s="10"/>
      <c r="F25" s="10"/>
      <c r="G25" s="10"/>
      <c r="H25" s="20"/>
      <c r="I25" s="10"/>
    </row>
    <row r="26" spans="1:9" x14ac:dyDescent="0.25">
      <c r="A26" s="2" t="s">
        <v>33</v>
      </c>
      <c r="B26" s="3" t="s">
        <v>34</v>
      </c>
      <c r="C26" s="3">
        <v>51</v>
      </c>
      <c r="D26" s="25">
        <v>121.76009999999999</v>
      </c>
      <c r="E26" s="10" t="s">
        <v>35</v>
      </c>
      <c r="F26" s="10" t="s">
        <v>36</v>
      </c>
      <c r="G26" s="10"/>
      <c r="H26" s="19">
        <v>121.76</v>
      </c>
      <c r="I26" s="10" t="s">
        <v>36</v>
      </c>
    </row>
    <row r="27" spans="1:9" x14ac:dyDescent="0.25">
      <c r="A27" s="2" t="s">
        <v>37</v>
      </c>
      <c r="B27" s="3" t="s">
        <v>38</v>
      </c>
      <c r="C27" s="3">
        <v>18</v>
      </c>
      <c r="D27" s="25">
        <v>39.948099999999997</v>
      </c>
      <c r="E27" s="10" t="s">
        <v>39</v>
      </c>
      <c r="F27" s="10" t="s">
        <v>40</v>
      </c>
      <c r="G27" s="10"/>
      <c r="H27" s="19">
        <v>39.948</v>
      </c>
      <c r="I27" s="10" t="s">
        <v>40</v>
      </c>
    </row>
    <row r="28" spans="1:9" x14ac:dyDescent="0.25">
      <c r="A28" s="2" t="s">
        <v>41</v>
      </c>
      <c r="B28" s="3" t="s">
        <v>42</v>
      </c>
      <c r="C28" s="3">
        <v>33</v>
      </c>
      <c r="D28" s="25">
        <v>74.921595600000003</v>
      </c>
      <c r="E28" s="10" t="s">
        <v>43</v>
      </c>
      <c r="F28" s="10" t="s">
        <v>27</v>
      </c>
      <c r="G28" s="10"/>
      <c r="H28" s="19">
        <v>74.921999999999997</v>
      </c>
      <c r="I28" s="10" t="s">
        <v>27</v>
      </c>
    </row>
    <row r="29" spans="1:9" x14ac:dyDescent="0.25">
      <c r="A29" s="2" t="s">
        <v>44</v>
      </c>
      <c r="B29" s="3" t="s">
        <v>45</v>
      </c>
      <c r="C29" s="3">
        <v>85</v>
      </c>
      <c r="D29" s="25"/>
      <c r="E29" s="10" t="s">
        <v>27</v>
      </c>
      <c r="F29" s="10" t="s">
        <v>27</v>
      </c>
      <c r="G29" s="10"/>
      <c r="H29" s="19" t="s">
        <v>27</v>
      </c>
      <c r="I29" s="10" t="s">
        <v>27</v>
      </c>
    </row>
    <row r="30" spans="1:9" x14ac:dyDescent="0.25">
      <c r="A30" s="2" t="s">
        <v>46</v>
      </c>
      <c r="B30" s="3" t="s">
        <v>47</v>
      </c>
      <c r="C30" s="3">
        <v>56</v>
      </c>
      <c r="D30" s="25">
        <v>137.32769999999999</v>
      </c>
      <c r="E30" s="10" t="s">
        <v>48</v>
      </c>
      <c r="F30" s="10" t="s">
        <v>27</v>
      </c>
      <c r="G30" s="10"/>
      <c r="H30" s="19">
        <v>137.33000000000001</v>
      </c>
      <c r="I30" s="10" t="s">
        <v>27</v>
      </c>
    </row>
    <row r="31" spans="1:9" x14ac:dyDescent="0.25">
      <c r="A31" s="2" t="s">
        <v>49</v>
      </c>
      <c r="B31" s="3" t="s">
        <v>50</v>
      </c>
      <c r="C31" s="3">
        <v>97</v>
      </c>
      <c r="D31" s="25"/>
      <c r="E31" s="10"/>
      <c r="F31" s="10"/>
      <c r="G31" s="10"/>
      <c r="H31" s="20"/>
      <c r="I31" s="10"/>
    </row>
    <row r="32" spans="1:9" x14ac:dyDescent="0.25">
      <c r="A32" s="2" t="s">
        <v>51</v>
      </c>
      <c r="B32" s="3" t="s">
        <v>52</v>
      </c>
      <c r="C32" s="3">
        <v>4</v>
      </c>
      <c r="D32" s="25">
        <v>9.0121831500000003</v>
      </c>
      <c r="E32" s="10" t="s">
        <v>53</v>
      </c>
      <c r="F32" s="10" t="s">
        <v>27</v>
      </c>
      <c r="G32" s="10"/>
      <c r="H32" s="19">
        <v>9.0122</v>
      </c>
      <c r="I32" s="10" t="s">
        <v>27</v>
      </c>
    </row>
    <row r="33" spans="1:9" x14ac:dyDescent="0.25">
      <c r="A33" s="2" t="s">
        <v>54</v>
      </c>
      <c r="B33" s="3" t="s">
        <v>55</v>
      </c>
      <c r="C33" s="3">
        <v>83</v>
      </c>
      <c r="D33" s="25">
        <v>208.980401</v>
      </c>
      <c r="E33" s="10" t="s">
        <v>56</v>
      </c>
      <c r="F33" s="10" t="s">
        <v>27</v>
      </c>
      <c r="G33" s="10"/>
      <c r="H33" s="19">
        <v>208.98</v>
      </c>
      <c r="I33" s="10" t="s">
        <v>27</v>
      </c>
    </row>
    <row r="34" spans="1:9" x14ac:dyDescent="0.25">
      <c r="A34" s="2" t="s">
        <v>57</v>
      </c>
      <c r="B34" s="3" t="s">
        <v>58</v>
      </c>
      <c r="C34" s="3">
        <v>107</v>
      </c>
      <c r="D34" s="25"/>
      <c r="E34" s="10"/>
      <c r="F34" s="10"/>
      <c r="G34" s="10"/>
      <c r="H34" s="20"/>
      <c r="I34" s="10"/>
    </row>
    <row r="35" spans="1:9" x14ac:dyDescent="0.25">
      <c r="A35" s="2" t="s">
        <v>59</v>
      </c>
      <c r="B35" s="3" t="s">
        <v>60</v>
      </c>
      <c r="C35" s="3">
        <v>5</v>
      </c>
      <c r="D35" s="25">
        <f>(10.806+10.821)/2</f>
        <v>10.813499999999999</v>
      </c>
      <c r="E35" s="10" t="s">
        <v>61</v>
      </c>
      <c r="F35" s="10" t="s">
        <v>62</v>
      </c>
      <c r="G35" s="10"/>
      <c r="H35" s="19" t="s">
        <v>63</v>
      </c>
      <c r="I35" s="10" t="s">
        <v>62</v>
      </c>
    </row>
    <row r="36" spans="1:9" x14ac:dyDescent="0.25">
      <c r="A36" s="2" t="s">
        <v>64</v>
      </c>
      <c r="B36" s="3" t="s">
        <v>65</v>
      </c>
      <c r="C36" s="3">
        <v>35</v>
      </c>
      <c r="D36" s="25">
        <f>(79.901+79.907)/2</f>
        <v>79.903999999999996</v>
      </c>
      <c r="E36" s="10" t="s">
        <v>66</v>
      </c>
      <c r="F36" s="10" t="s">
        <v>27</v>
      </c>
      <c r="G36" s="10"/>
      <c r="H36" s="19" t="s">
        <v>67</v>
      </c>
      <c r="I36" s="10" t="s">
        <v>27</v>
      </c>
    </row>
    <row r="37" spans="1:9" x14ac:dyDescent="0.25">
      <c r="A37" s="2" t="s">
        <v>68</v>
      </c>
      <c r="B37" s="3" t="s">
        <v>69</v>
      </c>
      <c r="C37" s="3">
        <v>48</v>
      </c>
      <c r="D37" s="25">
        <v>112.4144</v>
      </c>
      <c r="E37" s="10" t="s">
        <v>70</v>
      </c>
      <c r="F37" s="10" t="s">
        <v>36</v>
      </c>
      <c r="G37" s="10"/>
      <c r="H37" s="19">
        <v>112.41</v>
      </c>
      <c r="I37" s="10" t="s">
        <v>36</v>
      </c>
    </row>
    <row r="38" spans="1:9" x14ac:dyDescent="0.25">
      <c r="A38" s="2" t="s">
        <v>71</v>
      </c>
      <c r="B38" s="3" t="s">
        <v>72</v>
      </c>
      <c r="C38" s="3">
        <v>55</v>
      </c>
      <c r="D38" s="25">
        <v>132.90545196599999</v>
      </c>
      <c r="E38" s="10" t="s">
        <v>73</v>
      </c>
      <c r="F38" s="10" t="s">
        <v>27</v>
      </c>
      <c r="G38" s="10"/>
      <c r="H38" s="19">
        <v>132.91</v>
      </c>
      <c r="I38" s="10" t="s">
        <v>27</v>
      </c>
    </row>
    <row r="39" spans="1:9" x14ac:dyDescent="0.25">
      <c r="A39" s="2" t="s">
        <v>74</v>
      </c>
      <c r="B39" s="3" t="s">
        <v>75</v>
      </c>
      <c r="C39" s="3">
        <v>20</v>
      </c>
      <c r="D39" s="25">
        <v>40.078400000000002</v>
      </c>
      <c r="E39" s="10" t="s">
        <v>76</v>
      </c>
      <c r="F39" s="10" t="s">
        <v>36</v>
      </c>
      <c r="G39" s="10"/>
      <c r="H39" s="19" t="s">
        <v>77</v>
      </c>
      <c r="I39" s="10" t="s">
        <v>36</v>
      </c>
    </row>
    <row r="40" spans="1:9" x14ac:dyDescent="0.25">
      <c r="A40" s="2" t="s">
        <v>78</v>
      </c>
      <c r="B40" s="3" t="s">
        <v>79</v>
      </c>
      <c r="C40" s="3">
        <v>98</v>
      </c>
      <c r="D40" s="25"/>
      <c r="E40" s="10"/>
      <c r="F40" s="10"/>
      <c r="G40" s="10"/>
      <c r="H40" s="20"/>
      <c r="I40" s="10"/>
    </row>
    <row r="41" spans="1:9" x14ac:dyDescent="0.25">
      <c r="A41" s="2" t="s">
        <v>80</v>
      </c>
      <c r="B41" s="3" t="s">
        <v>81</v>
      </c>
      <c r="C41" s="3">
        <v>6</v>
      </c>
      <c r="D41" s="25">
        <f>(12.0096+12.0116)/2</f>
        <v>12.0106</v>
      </c>
      <c r="E41" s="10" t="s">
        <v>82</v>
      </c>
      <c r="F41" s="10" t="s">
        <v>27</v>
      </c>
      <c r="G41" s="10"/>
      <c r="H41" s="19" t="s">
        <v>83</v>
      </c>
      <c r="I41" s="10" t="s">
        <v>27</v>
      </c>
    </row>
    <row r="42" spans="1:9" x14ac:dyDescent="0.25">
      <c r="A42" s="2" t="s">
        <v>84</v>
      </c>
      <c r="B42" s="3" t="s">
        <v>85</v>
      </c>
      <c r="C42" s="3">
        <v>58</v>
      </c>
      <c r="D42" s="25">
        <v>140.11609999999999</v>
      </c>
      <c r="E42" s="10" t="s">
        <v>86</v>
      </c>
      <c r="F42" s="10" t="s">
        <v>36</v>
      </c>
      <c r="G42" s="10"/>
      <c r="H42" s="19">
        <v>140.12</v>
      </c>
      <c r="I42" s="10" t="s">
        <v>36</v>
      </c>
    </row>
    <row r="43" spans="1:9" x14ac:dyDescent="0.25">
      <c r="A43" s="2" t="s">
        <v>87</v>
      </c>
      <c r="B43" s="3" t="s">
        <v>88</v>
      </c>
      <c r="C43" s="3">
        <v>17</v>
      </c>
      <c r="D43" s="25">
        <f>(35.446+35.457)/2</f>
        <v>35.451499999999996</v>
      </c>
      <c r="E43" s="10" t="s">
        <v>89</v>
      </c>
      <c r="F43" s="10" t="s">
        <v>62</v>
      </c>
      <c r="G43" s="10"/>
      <c r="H43" s="19" t="s">
        <v>90</v>
      </c>
      <c r="I43" s="10" t="s">
        <v>62</v>
      </c>
    </row>
    <row r="44" spans="1:9" x14ac:dyDescent="0.25">
      <c r="A44" s="2" t="s">
        <v>91</v>
      </c>
      <c r="B44" s="3" t="s">
        <v>92</v>
      </c>
      <c r="C44" s="3">
        <v>24</v>
      </c>
      <c r="D44" s="25">
        <v>51.996160000000003</v>
      </c>
      <c r="E44" s="10" t="s">
        <v>93</v>
      </c>
      <c r="F44" s="10" t="s">
        <v>27</v>
      </c>
      <c r="G44" s="10"/>
      <c r="H44" s="19">
        <v>51.996000000000002</v>
      </c>
      <c r="I44" s="10" t="s">
        <v>27</v>
      </c>
    </row>
    <row r="45" spans="1:9" x14ac:dyDescent="0.25">
      <c r="A45" s="2" t="s">
        <v>94</v>
      </c>
      <c r="B45" s="3" t="s">
        <v>95</v>
      </c>
      <c r="C45" s="3">
        <v>27</v>
      </c>
      <c r="D45" s="25">
        <v>58.933194399999998</v>
      </c>
      <c r="E45" s="10" t="s">
        <v>96</v>
      </c>
      <c r="F45" s="10" t="s">
        <v>27</v>
      </c>
      <c r="G45" s="10"/>
      <c r="H45" s="19">
        <v>58.933</v>
      </c>
      <c r="I45" s="10" t="s">
        <v>27</v>
      </c>
    </row>
    <row r="46" spans="1:9" x14ac:dyDescent="0.25">
      <c r="A46" s="2" t="s">
        <v>97</v>
      </c>
      <c r="B46" s="3" t="s">
        <v>98</v>
      </c>
      <c r="C46" s="3">
        <v>112</v>
      </c>
      <c r="D46" s="25"/>
      <c r="E46" s="10"/>
      <c r="F46" s="10"/>
      <c r="G46" s="10"/>
      <c r="H46" s="20"/>
      <c r="I46" s="10"/>
    </row>
    <row r="47" spans="1:9" x14ac:dyDescent="0.25">
      <c r="A47" s="2" t="s">
        <v>99</v>
      </c>
      <c r="B47" s="3" t="s">
        <v>100</v>
      </c>
      <c r="C47" s="3">
        <v>29</v>
      </c>
      <c r="D47" s="25">
        <v>63.546300000000002</v>
      </c>
      <c r="E47" s="10" t="s">
        <v>101</v>
      </c>
      <c r="F47" s="10" t="s">
        <v>102</v>
      </c>
      <c r="G47" s="10"/>
      <c r="H47" s="19" t="s">
        <v>103</v>
      </c>
      <c r="I47" s="10" t="s">
        <v>102</v>
      </c>
    </row>
    <row r="48" spans="1:9" x14ac:dyDescent="0.25">
      <c r="A48" s="2" t="s">
        <v>104</v>
      </c>
      <c r="B48" s="3" t="s">
        <v>105</v>
      </c>
      <c r="C48" s="3">
        <v>96</v>
      </c>
      <c r="D48" s="25"/>
      <c r="E48" s="10"/>
      <c r="F48" s="10"/>
      <c r="G48" s="10"/>
      <c r="H48" s="20"/>
      <c r="I48" s="10"/>
    </row>
    <row r="49" spans="1:9" x14ac:dyDescent="0.25">
      <c r="A49" s="2" t="s">
        <v>106</v>
      </c>
      <c r="B49" s="3" t="s">
        <v>107</v>
      </c>
      <c r="C49" s="3">
        <v>110</v>
      </c>
      <c r="D49" s="25"/>
      <c r="E49" s="10"/>
      <c r="F49" s="10"/>
      <c r="G49" s="10"/>
      <c r="H49" s="20"/>
      <c r="I49" s="10"/>
    </row>
    <row r="50" spans="1:9" x14ac:dyDescent="0.25">
      <c r="A50" s="2" t="s">
        <v>108</v>
      </c>
      <c r="B50" s="3" t="s">
        <v>109</v>
      </c>
      <c r="C50" s="3">
        <v>105</v>
      </c>
      <c r="D50" s="25"/>
      <c r="E50" s="10"/>
      <c r="F50" s="10"/>
      <c r="G50" s="10"/>
      <c r="H50" s="20"/>
      <c r="I50" s="10"/>
    </row>
    <row r="51" spans="1:9" x14ac:dyDescent="0.25">
      <c r="A51" s="2" t="s">
        <v>110</v>
      </c>
      <c r="B51" s="3" t="s">
        <v>111</v>
      </c>
      <c r="C51" s="3">
        <v>66</v>
      </c>
      <c r="D51" s="25">
        <v>162.5001</v>
      </c>
      <c r="E51" s="10" t="s">
        <v>112</v>
      </c>
      <c r="F51" s="10" t="s">
        <v>36</v>
      </c>
      <c r="G51" s="10"/>
      <c r="H51" s="19" t="s">
        <v>113</v>
      </c>
      <c r="I51" s="10" t="s">
        <v>36</v>
      </c>
    </row>
    <row r="52" spans="1:9" x14ac:dyDescent="0.25">
      <c r="A52" s="2" t="s">
        <v>114</v>
      </c>
      <c r="B52" s="3" t="s">
        <v>115</v>
      </c>
      <c r="C52" s="3">
        <v>99</v>
      </c>
      <c r="D52" s="25"/>
      <c r="E52" s="10"/>
      <c r="F52" s="10"/>
      <c r="G52" s="10"/>
      <c r="H52" s="20"/>
      <c r="I52" s="10"/>
    </row>
    <row r="53" spans="1:9" x14ac:dyDescent="0.25">
      <c r="A53" s="2" t="s">
        <v>116</v>
      </c>
      <c r="B53" s="3" t="s">
        <v>117</v>
      </c>
      <c r="C53" s="3">
        <v>68</v>
      </c>
      <c r="D53" s="25">
        <v>167.2593</v>
      </c>
      <c r="E53" s="10" t="s">
        <v>118</v>
      </c>
      <c r="F53" s="10" t="s">
        <v>36</v>
      </c>
      <c r="G53" s="10"/>
      <c r="H53" s="19">
        <v>167.26</v>
      </c>
      <c r="I53" s="10" t="s">
        <v>36</v>
      </c>
    </row>
    <row r="54" spans="1:9" x14ac:dyDescent="0.25">
      <c r="A54" s="2" t="s">
        <v>119</v>
      </c>
      <c r="B54" s="3" t="s">
        <v>120</v>
      </c>
      <c r="C54" s="3">
        <v>63</v>
      </c>
      <c r="D54" s="25">
        <v>151.9641</v>
      </c>
      <c r="E54" s="10" t="s">
        <v>121</v>
      </c>
      <c r="F54" s="10" t="s">
        <v>36</v>
      </c>
      <c r="G54" s="10"/>
      <c r="H54" s="19">
        <v>151.96</v>
      </c>
      <c r="I54" s="10" t="s">
        <v>36</v>
      </c>
    </row>
    <row r="55" spans="1:9" x14ac:dyDescent="0.25">
      <c r="A55" s="2" t="s">
        <v>122</v>
      </c>
      <c r="B55" s="3" t="s">
        <v>123</v>
      </c>
      <c r="C55" s="3">
        <v>100</v>
      </c>
      <c r="D55" s="25"/>
      <c r="E55" s="10"/>
      <c r="F55" s="10"/>
      <c r="G55" s="10"/>
      <c r="H55" s="20"/>
      <c r="I55" s="10"/>
    </row>
    <row r="56" spans="1:9" x14ac:dyDescent="0.25">
      <c r="A56" s="2" t="s">
        <v>124</v>
      </c>
      <c r="B56" s="3" t="s">
        <v>125</v>
      </c>
      <c r="C56" s="3">
        <v>114</v>
      </c>
      <c r="D56" s="25"/>
      <c r="E56" s="10"/>
      <c r="F56" s="10"/>
      <c r="G56" s="10"/>
      <c r="H56" s="20"/>
      <c r="I56" s="10"/>
    </row>
    <row r="57" spans="1:9" x14ac:dyDescent="0.25">
      <c r="A57" s="2" t="s">
        <v>126</v>
      </c>
      <c r="B57" s="3" t="s">
        <v>127</v>
      </c>
      <c r="C57" s="3">
        <v>9</v>
      </c>
      <c r="D57" s="25">
        <v>18.998403163599999</v>
      </c>
      <c r="E57" s="10" t="s">
        <v>128</v>
      </c>
      <c r="F57" s="10" t="s">
        <v>27</v>
      </c>
      <c r="G57" s="10"/>
      <c r="H57" s="19">
        <v>18.998000000000001</v>
      </c>
      <c r="I57" s="10" t="s">
        <v>27</v>
      </c>
    </row>
    <row r="58" spans="1:9" x14ac:dyDescent="0.25">
      <c r="A58" s="2" t="s">
        <v>129</v>
      </c>
      <c r="B58" s="3" t="s">
        <v>130</v>
      </c>
      <c r="C58" s="3">
        <v>87</v>
      </c>
      <c r="D58" s="25"/>
      <c r="E58" s="10" t="s">
        <v>27</v>
      </c>
      <c r="F58" s="10" t="s">
        <v>27</v>
      </c>
      <c r="G58" s="10"/>
      <c r="H58" s="19" t="s">
        <v>27</v>
      </c>
      <c r="I58" s="10" t="s">
        <v>27</v>
      </c>
    </row>
    <row r="59" spans="1:9" x14ac:dyDescent="0.25">
      <c r="A59" s="2" t="s">
        <v>131</v>
      </c>
      <c r="B59" s="3" t="s">
        <v>132</v>
      </c>
      <c r="C59" s="3">
        <v>64</v>
      </c>
      <c r="D59" s="25">
        <v>157.25299999999999</v>
      </c>
      <c r="E59" s="10" t="s">
        <v>133</v>
      </c>
      <c r="F59" s="10" t="s">
        <v>36</v>
      </c>
      <c r="G59" s="10"/>
      <c r="H59" s="19" t="s">
        <v>134</v>
      </c>
      <c r="I59" s="10" t="s">
        <v>36</v>
      </c>
    </row>
    <row r="60" spans="1:9" x14ac:dyDescent="0.25">
      <c r="A60" s="2" t="s">
        <v>135</v>
      </c>
      <c r="B60" s="3" t="s">
        <v>136</v>
      </c>
      <c r="C60" s="3">
        <v>31</v>
      </c>
      <c r="D60" s="25">
        <v>69.723100000000002</v>
      </c>
      <c r="E60" s="10" t="s">
        <v>137</v>
      </c>
      <c r="F60" s="10" t="s">
        <v>27</v>
      </c>
      <c r="G60" s="10"/>
      <c r="H60" s="19">
        <v>69.722999999999999</v>
      </c>
      <c r="I60" s="10" t="s">
        <v>27</v>
      </c>
    </row>
    <row r="61" spans="1:9" x14ac:dyDescent="0.25">
      <c r="A61" s="2" t="s">
        <v>138</v>
      </c>
      <c r="B61" s="3" t="s">
        <v>139</v>
      </c>
      <c r="C61" s="3">
        <v>32</v>
      </c>
      <c r="D61" s="25">
        <v>72.630799999999994</v>
      </c>
      <c r="E61" s="10" t="s">
        <v>140</v>
      </c>
      <c r="F61" s="10" t="s">
        <v>27</v>
      </c>
      <c r="G61" s="10"/>
      <c r="H61" s="19" t="s">
        <v>141</v>
      </c>
      <c r="I61" s="10" t="s">
        <v>27</v>
      </c>
    </row>
    <row r="62" spans="1:9" x14ac:dyDescent="0.25">
      <c r="A62" s="2" t="s">
        <v>142</v>
      </c>
      <c r="B62" s="3" t="s">
        <v>143</v>
      </c>
      <c r="C62" s="3">
        <v>79</v>
      </c>
      <c r="D62" s="25">
        <v>196.96656949999999</v>
      </c>
      <c r="E62" s="10" t="s">
        <v>144</v>
      </c>
      <c r="F62" s="10" t="s">
        <v>27</v>
      </c>
      <c r="G62" s="10"/>
      <c r="H62" s="19">
        <v>196.97</v>
      </c>
      <c r="I62" s="10" t="s">
        <v>27</v>
      </c>
    </row>
    <row r="63" spans="1:9" x14ac:dyDescent="0.25">
      <c r="A63" s="2" t="s">
        <v>145</v>
      </c>
      <c r="B63" s="3" t="s">
        <v>146</v>
      </c>
      <c r="C63" s="3">
        <v>72</v>
      </c>
      <c r="D63" s="25">
        <v>178.49199999999999</v>
      </c>
      <c r="E63" s="10" t="s">
        <v>147</v>
      </c>
      <c r="F63" s="10" t="s">
        <v>27</v>
      </c>
      <c r="G63" s="10"/>
      <c r="H63" s="19" t="s">
        <v>148</v>
      </c>
      <c r="I63" s="10" t="s">
        <v>27</v>
      </c>
    </row>
    <row r="64" spans="1:9" x14ac:dyDescent="0.25">
      <c r="A64" s="2" t="s">
        <v>149</v>
      </c>
      <c r="B64" s="3" t="s">
        <v>150</v>
      </c>
      <c r="C64" s="3">
        <v>108</v>
      </c>
      <c r="D64" s="25"/>
      <c r="E64" s="10"/>
      <c r="F64" s="10"/>
      <c r="G64" s="10"/>
      <c r="H64" s="20"/>
      <c r="I64" s="10"/>
    </row>
    <row r="65" spans="1:9" x14ac:dyDescent="0.25">
      <c r="A65" s="2" t="s">
        <v>151</v>
      </c>
      <c r="B65" s="3" t="s">
        <v>152</v>
      </c>
      <c r="C65" s="3">
        <v>2</v>
      </c>
      <c r="D65" s="25">
        <v>4.0026022000000001</v>
      </c>
      <c r="E65" s="10" t="s">
        <v>153</v>
      </c>
      <c r="F65" s="10" t="s">
        <v>40</v>
      </c>
      <c r="G65" s="10"/>
      <c r="H65" s="19">
        <v>4.0026000000000002</v>
      </c>
      <c r="I65" s="10" t="s">
        <v>27</v>
      </c>
    </row>
    <row r="66" spans="1:9" x14ac:dyDescent="0.25">
      <c r="A66" s="2" t="s">
        <v>154</v>
      </c>
      <c r="B66" s="3" t="s">
        <v>155</v>
      </c>
      <c r="C66" s="3">
        <v>67</v>
      </c>
      <c r="D66" s="25">
        <v>164.93033199999999</v>
      </c>
      <c r="E66" s="10" t="s">
        <v>156</v>
      </c>
      <c r="F66" s="10" t="s">
        <v>27</v>
      </c>
      <c r="G66" s="10"/>
      <c r="H66" s="19">
        <v>164.93</v>
      </c>
      <c r="I66" s="10" t="s">
        <v>27</v>
      </c>
    </row>
    <row r="67" spans="1:9" x14ac:dyDescent="0.25">
      <c r="A67" s="2" t="s">
        <v>157</v>
      </c>
      <c r="B67" s="3" t="s">
        <v>158</v>
      </c>
      <c r="C67" s="3">
        <v>1</v>
      </c>
      <c r="D67" s="25">
        <f>(1.00784+1.00811)/2</f>
        <v>1.0079750000000001</v>
      </c>
      <c r="E67" s="10" t="s">
        <v>159</v>
      </c>
      <c r="F67" s="10" t="s">
        <v>62</v>
      </c>
      <c r="G67" s="10"/>
      <c r="H67" s="19" t="s">
        <v>160</v>
      </c>
      <c r="I67" s="10" t="s">
        <v>161</v>
      </c>
    </row>
    <row r="68" spans="1:9" x14ac:dyDescent="0.25">
      <c r="A68" s="2" t="s">
        <v>162</v>
      </c>
      <c r="B68" s="3" t="s">
        <v>163</v>
      </c>
      <c r="C68" s="3">
        <v>49</v>
      </c>
      <c r="D68" s="25">
        <v>114.8181</v>
      </c>
      <c r="E68" s="10" t="s">
        <v>164</v>
      </c>
      <c r="F68" s="10" t="s">
        <v>27</v>
      </c>
      <c r="G68" s="10"/>
      <c r="H68" s="19">
        <v>114.82</v>
      </c>
      <c r="I68" s="10" t="s">
        <v>27</v>
      </c>
    </row>
    <row r="69" spans="1:9" x14ac:dyDescent="0.25">
      <c r="A69" s="2" t="s">
        <v>165</v>
      </c>
      <c r="B69" s="3" t="s">
        <v>166</v>
      </c>
      <c r="C69" s="3">
        <v>53</v>
      </c>
      <c r="D69" s="25">
        <v>126.904473</v>
      </c>
      <c r="E69" s="10" t="s">
        <v>167</v>
      </c>
      <c r="F69" s="10" t="s">
        <v>27</v>
      </c>
      <c r="G69" s="10"/>
      <c r="H69" s="19" t="s">
        <v>168</v>
      </c>
      <c r="I69" s="10" t="s">
        <v>27</v>
      </c>
    </row>
    <row r="70" spans="1:9" x14ac:dyDescent="0.25">
      <c r="A70" s="2" t="s">
        <v>169</v>
      </c>
      <c r="B70" s="3" t="s">
        <v>170</v>
      </c>
      <c r="C70" s="3">
        <v>77</v>
      </c>
      <c r="D70" s="25">
        <v>192.21729999999999</v>
      </c>
      <c r="E70" s="10" t="s">
        <v>171</v>
      </c>
      <c r="F70" s="10" t="s">
        <v>27</v>
      </c>
      <c r="G70" s="10"/>
      <c r="H70" s="19">
        <v>192.22</v>
      </c>
      <c r="I70" s="10" t="s">
        <v>27</v>
      </c>
    </row>
    <row r="71" spans="1:9" x14ac:dyDescent="0.25">
      <c r="A71" s="2" t="s">
        <v>172</v>
      </c>
      <c r="B71" s="3" t="s">
        <v>173</v>
      </c>
      <c r="C71" s="3">
        <v>26</v>
      </c>
      <c r="D71" s="25">
        <v>55.845199999999998</v>
      </c>
      <c r="E71" s="10" t="s">
        <v>174</v>
      </c>
      <c r="F71" s="10" t="s">
        <v>27</v>
      </c>
      <c r="G71" s="10"/>
      <c r="H71" s="19" t="s">
        <v>175</v>
      </c>
      <c r="I71" s="10" t="s">
        <v>27</v>
      </c>
    </row>
    <row r="72" spans="1:9" x14ac:dyDescent="0.25">
      <c r="A72" s="2" t="s">
        <v>176</v>
      </c>
      <c r="B72" s="3" t="s">
        <v>177</v>
      </c>
      <c r="C72" s="3">
        <v>36</v>
      </c>
      <c r="D72" s="25">
        <v>83.798199999999994</v>
      </c>
      <c r="E72" s="10" t="s">
        <v>178</v>
      </c>
      <c r="F72" s="10" t="s">
        <v>179</v>
      </c>
      <c r="G72" s="10"/>
      <c r="H72" s="19" t="s">
        <v>180</v>
      </c>
      <c r="I72" s="10" t="s">
        <v>179</v>
      </c>
    </row>
    <row r="73" spans="1:9" x14ac:dyDescent="0.25">
      <c r="A73" s="2" t="s">
        <v>181</v>
      </c>
      <c r="B73" s="3" t="s">
        <v>182</v>
      </c>
      <c r="C73" s="3">
        <v>57</v>
      </c>
      <c r="D73" s="25">
        <v>138.90547699999999</v>
      </c>
      <c r="E73" s="10" t="s">
        <v>183</v>
      </c>
      <c r="F73" s="10" t="s">
        <v>36</v>
      </c>
      <c r="G73" s="10"/>
      <c r="H73" s="19">
        <v>138.91</v>
      </c>
      <c r="I73" s="10" t="s">
        <v>27</v>
      </c>
    </row>
    <row r="74" spans="1:9" x14ac:dyDescent="0.25">
      <c r="A74" s="2" t="s">
        <v>184</v>
      </c>
      <c r="B74" s="3" t="s">
        <v>185</v>
      </c>
      <c r="C74" s="3">
        <v>103</v>
      </c>
      <c r="D74" s="25"/>
      <c r="E74" s="10"/>
      <c r="F74" s="10"/>
      <c r="G74" s="10"/>
      <c r="H74" s="20"/>
      <c r="I74" s="10"/>
    </row>
    <row r="75" spans="1:9" x14ac:dyDescent="0.25">
      <c r="A75" s="2" t="s">
        <v>186</v>
      </c>
      <c r="B75" s="3" t="s">
        <v>187</v>
      </c>
      <c r="C75" s="3">
        <v>82</v>
      </c>
      <c r="D75" s="25">
        <v>207.21</v>
      </c>
      <c r="E75" s="10" t="s">
        <v>188</v>
      </c>
      <c r="F75" s="10" t="s">
        <v>40</v>
      </c>
      <c r="G75" s="10"/>
      <c r="H75" s="19" t="s">
        <v>396</v>
      </c>
      <c r="I75" s="10" t="s">
        <v>40</v>
      </c>
    </row>
    <row r="76" spans="1:9" x14ac:dyDescent="0.25">
      <c r="A76" s="2" t="s">
        <v>189</v>
      </c>
      <c r="B76" s="3" t="s">
        <v>190</v>
      </c>
      <c r="C76" s="3">
        <v>3</v>
      </c>
      <c r="D76" s="25">
        <f>(6.938+6.997)/2</f>
        <v>6.9674999999999994</v>
      </c>
      <c r="E76" s="10" t="s">
        <v>191</v>
      </c>
      <c r="F76" s="10" t="s">
        <v>62</v>
      </c>
      <c r="G76" s="10"/>
      <c r="H76" s="19" t="s">
        <v>192</v>
      </c>
      <c r="I76" s="10" t="s">
        <v>62</v>
      </c>
    </row>
    <row r="77" spans="1:9" x14ac:dyDescent="0.25">
      <c r="A77" s="2" t="s">
        <v>193</v>
      </c>
      <c r="B77" s="3" t="s">
        <v>194</v>
      </c>
      <c r="C77" s="3">
        <v>116</v>
      </c>
      <c r="D77" s="25"/>
      <c r="E77" s="10"/>
      <c r="F77" s="10"/>
      <c r="G77" s="10"/>
      <c r="H77" s="20"/>
      <c r="I77" s="10"/>
    </row>
    <row r="78" spans="1:9" x14ac:dyDescent="0.25">
      <c r="A78" s="2" t="s">
        <v>195</v>
      </c>
      <c r="B78" s="3" t="s">
        <v>196</v>
      </c>
      <c r="C78" s="3">
        <v>71</v>
      </c>
      <c r="D78" s="25">
        <v>174.96681000000001</v>
      </c>
      <c r="E78" s="10" t="s">
        <v>197</v>
      </c>
      <c r="F78" s="10" t="s">
        <v>36</v>
      </c>
      <c r="G78" s="10"/>
      <c r="H78" s="19">
        <v>174.97</v>
      </c>
      <c r="I78" s="10" t="s">
        <v>36</v>
      </c>
    </row>
    <row r="79" spans="1:9" x14ac:dyDescent="0.25">
      <c r="A79" s="2" t="s">
        <v>198</v>
      </c>
      <c r="B79" s="3" t="s">
        <v>199</v>
      </c>
      <c r="C79" s="3">
        <v>12</v>
      </c>
      <c r="D79" s="25">
        <f>(24.304+24.307)/2</f>
        <v>24.305499999999999</v>
      </c>
      <c r="E79" s="10" t="s">
        <v>200</v>
      </c>
      <c r="F79" s="10" t="s">
        <v>27</v>
      </c>
      <c r="G79" s="10"/>
      <c r="H79" s="19" t="s">
        <v>201</v>
      </c>
      <c r="I79" s="10" t="s">
        <v>27</v>
      </c>
    </row>
    <row r="80" spans="1:9" x14ac:dyDescent="0.25">
      <c r="A80" s="2" t="s">
        <v>202</v>
      </c>
      <c r="B80" s="3" t="s">
        <v>203</v>
      </c>
      <c r="C80" s="3">
        <v>25</v>
      </c>
      <c r="D80" s="25">
        <v>54.938044300000001</v>
      </c>
      <c r="E80" s="10" t="s">
        <v>204</v>
      </c>
      <c r="F80" s="10" t="s">
        <v>27</v>
      </c>
      <c r="G80" s="10"/>
      <c r="H80" s="19">
        <v>54.938000000000002</v>
      </c>
      <c r="I80" s="10" t="s">
        <v>27</v>
      </c>
    </row>
    <row r="81" spans="1:9" x14ac:dyDescent="0.25">
      <c r="A81" s="2" t="s">
        <v>205</v>
      </c>
      <c r="B81" s="3" t="s">
        <v>206</v>
      </c>
      <c r="C81" s="3">
        <v>109</v>
      </c>
      <c r="D81" s="25"/>
      <c r="E81" s="10"/>
      <c r="F81" s="10"/>
      <c r="G81" s="10"/>
      <c r="H81" s="20"/>
      <c r="I81" s="10"/>
    </row>
    <row r="82" spans="1:9" x14ac:dyDescent="0.25">
      <c r="A82" s="2" t="s">
        <v>207</v>
      </c>
      <c r="B82" s="3" t="s">
        <v>208</v>
      </c>
      <c r="C82" s="3">
        <v>101</v>
      </c>
      <c r="D82" s="25"/>
      <c r="E82" s="10"/>
      <c r="F82" s="10"/>
      <c r="G82" s="10"/>
      <c r="H82" s="20"/>
      <c r="I82" s="10"/>
    </row>
    <row r="83" spans="1:9" x14ac:dyDescent="0.25">
      <c r="A83" s="2" t="s">
        <v>209</v>
      </c>
      <c r="B83" s="3" t="s">
        <v>210</v>
      </c>
      <c r="C83" s="3">
        <v>80</v>
      </c>
      <c r="D83" s="25">
        <v>200.59229999999999</v>
      </c>
      <c r="E83" s="10" t="s">
        <v>211</v>
      </c>
      <c r="F83" s="10" t="s">
        <v>27</v>
      </c>
      <c r="G83" s="10"/>
      <c r="H83" s="19" t="s">
        <v>212</v>
      </c>
      <c r="I83" s="10" t="s">
        <v>27</v>
      </c>
    </row>
    <row r="84" spans="1:9" x14ac:dyDescent="0.25">
      <c r="A84" s="2" t="s">
        <v>213</v>
      </c>
      <c r="B84" s="3" t="s">
        <v>214</v>
      </c>
      <c r="C84" s="3">
        <v>42</v>
      </c>
      <c r="D84" s="25">
        <v>95.950999999999993</v>
      </c>
      <c r="E84" s="10" t="s">
        <v>215</v>
      </c>
      <c r="F84" s="10" t="s">
        <v>36</v>
      </c>
      <c r="G84" s="10"/>
      <c r="H84" s="20" t="s">
        <v>216</v>
      </c>
      <c r="I84" s="10" t="s">
        <v>36</v>
      </c>
    </row>
    <row r="85" spans="1:9" x14ac:dyDescent="0.25">
      <c r="A85" s="2" t="s">
        <v>217</v>
      </c>
      <c r="B85" s="3" t="s">
        <v>218</v>
      </c>
      <c r="C85" s="3">
        <v>60</v>
      </c>
      <c r="D85" s="25">
        <v>144.2423</v>
      </c>
      <c r="E85" s="10" t="s">
        <v>219</v>
      </c>
      <c r="F85" s="10" t="s">
        <v>36</v>
      </c>
      <c r="G85" s="10"/>
      <c r="H85" s="19">
        <v>144.24</v>
      </c>
      <c r="I85" s="10" t="s">
        <v>36</v>
      </c>
    </row>
    <row r="86" spans="1:9" x14ac:dyDescent="0.25">
      <c r="A86" s="2" t="s">
        <v>220</v>
      </c>
      <c r="B86" s="3" t="s">
        <v>221</v>
      </c>
      <c r="C86" s="3">
        <v>10</v>
      </c>
      <c r="D86" s="25">
        <v>20.179760000000002</v>
      </c>
      <c r="E86" s="10" t="s">
        <v>222</v>
      </c>
      <c r="F86" s="10" t="s">
        <v>223</v>
      </c>
      <c r="G86" s="10"/>
      <c r="H86" s="19" t="s">
        <v>224</v>
      </c>
      <c r="I86" s="10" t="s">
        <v>161</v>
      </c>
    </row>
    <row r="87" spans="1:9" x14ac:dyDescent="0.25">
      <c r="A87" s="2" t="s">
        <v>225</v>
      </c>
      <c r="B87" s="3" t="s">
        <v>226</v>
      </c>
      <c r="C87" s="3">
        <v>93</v>
      </c>
      <c r="D87" s="25"/>
      <c r="E87" s="10"/>
      <c r="F87" s="10"/>
      <c r="G87" s="10"/>
      <c r="H87" s="20"/>
      <c r="I87" s="10"/>
    </row>
    <row r="88" spans="1:9" x14ac:dyDescent="0.25">
      <c r="A88" s="2" t="s">
        <v>227</v>
      </c>
      <c r="B88" s="3" t="s">
        <v>228</v>
      </c>
      <c r="C88" s="3">
        <v>28</v>
      </c>
      <c r="D88" s="25">
        <v>58.693440000000002</v>
      </c>
      <c r="E88" s="10" t="s">
        <v>229</v>
      </c>
      <c r="F88" s="10" t="s">
        <v>102</v>
      </c>
      <c r="G88" s="10"/>
      <c r="H88" s="19">
        <v>58.692999999999998</v>
      </c>
      <c r="I88" s="10" t="s">
        <v>102</v>
      </c>
    </row>
    <row r="89" spans="1:9" x14ac:dyDescent="0.25">
      <c r="A89" s="2" t="s">
        <v>230</v>
      </c>
      <c r="B89" s="3" t="s">
        <v>231</v>
      </c>
      <c r="C89" s="3">
        <v>41</v>
      </c>
      <c r="D89" s="25">
        <v>92.906372000000005</v>
      </c>
      <c r="E89" s="10" t="s">
        <v>232</v>
      </c>
      <c r="F89" s="10" t="s">
        <v>27</v>
      </c>
      <c r="G89" s="10"/>
      <c r="H89" s="19" t="s">
        <v>233</v>
      </c>
      <c r="I89" s="10" t="s">
        <v>27</v>
      </c>
    </row>
    <row r="90" spans="1:9" x14ac:dyDescent="0.25">
      <c r="A90" s="2" t="s">
        <v>234</v>
      </c>
      <c r="B90" s="3" t="s">
        <v>235</v>
      </c>
      <c r="C90" s="3">
        <v>7</v>
      </c>
      <c r="D90" s="25">
        <f>(14.00643+14.00728)/2</f>
        <v>14.006855</v>
      </c>
      <c r="E90" s="10" t="s">
        <v>236</v>
      </c>
      <c r="F90" s="10" t="s">
        <v>237</v>
      </c>
      <c r="G90" s="10"/>
      <c r="H90" s="19" t="s">
        <v>238</v>
      </c>
      <c r="I90" s="10" t="s">
        <v>27</v>
      </c>
    </row>
    <row r="91" spans="1:9" x14ac:dyDescent="0.25">
      <c r="A91" s="2" t="s">
        <v>239</v>
      </c>
      <c r="B91" s="3" t="s">
        <v>240</v>
      </c>
      <c r="C91" s="3">
        <v>102</v>
      </c>
      <c r="D91" s="25"/>
      <c r="E91" s="10"/>
      <c r="F91" s="10"/>
      <c r="G91" s="10"/>
      <c r="H91" s="20"/>
      <c r="I91" s="10"/>
    </row>
    <row r="92" spans="1:9" x14ac:dyDescent="0.25">
      <c r="A92" s="2" t="s">
        <v>241</v>
      </c>
      <c r="B92" s="3" t="s">
        <v>242</v>
      </c>
      <c r="C92" s="3">
        <v>76</v>
      </c>
      <c r="D92" s="25">
        <v>190.233</v>
      </c>
      <c r="E92" s="10" t="s">
        <v>243</v>
      </c>
      <c r="F92" s="10" t="s">
        <v>36</v>
      </c>
      <c r="G92" s="10"/>
      <c r="H92" s="19" t="s">
        <v>244</v>
      </c>
      <c r="I92" s="10" t="s">
        <v>36</v>
      </c>
    </row>
    <row r="93" spans="1:9" x14ac:dyDescent="0.25">
      <c r="A93" s="2" t="s">
        <v>245</v>
      </c>
      <c r="B93" s="3" t="s">
        <v>246</v>
      </c>
      <c r="C93" s="3">
        <v>8</v>
      </c>
      <c r="D93" s="25">
        <f>(15.99903+15.99977)/2</f>
        <v>15.9994</v>
      </c>
      <c r="E93" s="10" t="s">
        <v>247</v>
      </c>
      <c r="F93" s="10" t="s">
        <v>237</v>
      </c>
      <c r="G93" s="10"/>
      <c r="H93" s="19" t="s">
        <v>248</v>
      </c>
      <c r="I93" s="10" t="s">
        <v>27</v>
      </c>
    </row>
    <row r="94" spans="1:9" x14ac:dyDescent="0.25">
      <c r="A94" s="2" t="s">
        <v>249</v>
      </c>
      <c r="B94" s="3" t="s">
        <v>250</v>
      </c>
      <c r="C94" s="3">
        <v>46</v>
      </c>
      <c r="D94" s="25">
        <v>106.42100000000001</v>
      </c>
      <c r="E94" s="10" t="s">
        <v>251</v>
      </c>
      <c r="F94" s="10" t="s">
        <v>36</v>
      </c>
      <c r="G94" s="10"/>
      <c r="H94" s="19">
        <v>106.42</v>
      </c>
      <c r="I94" s="10" t="s">
        <v>36</v>
      </c>
    </row>
    <row r="95" spans="1:9" x14ac:dyDescent="0.25">
      <c r="A95" s="2" t="s">
        <v>252</v>
      </c>
      <c r="B95" s="3" t="s">
        <v>253</v>
      </c>
      <c r="C95" s="3">
        <v>15</v>
      </c>
      <c r="D95" s="25">
        <v>30.973761998499999</v>
      </c>
      <c r="E95" s="10" t="s">
        <v>254</v>
      </c>
      <c r="F95" s="10" t="s">
        <v>27</v>
      </c>
      <c r="G95" s="10"/>
      <c r="H95" s="19">
        <v>30.974</v>
      </c>
      <c r="I95" s="10" t="s">
        <v>27</v>
      </c>
    </row>
    <row r="96" spans="1:9" x14ac:dyDescent="0.25">
      <c r="A96" s="2" t="s">
        <v>255</v>
      </c>
      <c r="B96" s="3" t="s">
        <v>256</v>
      </c>
      <c r="C96" s="3">
        <v>78</v>
      </c>
      <c r="D96" s="25">
        <v>195.0849</v>
      </c>
      <c r="E96" s="10" t="s">
        <v>257</v>
      </c>
      <c r="F96" s="10" t="s">
        <v>27</v>
      </c>
      <c r="G96" s="10"/>
      <c r="H96" s="19">
        <v>195.08</v>
      </c>
      <c r="I96" s="10" t="s">
        <v>27</v>
      </c>
    </row>
    <row r="97" spans="1:9" x14ac:dyDescent="0.25">
      <c r="A97" s="2" t="s">
        <v>258</v>
      </c>
      <c r="B97" s="3" t="s">
        <v>259</v>
      </c>
      <c r="C97" s="3">
        <v>94</v>
      </c>
      <c r="D97" s="25"/>
      <c r="E97" s="10"/>
      <c r="F97" s="10"/>
      <c r="G97" s="10"/>
      <c r="H97" s="20"/>
      <c r="I97" s="10"/>
    </row>
    <row r="98" spans="1:9" x14ac:dyDescent="0.25">
      <c r="A98" s="2" t="s">
        <v>260</v>
      </c>
      <c r="B98" s="3" t="s">
        <v>261</v>
      </c>
      <c r="C98" s="3">
        <v>84</v>
      </c>
      <c r="D98" s="25"/>
      <c r="E98" s="10" t="s">
        <v>27</v>
      </c>
      <c r="F98" s="10" t="s">
        <v>27</v>
      </c>
      <c r="G98" s="10"/>
      <c r="H98" s="19" t="s">
        <v>27</v>
      </c>
      <c r="I98" s="10" t="s">
        <v>27</v>
      </c>
    </row>
    <row r="99" spans="1:9" x14ac:dyDescent="0.25">
      <c r="A99" s="2" t="s">
        <v>262</v>
      </c>
      <c r="B99" s="3" t="s">
        <v>263</v>
      </c>
      <c r="C99" s="3">
        <v>19</v>
      </c>
      <c r="D99" s="25">
        <v>39.098309999999998</v>
      </c>
      <c r="E99" s="10" t="s">
        <v>264</v>
      </c>
      <c r="F99" s="10" t="s">
        <v>27</v>
      </c>
      <c r="G99" s="10"/>
      <c r="H99" s="19">
        <v>39.097999999999999</v>
      </c>
      <c r="I99" s="10"/>
    </row>
    <row r="100" spans="1:9" x14ac:dyDescent="0.25">
      <c r="A100" s="2" t="s">
        <v>265</v>
      </c>
      <c r="B100" s="3" t="s">
        <v>266</v>
      </c>
      <c r="C100" s="3">
        <v>59</v>
      </c>
      <c r="D100" s="25">
        <v>140.90766199999999</v>
      </c>
      <c r="E100" s="10" t="s">
        <v>267</v>
      </c>
      <c r="F100" s="10" t="s">
        <v>27</v>
      </c>
      <c r="G100" s="10"/>
      <c r="H100" s="19">
        <v>140.91</v>
      </c>
      <c r="I100" s="10" t="s">
        <v>27</v>
      </c>
    </row>
    <row r="101" spans="1:9" x14ac:dyDescent="0.25">
      <c r="A101" s="2" t="s">
        <v>268</v>
      </c>
      <c r="B101" s="3" t="s">
        <v>269</v>
      </c>
      <c r="C101" s="3">
        <v>61</v>
      </c>
      <c r="D101" s="25"/>
      <c r="E101" s="10" t="s">
        <v>27</v>
      </c>
      <c r="F101" s="10" t="s">
        <v>27</v>
      </c>
      <c r="G101" s="10"/>
      <c r="H101" s="19" t="s">
        <v>27</v>
      </c>
      <c r="I101" s="10" t="s">
        <v>27</v>
      </c>
    </row>
    <row r="102" spans="1:9" x14ac:dyDescent="0.25">
      <c r="A102" s="2" t="s">
        <v>270</v>
      </c>
      <c r="B102" s="3" t="s">
        <v>271</v>
      </c>
      <c r="C102" s="3">
        <v>91</v>
      </c>
      <c r="D102" s="25">
        <v>231.03588199999999</v>
      </c>
      <c r="E102" s="10" t="s">
        <v>272</v>
      </c>
      <c r="F102" s="10" t="s">
        <v>27</v>
      </c>
      <c r="G102" s="10"/>
      <c r="H102" s="19">
        <v>231.04</v>
      </c>
      <c r="I102" s="10" t="s">
        <v>27</v>
      </c>
    </row>
    <row r="103" spans="1:9" x14ac:dyDescent="0.25">
      <c r="A103" s="2" t="s">
        <v>273</v>
      </c>
      <c r="B103" s="3" t="s">
        <v>274</v>
      </c>
      <c r="C103" s="3">
        <v>88</v>
      </c>
      <c r="D103" s="25"/>
      <c r="E103" s="10" t="s">
        <v>27</v>
      </c>
      <c r="F103" s="10" t="s">
        <v>27</v>
      </c>
      <c r="G103" s="10"/>
      <c r="H103" s="19" t="s">
        <v>27</v>
      </c>
      <c r="I103" s="10" t="s">
        <v>27</v>
      </c>
    </row>
    <row r="104" spans="1:9" x14ac:dyDescent="0.25">
      <c r="A104" s="2" t="s">
        <v>275</v>
      </c>
      <c r="B104" s="3" t="s">
        <v>276</v>
      </c>
      <c r="C104" s="3">
        <v>86</v>
      </c>
      <c r="D104" s="25"/>
      <c r="E104" s="10" t="s">
        <v>27</v>
      </c>
      <c r="F104" s="10" t="s">
        <v>27</v>
      </c>
      <c r="G104" s="10"/>
      <c r="H104" s="19" t="s">
        <v>27</v>
      </c>
      <c r="I104" s="10" t="s">
        <v>27</v>
      </c>
    </row>
    <row r="105" spans="1:9" x14ac:dyDescent="0.25">
      <c r="A105" s="2" t="s">
        <v>277</v>
      </c>
      <c r="B105" s="3" t="s">
        <v>278</v>
      </c>
      <c r="C105" s="3">
        <v>75</v>
      </c>
      <c r="D105" s="25">
        <v>186.2071</v>
      </c>
      <c r="E105" s="10" t="s">
        <v>279</v>
      </c>
      <c r="F105" s="10" t="s">
        <v>27</v>
      </c>
      <c r="G105" s="10"/>
      <c r="H105" s="19">
        <v>186.21</v>
      </c>
      <c r="I105" s="10" t="s">
        <v>27</v>
      </c>
    </row>
    <row r="106" spans="1:9" x14ac:dyDescent="0.25">
      <c r="A106" s="2" t="s">
        <v>280</v>
      </c>
      <c r="B106" s="3" t="s">
        <v>281</v>
      </c>
      <c r="C106" s="3">
        <v>45</v>
      </c>
      <c r="D106" s="25">
        <v>102.905502</v>
      </c>
      <c r="E106" s="10" t="s">
        <v>282</v>
      </c>
      <c r="F106" s="10" t="s">
        <v>27</v>
      </c>
      <c r="G106" s="10"/>
      <c r="H106" s="19">
        <v>102.91</v>
      </c>
      <c r="I106" s="10" t="s">
        <v>27</v>
      </c>
    </row>
    <row r="107" spans="1:9" x14ac:dyDescent="0.25">
      <c r="A107" s="2" t="s">
        <v>283</v>
      </c>
      <c r="B107" s="3" t="s">
        <v>284</v>
      </c>
      <c r="C107" s="3">
        <v>111</v>
      </c>
      <c r="D107" s="25"/>
      <c r="E107" s="10"/>
      <c r="F107" s="10"/>
      <c r="G107" s="10"/>
      <c r="H107" s="20"/>
      <c r="I107" s="10"/>
    </row>
    <row r="108" spans="1:9" x14ac:dyDescent="0.25">
      <c r="A108" s="2" t="s">
        <v>285</v>
      </c>
      <c r="B108" s="3" t="s">
        <v>286</v>
      </c>
      <c r="C108" s="3">
        <v>37</v>
      </c>
      <c r="D108" s="25">
        <v>85.467830000000006</v>
      </c>
      <c r="E108" s="10" t="s">
        <v>287</v>
      </c>
      <c r="F108" s="10" t="s">
        <v>36</v>
      </c>
      <c r="G108" s="10"/>
      <c r="H108" s="19">
        <v>85.468000000000004</v>
      </c>
      <c r="I108" s="10" t="s">
        <v>36</v>
      </c>
    </row>
    <row r="109" spans="1:9" x14ac:dyDescent="0.25">
      <c r="A109" s="2" t="s">
        <v>288</v>
      </c>
      <c r="B109" s="3" t="s">
        <v>289</v>
      </c>
      <c r="C109" s="3">
        <v>44</v>
      </c>
      <c r="D109" s="25">
        <v>101.072</v>
      </c>
      <c r="E109" s="10" t="s">
        <v>290</v>
      </c>
      <c r="F109" s="10" t="s">
        <v>36</v>
      </c>
      <c r="G109" s="10"/>
      <c r="H109" s="19" t="s">
        <v>291</v>
      </c>
      <c r="I109" s="10" t="s">
        <v>36</v>
      </c>
    </row>
    <row r="110" spans="1:9" x14ac:dyDescent="0.25">
      <c r="A110" s="2" t="s">
        <v>292</v>
      </c>
      <c r="B110" s="3" t="s">
        <v>293</v>
      </c>
      <c r="C110" s="3">
        <v>104</v>
      </c>
      <c r="D110" s="25"/>
      <c r="E110" s="10"/>
      <c r="F110" s="10"/>
      <c r="G110" s="10"/>
      <c r="H110" s="20"/>
      <c r="I110" s="10"/>
    </row>
    <row r="111" spans="1:9" x14ac:dyDescent="0.25">
      <c r="A111" s="2" t="s">
        <v>294</v>
      </c>
      <c r="B111" s="3" t="s">
        <v>295</v>
      </c>
      <c r="C111" s="3">
        <v>62</v>
      </c>
      <c r="D111" s="25">
        <v>150.36199999999999</v>
      </c>
      <c r="E111" s="10" t="s">
        <v>296</v>
      </c>
      <c r="F111" s="10" t="s">
        <v>36</v>
      </c>
      <c r="G111" s="10"/>
      <c r="H111" s="19" t="s">
        <v>297</v>
      </c>
      <c r="I111" s="10" t="s">
        <v>36</v>
      </c>
    </row>
    <row r="112" spans="1:9" x14ac:dyDescent="0.25">
      <c r="A112" s="2" t="s">
        <v>298</v>
      </c>
      <c r="B112" s="3" t="s">
        <v>299</v>
      </c>
      <c r="C112" s="3">
        <v>21</v>
      </c>
      <c r="D112" s="25">
        <v>44.9559085</v>
      </c>
      <c r="E112" s="10" t="s">
        <v>300</v>
      </c>
      <c r="F112" s="10" t="s">
        <v>27</v>
      </c>
      <c r="G112" s="10"/>
      <c r="H112" s="19">
        <v>44.956000000000003</v>
      </c>
      <c r="I112" s="10" t="s">
        <v>27</v>
      </c>
    </row>
    <row r="113" spans="1:9" x14ac:dyDescent="0.25">
      <c r="A113" s="2" t="s">
        <v>301</v>
      </c>
      <c r="B113" s="3" t="s">
        <v>302</v>
      </c>
      <c r="C113" s="3">
        <v>106</v>
      </c>
      <c r="D113" s="25"/>
      <c r="E113" s="10"/>
      <c r="F113" s="10"/>
      <c r="G113" s="10"/>
      <c r="H113" s="20"/>
      <c r="I113" s="10"/>
    </row>
    <row r="114" spans="1:9" x14ac:dyDescent="0.25">
      <c r="A114" s="2" t="s">
        <v>303</v>
      </c>
      <c r="B114" s="3" t="s">
        <v>304</v>
      </c>
      <c r="C114" s="3">
        <v>34</v>
      </c>
      <c r="D114" s="25">
        <v>78.971800000000002</v>
      </c>
      <c r="E114" s="2" t="s">
        <v>305</v>
      </c>
      <c r="F114" s="10" t="s">
        <v>102</v>
      </c>
      <c r="G114" s="10"/>
      <c r="H114" s="17">
        <v>78.971000000000004</v>
      </c>
      <c r="I114" s="10" t="s">
        <v>102</v>
      </c>
    </row>
    <row r="115" spans="1:9" x14ac:dyDescent="0.25">
      <c r="A115" s="2" t="s">
        <v>306</v>
      </c>
      <c r="B115" s="3" t="s">
        <v>307</v>
      </c>
      <c r="C115" s="3">
        <v>14</v>
      </c>
      <c r="D115" s="25">
        <f>(28.084+28.086)/2</f>
        <v>28.085000000000001</v>
      </c>
      <c r="E115" s="10" t="s">
        <v>308</v>
      </c>
      <c r="F115" s="10" t="s">
        <v>237</v>
      </c>
      <c r="G115" s="10"/>
      <c r="H115" s="19" t="s">
        <v>309</v>
      </c>
      <c r="I115" s="10" t="s">
        <v>27</v>
      </c>
    </row>
    <row r="116" spans="1:9" x14ac:dyDescent="0.25">
      <c r="A116" s="2" t="s">
        <v>310</v>
      </c>
      <c r="B116" s="3" t="s">
        <v>311</v>
      </c>
      <c r="C116" s="3">
        <v>47</v>
      </c>
      <c r="D116" s="25">
        <v>107.86821999999999</v>
      </c>
      <c r="E116" s="10" t="s">
        <v>312</v>
      </c>
      <c r="F116" s="10" t="s">
        <v>36</v>
      </c>
      <c r="G116" s="10"/>
      <c r="H116" s="19">
        <v>107.87</v>
      </c>
      <c r="I116" s="10" t="s">
        <v>36</v>
      </c>
    </row>
    <row r="117" spans="1:9" x14ac:dyDescent="0.25">
      <c r="A117" s="2" t="s">
        <v>313</v>
      </c>
      <c r="B117" s="3" t="s">
        <v>314</v>
      </c>
      <c r="C117" s="3">
        <v>11</v>
      </c>
      <c r="D117" s="25">
        <v>22.989769282000001</v>
      </c>
      <c r="E117" s="10" t="s">
        <v>315</v>
      </c>
      <c r="F117" s="10" t="s">
        <v>27</v>
      </c>
      <c r="G117" s="10"/>
      <c r="H117" s="19" t="s">
        <v>316</v>
      </c>
      <c r="I117" s="10" t="s">
        <v>27</v>
      </c>
    </row>
    <row r="118" spans="1:9" x14ac:dyDescent="0.25">
      <c r="A118" s="2" t="s">
        <v>317</v>
      </c>
      <c r="B118" s="3" t="s">
        <v>318</v>
      </c>
      <c r="C118" s="3">
        <v>38</v>
      </c>
      <c r="D118" s="25">
        <v>87.620999999999995</v>
      </c>
      <c r="E118" s="10" t="s">
        <v>319</v>
      </c>
      <c r="F118" s="10" t="s">
        <v>40</v>
      </c>
      <c r="G118" s="10"/>
      <c r="H118" s="19">
        <v>87.62</v>
      </c>
      <c r="I118" s="10" t="s">
        <v>40</v>
      </c>
    </row>
    <row r="119" spans="1:9" x14ac:dyDescent="0.25">
      <c r="A119" s="2" t="s">
        <v>320</v>
      </c>
      <c r="B119" s="3" t="s">
        <v>321</v>
      </c>
      <c r="C119" s="3">
        <v>16</v>
      </c>
      <c r="D119" s="25">
        <f>(32.059+32.076)/2</f>
        <v>32.067499999999995</v>
      </c>
      <c r="E119" s="10" t="s">
        <v>322</v>
      </c>
      <c r="F119" s="10" t="s">
        <v>237</v>
      </c>
      <c r="G119" s="10"/>
      <c r="H119" s="19" t="s">
        <v>323</v>
      </c>
      <c r="I119" s="10" t="s">
        <v>27</v>
      </c>
    </row>
    <row r="120" spans="1:9" x14ac:dyDescent="0.25">
      <c r="A120" s="2" t="s">
        <v>324</v>
      </c>
      <c r="B120" s="3" t="s">
        <v>325</v>
      </c>
      <c r="C120" s="3">
        <v>73</v>
      </c>
      <c r="D120" s="25">
        <v>180.94788199999999</v>
      </c>
      <c r="E120" s="10" t="s">
        <v>326</v>
      </c>
      <c r="F120" s="10" t="s">
        <v>27</v>
      </c>
      <c r="G120" s="10"/>
      <c r="H120" s="19">
        <v>180.95</v>
      </c>
      <c r="I120" s="10" t="s">
        <v>27</v>
      </c>
    </row>
    <row r="121" spans="1:9" x14ac:dyDescent="0.25">
      <c r="A121" s="2" t="s">
        <v>327</v>
      </c>
      <c r="B121" s="3" t="s">
        <v>328</v>
      </c>
      <c r="C121" s="3">
        <v>43</v>
      </c>
      <c r="D121" s="25"/>
      <c r="E121" s="10" t="s">
        <v>27</v>
      </c>
      <c r="F121" s="10" t="s">
        <v>27</v>
      </c>
      <c r="G121" s="10"/>
      <c r="H121" s="19" t="s">
        <v>27</v>
      </c>
      <c r="I121" s="10" t="s">
        <v>27</v>
      </c>
    </row>
    <row r="122" spans="1:9" x14ac:dyDescent="0.25">
      <c r="A122" s="2" t="s">
        <v>329</v>
      </c>
      <c r="B122" s="3" t="s">
        <v>330</v>
      </c>
      <c r="C122" s="3">
        <v>52</v>
      </c>
      <c r="D122" s="25">
        <v>127.60299999999999</v>
      </c>
      <c r="E122" s="10" t="s">
        <v>331</v>
      </c>
      <c r="F122" s="10" t="s">
        <v>36</v>
      </c>
      <c r="G122" s="10"/>
      <c r="H122" s="19" t="s">
        <v>332</v>
      </c>
      <c r="I122" s="10" t="s">
        <v>36</v>
      </c>
    </row>
    <row r="123" spans="1:9" x14ac:dyDescent="0.25">
      <c r="A123" s="2" t="s">
        <v>333</v>
      </c>
      <c r="B123" s="3" t="s">
        <v>334</v>
      </c>
      <c r="C123" s="3">
        <v>65</v>
      </c>
      <c r="D123" s="25">
        <v>158.925352</v>
      </c>
      <c r="E123" s="10" t="s">
        <v>335</v>
      </c>
      <c r="F123" s="10" t="s">
        <v>27</v>
      </c>
      <c r="G123" s="10"/>
      <c r="H123" s="19">
        <v>158.93</v>
      </c>
      <c r="I123" s="10" t="s">
        <v>27</v>
      </c>
    </row>
    <row r="124" spans="1:9" x14ac:dyDescent="0.25">
      <c r="A124" s="2" t="s">
        <v>336</v>
      </c>
      <c r="B124" s="3" t="s">
        <v>337</v>
      </c>
      <c r="C124" s="3">
        <v>81</v>
      </c>
      <c r="D124" s="25">
        <f>(204.382+204.385)/2</f>
        <v>204.3835</v>
      </c>
      <c r="E124" s="10" t="s">
        <v>338</v>
      </c>
      <c r="F124" s="10" t="s">
        <v>27</v>
      </c>
      <c r="G124" s="10"/>
      <c r="H124" s="19" t="s">
        <v>339</v>
      </c>
      <c r="I124" s="10" t="s">
        <v>27</v>
      </c>
    </row>
    <row r="125" spans="1:9" x14ac:dyDescent="0.25">
      <c r="A125" s="2" t="s">
        <v>340</v>
      </c>
      <c r="B125" s="3" t="s">
        <v>341</v>
      </c>
      <c r="C125" s="3">
        <v>90</v>
      </c>
      <c r="D125" s="25">
        <v>232.03774000000001</v>
      </c>
      <c r="E125" s="2" t="s">
        <v>342</v>
      </c>
      <c r="F125" s="10" t="s">
        <v>36</v>
      </c>
      <c r="G125" s="10"/>
      <c r="H125" s="19">
        <v>232.04</v>
      </c>
      <c r="I125" s="10" t="s">
        <v>36</v>
      </c>
    </row>
    <row r="126" spans="1:9" x14ac:dyDescent="0.25">
      <c r="A126" s="2" t="s">
        <v>343</v>
      </c>
      <c r="B126" s="3" t="s">
        <v>344</v>
      </c>
      <c r="C126" s="3">
        <v>69</v>
      </c>
      <c r="D126" s="25">
        <v>168.93422200000001</v>
      </c>
      <c r="E126" s="10" t="s">
        <v>345</v>
      </c>
      <c r="F126" s="10" t="s">
        <v>27</v>
      </c>
      <c r="G126" s="10"/>
      <c r="H126" s="19">
        <v>168.93</v>
      </c>
      <c r="I126" s="10" t="s">
        <v>27</v>
      </c>
    </row>
    <row r="127" spans="1:9" x14ac:dyDescent="0.25">
      <c r="A127" s="2" t="s">
        <v>346</v>
      </c>
      <c r="B127" s="3" t="s">
        <v>347</v>
      </c>
      <c r="C127" s="3">
        <v>50</v>
      </c>
      <c r="D127" s="25">
        <v>118.7107</v>
      </c>
      <c r="E127" s="10" t="s">
        <v>348</v>
      </c>
      <c r="F127" s="10" t="s">
        <v>36</v>
      </c>
      <c r="G127" s="10"/>
      <c r="H127" s="19">
        <v>118.71</v>
      </c>
      <c r="I127" s="10" t="s">
        <v>36</v>
      </c>
    </row>
    <row r="128" spans="1:9" x14ac:dyDescent="0.25">
      <c r="A128" s="2" t="s">
        <v>349</v>
      </c>
      <c r="B128" s="3" t="s">
        <v>350</v>
      </c>
      <c r="C128" s="3">
        <v>22</v>
      </c>
      <c r="D128" s="25">
        <v>47.867100000000001</v>
      </c>
      <c r="E128" s="10" t="s">
        <v>351</v>
      </c>
      <c r="F128" s="10" t="s">
        <v>27</v>
      </c>
      <c r="G128" s="10"/>
      <c r="H128" s="19">
        <v>47.866999999999997</v>
      </c>
      <c r="I128" s="10" t="s">
        <v>27</v>
      </c>
    </row>
    <row r="129" spans="1:9" x14ac:dyDescent="0.25">
      <c r="A129" s="2" t="s">
        <v>352</v>
      </c>
      <c r="B129" s="3" t="s">
        <v>353</v>
      </c>
      <c r="C129" s="3">
        <v>74</v>
      </c>
      <c r="D129" s="25">
        <v>183.84100000000001</v>
      </c>
      <c r="E129" s="10" t="s">
        <v>354</v>
      </c>
      <c r="F129" s="10" t="s">
        <v>27</v>
      </c>
      <c r="G129" s="10"/>
      <c r="H129" s="19">
        <v>183.84</v>
      </c>
      <c r="I129" s="10" t="s">
        <v>27</v>
      </c>
    </row>
    <row r="130" spans="1:9" x14ac:dyDescent="0.25">
      <c r="A130" s="11" t="s">
        <v>355</v>
      </c>
      <c r="B130" s="12" t="s">
        <v>356</v>
      </c>
      <c r="C130" s="12">
        <v>118</v>
      </c>
      <c r="D130" s="26"/>
      <c r="E130" s="13"/>
      <c r="F130" s="13"/>
      <c r="G130" s="10"/>
      <c r="H130" s="21"/>
      <c r="I130" s="13"/>
    </row>
    <row r="131" spans="1:9" x14ac:dyDescent="0.25">
      <c r="A131" s="2" t="s">
        <v>357</v>
      </c>
      <c r="B131" s="3" t="s">
        <v>358</v>
      </c>
      <c r="C131" s="3">
        <v>115</v>
      </c>
      <c r="D131" s="25"/>
      <c r="E131" s="10"/>
      <c r="F131" s="10"/>
      <c r="G131" s="10"/>
      <c r="H131" s="20"/>
      <c r="I131" s="10"/>
    </row>
    <row r="132" spans="1:9" x14ac:dyDescent="0.25">
      <c r="A132" s="2" t="s">
        <v>359</v>
      </c>
      <c r="B132" s="3" t="s">
        <v>360</v>
      </c>
      <c r="C132" s="3">
        <v>117</v>
      </c>
      <c r="D132" s="25"/>
      <c r="E132" s="10"/>
      <c r="F132" s="10"/>
      <c r="G132" s="10"/>
      <c r="H132" s="20"/>
      <c r="I132" s="10"/>
    </row>
    <row r="133" spans="1:9" x14ac:dyDescent="0.25">
      <c r="A133" s="2" t="s">
        <v>361</v>
      </c>
      <c r="B133" s="3" t="s">
        <v>362</v>
      </c>
      <c r="C133" s="3">
        <v>113</v>
      </c>
      <c r="D133" s="25"/>
      <c r="E133" s="10"/>
      <c r="F133" s="10"/>
      <c r="G133" s="10"/>
      <c r="H133" s="20"/>
      <c r="I133" s="10"/>
    </row>
    <row r="134" spans="1:9" x14ac:dyDescent="0.25">
      <c r="A134" s="2" t="s">
        <v>363</v>
      </c>
      <c r="B134" s="3" t="s">
        <v>364</v>
      </c>
      <c r="C134" s="3">
        <v>92</v>
      </c>
      <c r="D134" s="25">
        <v>238.02891299999999</v>
      </c>
      <c r="E134" s="10" t="s">
        <v>365</v>
      </c>
      <c r="F134" s="10" t="s">
        <v>179</v>
      </c>
      <c r="G134" s="10"/>
      <c r="H134" s="19">
        <v>238.03</v>
      </c>
      <c r="I134" s="10" t="s">
        <v>179</v>
      </c>
    </row>
    <row r="135" spans="1:9" x14ac:dyDescent="0.25">
      <c r="A135" s="2" t="s">
        <v>366</v>
      </c>
      <c r="B135" s="3" t="s">
        <v>367</v>
      </c>
      <c r="C135" s="3">
        <v>23</v>
      </c>
      <c r="D135" s="25">
        <v>50.941510000000001</v>
      </c>
      <c r="E135" s="10" t="s">
        <v>368</v>
      </c>
      <c r="F135" s="10" t="s">
        <v>27</v>
      </c>
      <c r="G135" s="10"/>
      <c r="H135" s="19">
        <v>50.942</v>
      </c>
      <c r="I135" s="10" t="s">
        <v>27</v>
      </c>
    </row>
    <row r="136" spans="1:9" x14ac:dyDescent="0.25">
      <c r="A136" s="2" t="s">
        <v>369</v>
      </c>
      <c r="B136" s="3" t="s">
        <v>370</v>
      </c>
      <c r="C136" s="3">
        <v>54</v>
      </c>
      <c r="D136" s="25">
        <v>131.2936</v>
      </c>
      <c r="E136" s="10" t="s">
        <v>371</v>
      </c>
      <c r="F136" s="10" t="s">
        <v>179</v>
      </c>
      <c r="G136" s="10"/>
      <c r="H136" s="19">
        <v>131.29</v>
      </c>
      <c r="I136" s="10" t="s">
        <v>179</v>
      </c>
    </row>
    <row r="137" spans="1:9" x14ac:dyDescent="0.25">
      <c r="A137" s="2" t="s">
        <v>372</v>
      </c>
      <c r="B137" s="3" t="s">
        <v>373</v>
      </c>
      <c r="C137" s="3">
        <v>70</v>
      </c>
      <c r="D137" s="25">
        <v>173.05449999999999</v>
      </c>
      <c r="E137" s="10" t="s">
        <v>374</v>
      </c>
      <c r="F137" s="10" t="s">
        <v>36</v>
      </c>
      <c r="G137" s="10"/>
      <c r="H137" s="19">
        <v>173.05</v>
      </c>
      <c r="I137" s="10" t="s">
        <v>36</v>
      </c>
    </row>
    <row r="138" spans="1:9" x14ac:dyDescent="0.25">
      <c r="A138" s="2" t="s">
        <v>375</v>
      </c>
      <c r="B138" s="3" t="s">
        <v>376</v>
      </c>
      <c r="C138" s="3">
        <v>39</v>
      </c>
      <c r="D138" s="25">
        <v>88.905842000000007</v>
      </c>
      <c r="E138" s="10" t="s">
        <v>377</v>
      </c>
      <c r="F138" s="10" t="s">
        <v>27</v>
      </c>
      <c r="G138" s="10"/>
      <c r="H138" s="19">
        <v>88.906000000000006</v>
      </c>
      <c r="I138" s="10" t="s">
        <v>27</v>
      </c>
    </row>
    <row r="139" spans="1:9" x14ac:dyDescent="0.25">
      <c r="A139" s="2" t="s">
        <v>378</v>
      </c>
      <c r="B139" s="3" t="s">
        <v>379</v>
      </c>
      <c r="C139" s="3">
        <v>30</v>
      </c>
      <c r="D139" s="25">
        <v>65.382000000000005</v>
      </c>
      <c r="E139" s="10" t="s">
        <v>380</v>
      </c>
      <c r="F139" s="10" t="s">
        <v>102</v>
      </c>
      <c r="G139" s="10"/>
      <c r="H139" s="19" t="s">
        <v>381</v>
      </c>
      <c r="I139" s="10" t="s">
        <v>102</v>
      </c>
    </row>
    <row r="140" spans="1:9" ht="15.75" thickBot="1" x14ac:dyDescent="0.3">
      <c r="A140" s="14" t="s">
        <v>382</v>
      </c>
      <c r="B140" s="15" t="s">
        <v>383</v>
      </c>
      <c r="C140" s="15">
        <v>40</v>
      </c>
      <c r="D140" s="27">
        <v>91.224199999999996</v>
      </c>
      <c r="E140" s="16" t="s">
        <v>384</v>
      </c>
      <c r="F140" s="16" t="s">
        <v>36</v>
      </c>
      <c r="G140" s="10"/>
      <c r="H140" s="22" t="s">
        <v>385</v>
      </c>
      <c r="I140" s="16" t="s">
        <v>36</v>
      </c>
    </row>
    <row r="141" spans="1:9" ht="15.75" thickTop="1" x14ac:dyDescent="0.25"/>
    <row r="142" spans="1:9" ht="18.75" x14ac:dyDescent="0.25">
      <c r="A142" s="4" t="s">
        <v>386</v>
      </c>
    </row>
    <row r="143" spans="1:9" x14ac:dyDescent="0.25">
      <c r="A143" s="4" t="s">
        <v>387</v>
      </c>
    </row>
    <row r="144" spans="1:9" x14ac:dyDescent="0.25">
      <c r="A144" s="4"/>
    </row>
    <row r="145" spans="1:1" x14ac:dyDescent="0.25">
      <c r="A145" s="4" t="s">
        <v>388</v>
      </c>
    </row>
    <row r="146" spans="1:1" x14ac:dyDescent="0.25">
      <c r="A146" s="4" t="s">
        <v>389</v>
      </c>
    </row>
    <row r="147" spans="1:1" x14ac:dyDescent="0.25">
      <c r="A147" s="4" t="s">
        <v>390</v>
      </c>
    </row>
    <row r="148" spans="1:1" x14ac:dyDescent="0.25">
      <c r="A148" s="4"/>
    </row>
    <row r="149" spans="1:1" x14ac:dyDescent="0.25">
      <c r="A149" s="4" t="s">
        <v>391</v>
      </c>
    </row>
    <row r="150" spans="1:1" x14ac:dyDescent="0.25">
      <c r="A150" s="4" t="s">
        <v>392</v>
      </c>
    </row>
    <row r="151" spans="1:1" x14ac:dyDescent="0.25">
      <c r="A151" s="4" t="s">
        <v>393</v>
      </c>
    </row>
    <row r="152" spans="1:1" x14ac:dyDescent="0.25">
      <c r="A152" s="4"/>
    </row>
    <row r="153" spans="1:1" x14ac:dyDescent="0.25">
      <c r="A153" s="4" t="s">
        <v>394</v>
      </c>
    </row>
    <row r="154" spans="1:1" ht="18.75" x14ac:dyDescent="0.25">
      <c r="A154" s="4" t="s">
        <v>395</v>
      </c>
    </row>
  </sheetData>
  <mergeCells count="2">
    <mergeCell ref="E21:F21"/>
    <mergeCell ref="H21:I2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P72"/>
  <sheetViews>
    <sheetView topLeftCell="F1" zoomScale="75" zoomScaleNormal="75" workbookViewId="0">
      <selection activeCell="T2" sqref="T2"/>
    </sheetView>
  </sheetViews>
  <sheetFormatPr defaultRowHeight="15" x14ac:dyDescent="0.25"/>
  <cols>
    <col min="9" max="10" width="9.140625" style="104"/>
    <col min="15" max="15" width="9.140625" style="23"/>
  </cols>
  <sheetData>
    <row r="3" spans="1:16" ht="18.75" x14ac:dyDescent="0.25">
      <c r="J3" s="151">
        <f>CORREL(I9:I39,H9:H39)</f>
        <v>0.83952940299276591</v>
      </c>
      <c r="M3" s="168" t="s">
        <v>506</v>
      </c>
      <c r="N3" s="169" t="s">
        <v>505</v>
      </c>
      <c r="O3" s="170" t="s">
        <v>507</v>
      </c>
    </row>
    <row r="4" spans="1:16" x14ac:dyDescent="0.25">
      <c r="A4" s="61"/>
      <c r="B4" s="61"/>
      <c r="C4" s="61"/>
      <c r="D4" s="61" t="s">
        <v>473</v>
      </c>
      <c r="E4" s="61"/>
      <c r="F4" s="141"/>
      <c r="G4" s="61"/>
      <c r="H4" s="61"/>
      <c r="I4" s="162" t="s">
        <v>512</v>
      </c>
      <c r="J4" s="162"/>
      <c r="M4" s="171">
        <v>2.23</v>
      </c>
      <c r="N4" s="171">
        <v>1000</v>
      </c>
      <c r="O4" s="172">
        <v>0.78538681855383652</v>
      </c>
    </row>
    <row r="5" spans="1:16" ht="15.75" x14ac:dyDescent="0.25">
      <c r="A5" s="142" t="s">
        <v>472</v>
      </c>
      <c r="B5" s="153">
        <f>CORREL(B9:B39,H9:H39)</f>
        <v>-0.60526138310271871</v>
      </c>
      <c r="C5" s="153">
        <f>CORREL(C9:C39,H9:H39)</f>
        <v>0.45893696518097032</v>
      </c>
      <c r="D5" s="153">
        <f>CORREL(D9:D39,H9:H39)</f>
        <v>-5.7708101049054057E-2</v>
      </c>
      <c r="E5" s="153">
        <f>CORREL(E9:E39,H9:H39)</f>
        <v>-0.58347913895675929</v>
      </c>
      <c r="F5" s="153">
        <f>CORREL(F9:F39,H9:H39)</f>
        <v>0.55795806824339855</v>
      </c>
      <c r="G5" s="153">
        <f>CORREL(G9:G39,H9:H39)</f>
        <v>0.7884983383524522</v>
      </c>
      <c r="H5" s="61"/>
      <c r="I5" s="162" t="s">
        <v>504</v>
      </c>
      <c r="J5" s="162">
        <v>26.200030613435654</v>
      </c>
      <c r="M5" s="172">
        <v>1.3886348892270598E-4</v>
      </c>
      <c r="N5" s="172">
        <v>0</v>
      </c>
      <c r="O5" s="172">
        <v>1.5249554027611674</v>
      </c>
    </row>
    <row r="6" spans="1:16" ht="18.75" x14ac:dyDescent="0.3">
      <c r="A6" s="142" t="s">
        <v>471</v>
      </c>
      <c r="B6" s="153">
        <f>CORREL(B9:B39,G9:G39)</f>
        <v>-0.45333585817817185</v>
      </c>
      <c r="C6" s="153">
        <f>CORREL(C9:C39,G9:G39)</f>
        <v>0.35853294151817156</v>
      </c>
      <c r="D6" s="153">
        <f>CORREL(D9:D39,G9:G39)</f>
        <v>-0.25635981025035959</v>
      </c>
      <c r="E6" s="153">
        <f>CORREL(E9:E39,G9:G39)</f>
        <v>-0.84224985666969654</v>
      </c>
      <c r="F6" s="153">
        <f>CORREL(F9:F39,G9:G39)</f>
        <v>0.90196746026790653</v>
      </c>
      <c r="G6" s="153"/>
      <c r="H6" s="153">
        <f>CORREL(H9:H39,G9:G39)</f>
        <v>0.7884983383524522</v>
      </c>
      <c r="I6" s="162" t="s">
        <v>511</v>
      </c>
      <c r="J6" s="163">
        <v>2.5</v>
      </c>
      <c r="M6" s="169" t="s">
        <v>508</v>
      </c>
      <c r="N6" s="169" t="s">
        <v>509</v>
      </c>
      <c r="O6" s="169" t="s">
        <v>510</v>
      </c>
    </row>
    <row r="7" spans="1:16" ht="18.75" x14ac:dyDescent="0.25">
      <c r="A7" s="143"/>
      <c r="B7" s="143"/>
      <c r="C7" s="143"/>
      <c r="D7" s="143" t="s">
        <v>413</v>
      </c>
      <c r="E7" s="143" t="s">
        <v>433</v>
      </c>
      <c r="F7" s="143" t="s">
        <v>434</v>
      </c>
      <c r="G7" s="142" t="s">
        <v>471</v>
      </c>
      <c r="H7" s="142" t="s">
        <v>472</v>
      </c>
      <c r="I7" s="103"/>
      <c r="J7" s="161">
        <f>SUM(J9:J39)</f>
        <v>26066.37272661028</v>
      </c>
      <c r="N7" s="161">
        <f>SUM(N9:N39)</f>
        <v>27052.929210103521</v>
      </c>
      <c r="O7" s="142" t="s">
        <v>471</v>
      </c>
      <c r="P7" s="142" t="s">
        <v>472</v>
      </c>
    </row>
    <row r="8" spans="1:16" ht="18.75" x14ac:dyDescent="0.25">
      <c r="A8" s="59" t="s">
        <v>470</v>
      </c>
      <c r="B8" s="59" t="s">
        <v>424</v>
      </c>
      <c r="C8" s="59" t="s">
        <v>426</v>
      </c>
      <c r="D8" s="59" t="s">
        <v>427</v>
      </c>
      <c r="E8" s="59" t="s">
        <v>427</v>
      </c>
      <c r="F8" s="59" t="s">
        <v>427</v>
      </c>
      <c r="G8" s="59" t="s">
        <v>428</v>
      </c>
      <c r="H8" s="59" t="s">
        <v>429</v>
      </c>
      <c r="I8" s="142" t="s">
        <v>446</v>
      </c>
      <c r="J8" s="71" t="s">
        <v>503</v>
      </c>
      <c r="M8" s="142" t="s">
        <v>446</v>
      </c>
      <c r="N8" s="71" t="s">
        <v>503</v>
      </c>
      <c r="O8" s="59" t="s">
        <v>428</v>
      </c>
      <c r="P8" s="59" t="s">
        <v>429</v>
      </c>
    </row>
    <row r="9" spans="1:16" ht="15.75" x14ac:dyDescent="0.25">
      <c r="A9" s="89" t="s">
        <v>462</v>
      </c>
      <c r="B9" s="96">
        <v>18.8</v>
      </c>
      <c r="C9" s="96">
        <v>525</v>
      </c>
      <c r="D9" s="100">
        <v>0.22</v>
      </c>
      <c r="E9" s="100">
        <v>0.43799999999999994</v>
      </c>
      <c r="F9" s="100">
        <v>0.34200000000000003</v>
      </c>
      <c r="G9" s="100">
        <v>0.312</v>
      </c>
      <c r="H9" s="97">
        <v>1.08</v>
      </c>
      <c r="I9" s="164">
        <f>$J$5*(G9)^$J$6</f>
        <v>1.4245847265525953</v>
      </c>
      <c r="J9" s="160">
        <f>10000*(H9-I9)^2</f>
        <v>1187.386337733268</v>
      </c>
      <c r="K9" s="23">
        <f>$J$5*(O9)^$J$6</f>
        <v>0.19214181463379129</v>
      </c>
      <c r="M9" s="68">
        <f>$N$4*($M$5*($O$4*G9/$M$4)^(3/2)+$N$5*(1-$O$4)*(G9/$M$4)+$O$5*((1-$O$4)*G9/$M$4)^2)</f>
        <v>1.379952656808946</v>
      </c>
      <c r="N9" s="187">
        <f t="shared" ref="N9:N39" si="0">10000*(H9-M9)^2</f>
        <v>899.71596326745271</v>
      </c>
      <c r="O9">
        <v>0.14000000000000001</v>
      </c>
      <c r="P9" s="68">
        <f>$N$4*($M$5*($O$4*O9/$M$4)^(3/2)+$N$5*(1-$O$4)*(O9/$M$4)+$O$5*((1-$O$4)*O9/$M$4)^2)</f>
        <v>0.27835235557117</v>
      </c>
    </row>
    <row r="10" spans="1:16" ht="15.75" x14ac:dyDescent="0.25">
      <c r="A10" s="89" t="s">
        <v>462</v>
      </c>
      <c r="B10" s="96">
        <v>7.7</v>
      </c>
      <c r="C10" s="96">
        <v>500</v>
      </c>
      <c r="D10" s="100">
        <v>0.222</v>
      </c>
      <c r="E10" s="100">
        <v>0.44400000000000001</v>
      </c>
      <c r="F10" s="100">
        <v>0.33399999999999996</v>
      </c>
      <c r="G10" s="100">
        <v>0.32400000000000001</v>
      </c>
      <c r="H10" s="97">
        <v>1.28</v>
      </c>
      <c r="I10" s="164">
        <f t="shared" ref="I10:I39" si="1">$J$5*(G10)^$J$6</f>
        <v>1.5655405617839497</v>
      </c>
      <c r="J10" s="160">
        <f t="shared" ref="J10:J39" si="2">10000*(H10-I10)^2</f>
        <v>815.33412423893606</v>
      </c>
      <c r="K10" s="23">
        <f t="shared" ref="K10:K28" si="3">$J$5*(O10)^$J$6</f>
        <v>0.22831263503091195</v>
      </c>
      <c r="M10" s="68">
        <f t="shared" ref="M10:M39" si="4">$N$4*($M$5*($O$4*G10/$M$4)^(3/2)+$N$5*(1-$O$4)*(G10/$M$4)+$O$5*((1-$O$4)*G10/$M$4)^2)</f>
        <v>1.4880422457219862</v>
      </c>
      <c r="N10" s="187">
        <f t="shared" si="0"/>
        <v>432.81576005047265</v>
      </c>
      <c r="O10">
        <f>O9+0.01</f>
        <v>0.15000000000000002</v>
      </c>
      <c r="P10" s="68">
        <f t="shared" ref="P10:P28" si="5">$N$4*($M$5*($O$4*O10/$M$4)^(3/2)+$N$5*(1-$O$4)*(O10/$M$4)+$O$5*((1-$O$4)*O10/$M$4)^2)</f>
        <v>0.31947796223700581</v>
      </c>
    </row>
    <row r="11" spans="1:16" ht="15.75" x14ac:dyDescent="0.25">
      <c r="A11" s="89" t="s">
        <v>462</v>
      </c>
      <c r="B11" s="96">
        <v>8.3000000000000007</v>
      </c>
      <c r="C11" s="96">
        <v>550</v>
      </c>
      <c r="D11" s="100">
        <v>0.222</v>
      </c>
      <c r="E11" s="100">
        <v>0.44400000000000001</v>
      </c>
      <c r="F11" s="100">
        <v>0.33399999999999996</v>
      </c>
      <c r="G11" s="183">
        <v>0.314</v>
      </c>
      <c r="H11" s="184">
        <v>1.84</v>
      </c>
      <c r="I11" s="164">
        <f t="shared" si="1"/>
        <v>1.447524486216097</v>
      </c>
      <c r="J11" s="175">
        <f t="shared" si="2"/>
        <v>1540.3702891993873</v>
      </c>
      <c r="K11" s="23">
        <f t="shared" si="3"/>
        <v>0.26828831348158128</v>
      </c>
      <c r="L11" s="177"/>
      <c r="M11" s="178">
        <f t="shared" si="4"/>
        <v>1.3976847198362943</v>
      </c>
      <c r="N11" s="187">
        <f t="shared" si="0"/>
        <v>1956.4280706629754</v>
      </c>
      <c r="O11">
        <f t="shared" ref="O11:O28" si="6">O10+0.01</f>
        <v>0.16000000000000003</v>
      </c>
      <c r="P11" s="68">
        <f t="shared" si="5"/>
        <v>0.36343400714235352</v>
      </c>
    </row>
    <row r="12" spans="1:16" ht="15.75" x14ac:dyDescent="0.25">
      <c r="A12" s="89" t="s">
        <v>462</v>
      </c>
      <c r="B12" s="96">
        <v>26.3</v>
      </c>
      <c r="C12" s="96">
        <v>550</v>
      </c>
      <c r="D12" s="100">
        <v>0.222</v>
      </c>
      <c r="E12" s="100">
        <v>0.44400000000000001</v>
      </c>
      <c r="F12" s="100">
        <v>0.33399999999999996</v>
      </c>
      <c r="G12" s="100">
        <v>0.29699999999999999</v>
      </c>
      <c r="H12" s="97">
        <v>1.46</v>
      </c>
      <c r="I12" s="164">
        <f t="shared" si="1"/>
        <v>1.259484775204367</v>
      </c>
      <c r="J12" s="160">
        <f t="shared" si="2"/>
        <v>402.0635537484323</v>
      </c>
      <c r="K12" s="23">
        <f t="shared" si="3"/>
        <v>0.3121936765433373</v>
      </c>
      <c r="M12" s="68">
        <f t="shared" si="4"/>
        <v>1.2505688287226946</v>
      </c>
      <c r="N12" s="187">
        <f t="shared" si="0"/>
        <v>438.61415502584015</v>
      </c>
      <c r="O12">
        <f t="shared" si="6"/>
        <v>0.17000000000000004</v>
      </c>
      <c r="P12" s="68">
        <f t="shared" si="5"/>
        <v>0.41022031158108258</v>
      </c>
    </row>
    <row r="13" spans="1:16" ht="15.75" x14ac:dyDescent="0.25">
      <c r="A13" s="89" t="s">
        <v>462</v>
      </c>
      <c r="B13" s="96">
        <v>28.5</v>
      </c>
      <c r="C13" s="96">
        <v>500</v>
      </c>
      <c r="D13" s="100">
        <v>0.222</v>
      </c>
      <c r="E13" s="100">
        <v>0.44400000000000001</v>
      </c>
      <c r="F13" s="100">
        <v>0.33399999999999996</v>
      </c>
      <c r="G13" s="100">
        <v>0.27600000000000002</v>
      </c>
      <c r="H13" s="97">
        <v>1.1000000000000001</v>
      </c>
      <c r="I13" s="164">
        <f t="shared" si="1"/>
        <v>1.0485146525709348</v>
      </c>
      <c r="J13" s="160">
        <f t="shared" si="2"/>
        <v>26.507409998915605</v>
      </c>
      <c r="K13" s="23">
        <f t="shared" si="3"/>
        <v>0.360149703465239</v>
      </c>
      <c r="M13" s="68">
        <f t="shared" si="4"/>
        <v>1.0801244277729458</v>
      </c>
      <c r="N13" s="187">
        <f t="shared" si="0"/>
        <v>3.9503837135285114</v>
      </c>
      <c r="O13">
        <f t="shared" si="6"/>
        <v>0.18000000000000005</v>
      </c>
      <c r="P13" s="68">
        <f t="shared" si="5"/>
        <v>0.45983671288186934</v>
      </c>
    </row>
    <row r="14" spans="1:16" ht="15.75" x14ac:dyDescent="0.25">
      <c r="A14" s="108" t="s">
        <v>462</v>
      </c>
      <c r="B14" s="109">
        <v>5.9</v>
      </c>
      <c r="C14" s="109">
        <v>525</v>
      </c>
      <c r="D14" s="110">
        <v>0.23</v>
      </c>
      <c r="E14" s="110">
        <v>0.45799999999999996</v>
      </c>
      <c r="F14" s="110">
        <v>0.312</v>
      </c>
      <c r="G14" s="179">
        <v>0.32600000000000001</v>
      </c>
      <c r="H14" s="180">
        <v>2.09</v>
      </c>
      <c r="I14" s="164">
        <f t="shared" si="1"/>
        <v>1.5898121032295001</v>
      </c>
      <c r="J14" s="175">
        <f t="shared" si="2"/>
        <v>2501.8793207569615</v>
      </c>
      <c r="K14" s="23">
        <f t="shared" si="3"/>
        <v>0.41227386159951313</v>
      </c>
      <c r="L14" s="177"/>
      <c r="M14" s="178">
        <f t="shared" si="4"/>
        <v>1.50645318966555</v>
      </c>
      <c r="N14" s="187">
        <f t="shared" si="0"/>
        <v>3405.2687985151042</v>
      </c>
      <c r="O14">
        <f t="shared" si="6"/>
        <v>0.19000000000000006</v>
      </c>
      <c r="P14" s="68">
        <f t="shared" si="5"/>
        <v>0.51228306214410679</v>
      </c>
    </row>
    <row r="15" spans="1:16" ht="15.75" x14ac:dyDescent="0.25">
      <c r="A15" s="108" t="s">
        <v>462</v>
      </c>
      <c r="B15" s="109">
        <v>5.9</v>
      </c>
      <c r="C15" s="109">
        <v>525</v>
      </c>
      <c r="D15" s="110">
        <v>0.23</v>
      </c>
      <c r="E15" s="110">
        <v>0.45799999999999996</v>
      </c>
      <c r="F15" s="110">
        <v>0.312</v>
      </c>
      <c r="G15" s="110">
        <v>0.32600000000000001</v>
      </c>
      <c r="H15" s="111">
        <v>2.09</v>
      </c>
      <c r="I15" s="164">
        <f t="shared" si="1"/>
        <v>1.5898121032295001</v>
      </c>
      <c r="J15" s="160">
        <f t="shared" si="2"/>
        <v>2501.8793207569615</v>
      </c>
      <c r="K15" s="23">
        <f t="shared" si="3"/>
        <v>0.46868039571374159</v>
      </c>
      <c r="M15" s="68">
        <f t="shared" si="4"/>
        <v>1.50645318966555</v>
      </c>
      <c r="N15" s="187">
        <f t="shared" si="0"/>
        <v>3405.2687985151042</v>
      </c>
      <c r="O15">
        <f t="shared" si="6"/>
        <v>0.20000000000000007</v>
      </c>
      <c r="P15" s="68">
        <f t="shared" si="5"/>
        <v>0.5675592223976994</v>
      </c>
    </row>
    <row r="16" spans="1:16" ht="15.75" x14ac:dyDescent="0.25">
      <c r="A16" s="108" t="s">
        <v>462</v>
      </c>
      <c r="B16" s="109">
        <v>18.8</v>
      </c>
      <c r="C16" s="109">
        <v>525</v>
      </c>
      <c r="D16" s="110">
        <v>0.23</v>
      </c>
      <c r="E16" s="110">
        <v>0.45799999999999996</v>
      </c>
      <c r="F16" s="110">
        <v>0.312</v>
      </c>
      <c r="G16" s="110">
        <v>0.313</v>
      </c>
      <c r="H16" s="111">
        <v>1.56</v>
      </c>
      <c r="I16" s="164">
        <f t="shared" si="1"/>
        <v>1.4360271226876415</v>
      </c>
      <c r="J16" s="160">
        <f t="shared" si="2"/>
        <v>153.69274309105094</v>
      </c>
      <c r="K16" s="23">
        <f t="shared" si="3"/>
        <v>0.52948057961837092</v>
      </c>
      <c r="M16" s="68">
        <f t="shared" si="4"/>
        <v>1.3888045447872381</v>
      </c>
      <c r="N16" s="187">
        <f t="shared" si="0"/>
        <v>293.07883885504771</v>
      </c>
      <c r="O16">
        <f t="shared" si="6"/>
        <v>0.21000000000000008</v>
      </c>
      <c r="P16" s="68">
        <f t="shared" si="5"/>
        <v>0.6256650670898386</v>
      </c>
    </row>
    <row r="17" spans="1:16" ht="15.75" x14ac:dyDescent="0.25">
      <c r="A17" s="108" t="s">
        <v>462</v>
      </c>
      <c r="B17" s="109">
        <v>18.8</v>
      </c>
      <c r="C17" s="109">
        <v>525</v>
      </c>
      <c r="D17" s="110">
        <v>0.23</v>
      </c>
      <c r="E17" s="110">
        <v>0.45799999999999996</v>
      </c>
      <c r="F17" s="110">
        <v>0.312</v>
      </c>
      <c r="G17" s="179">
        <v>0.3</v>
      </c>
      <c r="H17" s="180">
        <v>1.33</v>
      </c>
      <c r="I17" s="164">
        <f t="shared" si="1"/>
        <v>1.2915312996874158</v>
      </c>
      <c r="J17" s="175">
        <f t="shared" si="2"/>
        <v>14.798409037394245</v>
      </c>
      <c r="K17" s="23">
        <f t="shared" si="3"/>
        <v>0.59478293664603687</v>
      </c>
      <c r="L17" s="177"/>
      <c r="M17" s="178">
        <f t="shared" si="4"/>
        <v>1.2759364155730557</v>
      </c>
      <c r="N17" s="187">
        <f t="shared" si="0"/>
        <v>29.228711610893416</v>
      </c>
      <c r="O17">
        <f t="shared" si="6"/>
        <v>0.22000000000000008</v>
      </c>
      <c r="P17" s="68">
        <f t="shared" si="5"/>
        <v>0.6866004788276342</v>
      </c>
    </row>
    <row r="18" spans="1:16" ht="15.75" x14ac:dyDescent="0.25">
      <c r="A18" s="113" t="s">
        <v>462</v>
      </c>
      <c r="B18" s="109">
        <v>19.399999999999999</v>
      </c>
      <c r="C18" s="109">
        <v>480</v>
      </c>
      <c r="D18" s="110">
        <v>0.23</v>
      </c>
      <c r="E18" s="110">
        <v>0.45799999999999996</v>
      </c>
      <c r="F18" s="110">
        <v>0.312</v>
      </c>
      <c r="G18" s="110">
        <v>0.27600000000000002</v>
      </c>
      <c r="H18" s="111">
        <v>0.41</v>
      </c>
      <c r="I18" s="164">
        <f t="shared" si="1"/>
        <v>1.0485146525709348</v>
      </c>
      <c r="J18" s="160">
        <f t="shared" si="2"/>
        <v>4077.0096154778166</v>
      </c>
      <c r="K18" s="23">
        <f t="shared" si="3"/>
        <v>0.66469343412939086</v>
      </c>
      <c r="M18" s="68">
        <f t="shared" si="4"/>
        <v>1.0801244277729458</v>
      </c>
      <c r="N18" s="187">
        <f t="shared" si="0"/>
        <v>4490.6674869801818</v>
      </c>
      <c r="O18">
        <f t="shared" si="6"/>
        <v>0.23000000000000009</v>
      </c>
      <c r="P18" s="68">
        <f t="shared" si="5"/>
        <v>0.75036534832351787</v>
      </c>
    </row>
    <row r="19" spans="1:16" ht="15.75" x14ac:dyDescent="0.25">
      <c r="A19" s="108" t="s">
        <v>462</v>
      </c>
      <c r="B19" s="109">
        <v>20.399999999999999</v>
      </c>
      <c r="C19" s="109">
        <v>520</v>
      </c>
      <c r="D19" s="110">
        <v>0.23</v>
      </c>
      <c r="E19" s="110">
        <v>0.45799999999999996</v>
      </c>
      <c r="F19" s="110">
        <v>0.312</v>
      </c>
      <c r="G19" s="110">
        <v>0.26300000000000001</v>
      </c>
      <c r="H19" s="111">
        <v>0.62</v>
      </c>
      <c r="I19" s="164">
        <f t="shared" si="1"/>
        <v>0.92937539403175351</v>
      </c>
      <c r="J19" s="160">
        <f t="shared" si="2"/>
        <v>957.13134432302752</v>
      </c>
      <c r="K19" s="23">
        <f t="shared" si="3"/>
        <v>0.73931565597944771</v>
      </c>
      <c r="M19" s="68">
        <f t="shared" si="4"/>
        <v>0.98086318629774027</v>
      </c>
      <c r="N19" s="187">
        <f t="shared" si="0"/>
        <v>1302.2223922495759</v>
      </c>
      <c r="O19">
        <f t="shared" si="6"/>
        <v>0.2400000000000001</v>
      </c>
      <c r="P19" s="68">
        <f t="shared" si="5"/>
        <v>0.81695957350321646</v>
      </c>
    </row>
    <row r="20" spans="1:16" ht="15.75" x14ac:dyDescent="0.25">
      <c r="A20" s="108" t="s">
        <v>469</v>
      </c>
      <c r="B20" s="114">
        <v>27.2</v>
      </c>
      <c r="C20" s="114">
        <v>550</v>
      </c>
      <c r="D20" s="115">
        <v>0.23</v>
      </c>
      <c r="E20" s="115">
        <v>0.45799999999999996</v>
      </c>
      <c r="F20" s="115">
        <v>0.312</v>
      </c>
      <c r="G20" s="115">
        <v>0.26800000000000002</v>
      </c>
      <c r="H20" s="112">
        <v>0.98199999999999998</v>
      </c>
      <c r="I20" s="164">
        <f t="shared" si="1"/>
        <v>0.97417904581620152</v>
      </c>
      <c r="J20" s="160">
        <f t="shared" si="2"/>
        <v>0.61167324345074758</v>
      </c>
      <c r="K20" s="23">
        <f t="shared" si="3"/>
        <v>0.8187509566698653</v>
      </c>
      <c r="M20" s="68">
        <f t="shared" si="4"/>
        <v>1.0184747841861259</v>
      </c>
      <c r="N20" s="187">
        <f t="shared" si="0"/>
        <v>13.304098814244623</v>
      </c>
      <c r="O20">
        <f t="shared" si="6"/>
        <v>0.25000000000000011</v>
      </c>
      <c r="P20" s="68">
        <f t="shared" si="5"/>
        <v>0.88638305874541579</v>
      </c>
    </row>
    <row r="21" spans="1:16" ht="15.75" x14ac:dyDescent="0.25">
      <c r="A21" s="108" t="s">
        <v>462</v>
      </c>
      <c r="B21" s="109">
        <v>27.5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0.188</v>
      </c>
      <c r="H21" s="111">
        <v>0.28000000000000003</v>
      </c>
      <c r="I21" s="164">
        <f t="shared" si="1"/>
        <v>0.40151005145065005</v>
      </c>
      <c r="J21" s="160">
        <f t="shared" si="2"/>
        <v>147.64692603539618</v>
      </c>
      <c r="K21" s="23">
        <f t="shared" si="3"/>
        <v>0.90309859931734582</v>
      </c>
      <c r="M21" s="68">
        <f t="shared" si="4"/>
        <v>0.50156740318806525</v>
      </c>
      <c r="N21" s="187">
        <f t="shared" si="0"/>
        <v>490.92114155502657</v>
      </c>
      <c r="O21">
        <f t="shared" si="6"/>
        <v>0.26000000000000012</v>
      </c>
      <c r="P21" s="68">
        <f t="shared" si="5"/>
        <v>0.95863571422912719</v>
      </c>
    </row>
    <row r="22" spans="1:16" ht="15.75" x14ac:dyDescent="0.25">
      <c r="A22" s="108" t="s">
        <v>468</v>
      </c>
      <c r="B22" s="116">
        <v>28.4</v>
      </c>
      <c r="C22" s="114">
        <v>550</v>
      </c>
      <c r="D22" s="115">
        <v>0.23</v>
      </c>
      <c r="E22" s="115">
        <v>0.45799999999999996</v>
      </c>
      <c r="F22" s="115">
        <v>0.312</v>
      </c>
      <c r="G22" s="115">
        <v>0.30299999999999999</v>
      </c>
      <c r="H22" s="112">
        <v>1.2</v>
      </c>
      <c r="I22" s="164">
        <f t="shared" si="1"/>
        <v>1.3240621473988265</v>
      </c>
      <c r="J22" s="160">
        <f t="shared" si="2"/>
        <v>153.91416417208177</v>
      </c>
      <c r="K22" s="23">
        <f t="shared" si="3"/>
        <v>0.99245588006757002</v>
      </c>
      <c r="M22" s="68">
        <f t="shared" si="4"/>
        <v>1.3015585935690115</v>
      </c>
      <c r="N22" s="187">
        <f t="shared" si="0"/>
        <v>103.14147927715671</v>
      </c>
      <c r="O22">
        <f t="shared" si="6"/>
        <v>0.27000000000000013</v>
      </c>
      <c r="P22" s="68">
        <f t="shared" si="5"/>
        <v>1.0337174553698947</v>
      </c>
    </row>
    <row r="23" spans="1:16" ht="15.75" x14ac:dyDescent="0.25">
      <c r="A23" s="108" t="s">
        <v>468</v>
      </c>
      <c r="B23" s="116">
        <v>28.4</v>
      </c>
      <c r="C23" s="114">
        <v>550</v>
      </c>
      <c r="D23" s="115">
        <v>0.23</v>
      </c>
      <c r="E23" s="115">
        <v>0.45799999999999996</v>
      </c>
      <c r="F23" s="115">
        <v>0.312</v>
      </c>
      <c r="G23" s="115">
        <v>0.26500000000000001</v>
      </c>
      <c r="H23" s="112">
        <v>0.93200000000000005</v>
      </c>
      <c r="I23" s="164">
        <f t="shared" si="1"/>
        <v>0.9471450276045289</v>
      </c>
      <c r="J23" s="160">
        <f t="shared" si="2"/>
        <v>2.2937186114194086</v>
      </c>
      <c r="K23" s="23">
        <f t="shared" si="3"/>
        <v>1.0869182406163409</v>
      </c>
      <c r="M23" s="68">
        <f t="shared" si="4"/>
        <v>0.99582295418819977</v>
      </c>
      <c r="N23" s="187">
        <f t="shared" si="0"/>
        <v>40.733694813090409</v>
      </c>
      <c r="O23">
        <f t="shared" si="6"/>
        <v>0.28000000000000014</v>
      </c>
      <c r="P23" s="68">
        <f t="shared" si="5"/>
        <v>1.1116282023298758</v>
      </c>
    </row>
    <row r="24" spans="1:16" ht="15.75" x14ac:dyDescent="0.25">
      <c r="A24" s="108" t="s">
        <v>469</v>
      </c>
      <c r="B24" s="114">
        <v>31.6</v>
      </c>
      <c r="C24" s="114">
        <v>450</v>
      </c>
      <c r="D24" s="115">
        <v>0.23</v>
      </c>
      <c r="E24" s="115">
        <v>0.45799999999999996</v>
      </c>
      <c r="F24" s="115">
        <v>0.312</v>
      </c>
      <c r="G24" s="115">
        <v>0.27600000000000002</v>
      </c>
      <c r="H24" s="112">
        <v>0.56200000000000006</v>
      </c>
      <c r="I24" s="164">
        <f t="shared" si="1"/>
        <v>1.0485146525709348</v>
      </c>
      <c r="J24" s="160">
        <f t="shared" si="2"/>
        <v>2366.9650716621736</v>
      </c>
      <c r="K24" s="23">
        <f t="shared" si="3"/>
        <v>1.1865793703927452</v>
      </c>
      <c r="M24" s="68">
        <f t="shared" si="4"/>
        <v>1.0801244277729458</v>
      </c>
      <c r="N24" s="187">
        <f t="shared" si="0"/>
        <v>2684.5292265504249</v>
      </c>
      <c r="O24">
        <f t="shared" si="6"/>
        <v>0.29000000000000015</v>
      </c>
      <c r="P24" s="68">
        <f t="shared" si="5"/>
        <v>1.1923678795897927</v>
      </c>
    </row>
    <row r="25" spans="1:16" ht="15.75" x14ac:dyDescent="0.25">
      <c r="A25" s="88" t="s">
        <v>462</v>
      </c>
      <c r="B25" s="117">
        <v>7.7</v>
      </c>
      <c r="C25" s="117">
        <v>500</v>
      </c>
      <c r="D25" s="118">
        <v>0.23800000000000002</v>
      </c>
      <c r="E25" s="118">
        <v>0.47600000000000003</v>
      </c>
      <c r="F25" s="118">
        <v>0.28600000000000003</v>
      </c>
      <c r="G25" s="118">
        <v>0.23</v>
      </c>
      <c r="H25" s="119">
        <v>0.64100000000000001</v>
      </c>
      <c r="I25" s="164">
        <f t="shared" si="1"/>
        <v>0.66469343412939008</v>
      </c>
      <c r="J25" s="160">
        <f t="shared" si="2"/>
        <v>5.6137882084374606</v>
      </c>
      <c r="K25" s="23">
        <f t="shared" si="3"/>
        <v>1.2915312996874175</v>
      </c>
      <c r="M25" s="68">
        <f t="shared" si="4"/>
        <v>0.75036534832351776</v>
      </c>
      <c r="N25" s="187">
        <f t="shared" si="0"/>
        <v>119.60779413924365</v>
      </c>
      <c r="O25">
        <f t="shared" si="6"/>
        <v>0.30000000000000016</v>
      </c>
      <c r="P25" s="68">
        <f t="shared" si="5"/>
        <v>1.2759364155730573</v>
      </c>
    </row>
    <row r="26" spans="1:16" ht="15.75" x14ac:dyDescent="0.25">
      <c r="A26" s="88" t="s">
        <v>462</v>
      </c>
      <c r="B26" s="117">
        <v>8.1999999999999993</v>
      </c>
      <c r="C26" s="117">
        <v>550</v>
      </c>
      <c r="D26" s="118">
        <v>0.23800000000000002</v>
      </c>
      <c r="E26" s="118">
        <v>0.47600000000000003</v>
      </c>
      <c r="F26" s="118">
        <v>0.28600000000000003</v>
      </c>
      <c r="G26" s="173">
        <v>0.26100000000000001</v>
      </c>
      <c r="H26" s="174">
        <v>1.19</v>
      </c>
      <c r="I26" s="164">
        <f t="shared" si="1"/>
        <v>0.91180730470734117</v>
      </c>
      <c r="J26" s="175">
        <f t="shared" si="2"/>
        <v>773.91175714194083</v>
      </c>
      <c r="K26" s="23">
        <f t="shared" si="3"/>
        <v>1.4018644848111563</v>
      </c>
      <c r="L26" s="177"/>
      <c r="M26" s="178">
        <f t="shared" si="4"/>
        <v>0.96601658084166164</v>
      </c>
      <c r="N26" s="187">
        <f t="shared" si="0"/>
        <v>501.6857205785987</v>
      </c>
      <c r="O26">
        <f t="shared" si="6"/>
        <v>0.31000000000000016</v>
      </c>
      <c r="P26" s="68">
        <f t="shared" si="5"/>
        <v>1.3623337423141684</v>
      </c>
    </row>
    <row r="27" spans="1:16" ht="15.75" x14ac:dyDescent="0.25">
      <c r="A27" s="88" t="s">
        <v>462</v>
      </c>
      <c r="B27" s="117">
        <v>26.3</v>
      </c>
      <c r="C27" s="117">
        <v>550</v>
      </c>
      <c r="D27" s="118">
        <v>0.23800000000000002</v>
      </c>
      <c r="E27" s="118">
        <v>0.47600000000000003</v>
      </c>
      <c r="F27" s="118">
        <v>0.28600000000000003</v>
      </c>
      <c r="G27" s="118">
        <v>0.3</v>
      </c>
      <c r="H27" s="119">
        <v>1.6</v>
      </c>
      <c r="I27" s="164">
        <f t="shared" si="1"/>
        <v>1.2915312996874158</v>
      </c>
      <c r="J27" s="160">
        <f t="shared" si="2"/>
        <v>951.52939072534969</v>
      </c>
      <c r="K27" s="23">
        <f t="shared" si="3"/>
        <v>1.5176678862074273</v>
      </c>
      <c r="M27" s="68">
        <f t="shared" si="4"/>
        <v>1.2759364155730557</v>
      </c>
      <c r="N27" s="187">
        <f t="shared" si="0"/>
        <v>1050.1720675163931</v>
      </c>
      <c r="O27">
        <f t="shared" si="6"/>
        <v>0.32000000000000017</v>
      </c>
      <c r="P27" s="68">
        <f t="shared" si="5"/>
        <v>1.451559795164888</v>
      </c>
    </row>
    <row r="28" spans="1:16" ht="15.75" x14ac:dyDescent="0.25">
      <c r="A28" s="88" t="s">
        <v>462</v>
      </c>
      <c r="B28" s="117">
        <v>28.5</v>
      </c>
      <c r="C28" s="117">
        <v>500</v>
      </c>
      <c r="D28" s="118">
        <v>0.23800000000000002</v>
      </c>
      <c r="E28" s="118">
        <v>0.47600000000000003</v>
      </c>
      <c r="F28" s="118">
        <v>0.28600000000000003</v>
      </c>
      <c r="G28" s="118">
        <v>0.22</v>
      </c>
      <c r="H28" s="119">
        <v>0.63200000000000001</v>
      </c>
      <c r="I28" s="164">
        <f t="shared" si="1"/>
        <v>0.5947829366460361</v>
      </c>
      <c r="J28" s="160">
        <f t="shared" si="2"/>
        <v>13.851098046929634</v>
      </c>
      <c r="K28" s="23">
        <f t="shared" si="3"/>
        <v>1.63902904030904</v>
      </c>
      <c r="M28" s="68">
        <f t="shared" si="4"/>
        <v>0.68660047882763375</v>
      </c>
      <c r="N28" s="187">
        <f t="shared" si="0"/>
        <v>29.81212288206881</v>
      </c>
      <c r="O28">
        <f t="shared" si="6"/>
        <v>0.33000000000000018</v>
      </c>
      <c r="P28" s="68">
        <f t="shared" si="5"/>
        <v>1.5436145125328464</v>
      </c>
    </row>
    <row r="29" spans="1:16" ht="15.75" x14ac:dyDescent="0.25">
      <c r="A29" s="88" t="s">
        <v>462</v>
      </c>
      <c r="B29" s="117">
        <v>18.8</v>
      </c>
      <c r="C29" s="117">
        <v>525</v>
      </c>
      <c r="D29" s="118">
        <v>0.24</v>
      </c>
      <c r="E29" s="118">
        <v>0.48399999999999999</v>
      </c>
      <c r="F29" s="118">
        <v>0.27600000000000002</v>
      </c>
      <c r="G29" s="173">
        <v>0.23100000000000001</v>
      </c>
      <c r="H29" s="174">
        <v>1.1000000000000001</v>
      </c>
      <c r="I29" s="164">
        <f t="shared" si="1"/>
        <v>0.67194193937398927</v>
      </c>
      <c r="J29" s="175">
        <f t="shared" si="2"/>
        <v>1832.3370326690156</v>
      </c>
      <c r="K29" s="176"/>
      <c r="L29" s="177"/>
      <c r="M29" s="178">
        <f t="shared" si="4"/>
        <v>0.75689745146173748</v>
      </c>
      <c r="N29" s="187">
        <f t="shared" si="0"/>
        <v>1177.1935881345084</v>
      </c>
      <c r="O29" s="177"/>
      <c r="P29" s="178"/>
    </row>
    <row r="30" spans="1:16" ht="15.75" x14ac:dyDescent="0.25">
      <c r="A30" s="87" t="s">
        <v>469</v>
      </c>
      <c r="B30" s="93">
        <v>27.8</v>
      </c>
      <c r="C30" s="93">
        <v>550</v>
      </c>
      <c r="D30" s="101">
        <v>0.16</v>
      </c>
      <c r="E30" s="101">
        <v>0.5</v>
      </c>
      <c r="F30" s="101">
        <v>0.34</v>
      </c>
      <c r="G30" s="101">
        <v>0.27400000000000002</v>
      </c>
      <c r="H30" s="98">
        <v>0.77100000000000002</v>
      </c>
      <c r="I30" s="164">
        <f t="shared" si="1"/>
        <v>1.0296229298933139</v>
      </c>
      <c r="J30" s="160">
        <f t="shared" si="2"/>
        <v>668.85819866601969</v>
      </c>
      <c r="K30" s="23"/>
      <c r="M30" s="68">
        <f t="shared" si="4"/>
        <v>1.0645422777771314</v>
      </c>
      <c r="N30" s="187">
        <f t="shared" si="0"/>
        <v>861.67068842586559</v>
      </c>
      <c r="O30"/>
      <c r="P30" s="68"/>
    </row>
    <row r="31" spans="1:16" ht="15.75" x14ac:dyDescent="0.25">
      <c r="A31" s="87" t="s">
        <v>468</v>
      </c>
      <c r="B31" s="125">
        <v>28.7</v>
      </c>
      <c r="C31" s="93">
        <v>450</v>
      </c>
      <c r="D31" s="101">
        <v>0.16</v>
      </c>
      <c r="E31" s="101">
        <v>0.5</v>
      </c>
      <c r="F31" s="101">
        <v>0.34</v>
      </c>
      <c r="G31" s="101">
        <v>0.255</v>
      </c>
      <c r="H31" s="98">
        <v>0.72399999999999998</v>
      </c>
      <c r="I31" s="164">
        <f t="shared" si="1"/>
        <v>0.860304609511508</v>
      </c>
      <c r="J31" s="160">
        <f t="shared" si="2"/>
        <v>185.78946574084685</v>
      </c>
      <c r="K31" s="23"/>
      <c r="M31" s="68">
        <f t="shared" si="4"/>
        <v>0.92215574561027158</v>
      </c>
      <c r="N31" s="187">
        <f t="shared" si="0"/>
        <v>392.65699518362675</v>
      </c>
      <c r="O31"/>
      <c r="P31" s="68"/>
    </row>
    <row r="32" spans="1:16" ht="15.75" x14ac:dyDescent="0.25">
      <c r="A32" s="87" t="s">
        <v>468</v>
      </c>
      <c r="B32" s="126">
        <v>29.3</v>
      </c>
      <c r="C32" s="93">
        <v>450</v>
      </c>
      <c r="D32" s="101">
        <v>0.16</v>
      </c>
      <c r="E32" s="101">
        <v>0.5</v>
      </c>
      <c r="F32" s="101">
        <v>0.34</v>
      </c>
      <c r="G32" s="101">
        <v>0.314</v>
      </c>
      <c r="H32" s="98">
        <v>0.94499999999999995</v>
      </c>
      <c r="I32" s="164">
        <f t="shared" si="1"/>
        <v>1.447524486216097</v>
      </c>
      <c r="J32" s="160">
        <f t="shared" si="2"/>
        <v>2525.3085924675229</v>
      </c>
      <c r="K32" s="23"/>
      <c r="M32" s="68">
        <f t="shared" si="4"/>
        <v>1.3976847198362943</v>
      </c>
      <c r="N32" s="187">
        <f t="shared" si="0"/>
        <v>2049.2345557326425</v>
      </c>
      <c r="O32"/>
      <c r="P32" s="68"/>
    </row>
    <row r="33" spans="1:16" ht="15.75" x14ac:dyDescent="0.25">
      <c r="A33" s="87" t="s">
        <v>469</v>
      </c>
      <c r="B33" s="93">
        <v>29.6</v>
      </c>
      <c r="C33" s="93">
        <v>450</v>
      </c>
      <c r="D33" s="101">
        <v>0.16</v>
      </c>
      <c r="E33" s="101">
        <v>0.5</v>
      </c>
      <c r="F33" s="101">
        <v>0.34</v>
      </c>
      <c r="G33" s="101">
        <v>0.309</v>
      </c>
      <c r="H33" s="98">
        <v>1.31</v>
      </c>
      <c r="I33" s="164">
        <f t="shared" si="1"/>
        <v>1.3905864630259324</v>
      </c>
      <c r="J33" s="160">
        <f t="shared" si="2"/>
        <v>64.941780230299557</v>
      </c>
      <c r="K33" s="23"/>
      <c r="M33" s="68">
        <f t="shared" si="4"/>
        <v>1.3535667159231903</v>
      </c>
      <c r="N33" s="187">
        <f t="shared" si="0"/>
        <v>18.980587363319614</v>
      </c>
      <c r="O33"/>
      <c r="P33" s="68"/>
    </row>
    <row r="34" spans="1:16" ht="15.75" x14ac:dyDescent="0.25">
      <c r="A34" s="120" t="s">
        <v>468</v>
      </c>
      <c r="B34" s="124">
        <v>28.7</v>
      </c>
      <c r="C34" s="121">
        <v>450</v>
      </c>
      <c r="D34" s="122">
        <v>0.25800000000000001</v>
      </c>
      <c r="E34" s="122">
        <v>0.51600000000000001</v>
      </c>
      <c r="F34" s="122">
        <v>0.22600000000000001</v>
      </c>
      <c r="G34" s="181">
        <v>0.161</v>
      </c>
      <c r="H34" s="182">
        <v>0.45600000000000002</v>
      </c>
      <c r="I34" s="164">
        <f t="shared" si="1"/>
        <v>0.27249998885550347</v>
      </c>
      <c r="J34" s="175">
        <f t="shared" si="2"/>
        <v>336.72254090030356</v>
      </c>
      <c r="K34" s="176"/>
      <c r="L34" s="177"/>
      <c r="M34" s="178">
        <f t="shared" si="4"/>
        <v>0.36798527870874309</v>
      </c>
      <c r="N34" s="187">
        <f t="shared" si="0"/>
        <v>77.465911639776351</v>
      </c>
      <c r="O34"/>
      <c r="P34" s="68"/>
    </row>
    <row r="35" spans="1:16" ht="15.75" x14ac:dyDescent="0.25">
      <c r="A35" s="120" t="s">
        <v>468</v>
      </c>
      <c r="B35" s="124">
        <v>28.7</v>
      </c>
      <c r="C35" s="121">
        <v>450</v>
      </c>
      <c r="D35" s="122">
        <v>0.25800000000000001</v>
      </c>
      <c r="E35" s="122">
        <v>0.51600000000000001</v>
      </c>
      <c r="F35" s="122">
        <v>0.22600000000000001</v>
      </c>
      <c r="G35" s="181">
        <v>0.14000000000000001</v>
      </c>
      <c r="H35" s="182">
        <v>0.40100000000000002</v>
      </c>
      <c r="I35" s="164">
        <f t="shared" si="1"/>
        <v>0.19214181463379129</v>
      </c>
      <c r="J35" s="175">
        <f t="shared" si="2"/>
        <v>436.21741594465607</v>
      </c>
      <c r="K35" s="176"/>
      <c r="L35" s="177"/>
      <c r="M35" s="178">
        <f t="shared" si="4"/>
        <v>0.27835235557117</v>
      </c>
      <c r="N35" s="187">
        <f t="shared" si="0"/>
        <v>150.42444683940721</v>
      </c>
      <c r="O35"/>
      <c r="P35" s="68"/>
    </row>
    <row r="36" spans="1:16" ht="15.75" x14ac:dyDescent="0.25">
      <c r="A36" s="136" t="s">
        <v>468</v>
      </c>
      <c r="B36" s="137">
        <v>27.8</v>
      </c>
      <c r="C36" s="138">
        <v>550</v>
      </c>
      <c r="D36" s="139">
        <v>0.182</v>
      </c>
      <c r="E36" s="139">
        <v>0.56799999999999995</v>
      </c>
      <c r="F36" s="139">
        <v>0.25</v>
      </c>
      <c r="G36" s="185">
        <v>0.16900000000000001</v>
      </c>
      <c r="H36" s="186">
        <v>0.47799999999999998</v>
      </c>
      <c r="I36" s="164">
        <f t="shared" si="1"/>
        <v>0.30762282797255674</v>
      </c>
      <c r="J36" s="175">
        <f t="shared" si="2"/>
        <v>290.28380748068986</v>
      </c>
      <c r="K36" s="176"/>
      <c r="L36" s="177"/>
      <c r="M36" s="178">
        <f t="shared" si="4"/>
        <v>0.40541432420896673</v>
      </c>
      <c r="N36" s="187">
        <f t="shared" si="0"/>
        <v>52.686803300409913</v>
      </c>
      <c r="O36"/>
      <c r="P36" s="68"/>
    </row>
    <row r="37" spans="1:16" ht="15.75" x14ac:dyDescent="0.25">
      <c r="A37" s="136" t="s">
        <v>468</v>
      </c>
      <c r="B37" s="137">
        <v>28.4</v>
      </c>
      <c r="C37" s="138">
        <v>550</v>
      </c>
      <c r="D37" s="139">
        <v>0.182</v>
      </c>
      <c r="E37" s="139">
        <v>0.56799999999999995</v>
      </c>
      <c r="F37" s="139">
        <v>0.25</v>
      </c>
      <c r="G37" s="185">
        <v>0.14299999999999999</v>
      </c>
      <c r="H37" s="186">
        <v>0.51100000000000001</v>
      </c>
      <c r="I37" s="164">
        <f t="shared" si="1"/>
        <v>0.20260114359515388</v>
      </c>
      <c r="J37" s="175">
        <f t="shared" si="2"/>
        <v>951.09854631816881</v>
      </c>
      <c r="K37" s="176"/>
      <c r="L37" s="177"/>
      <c r="M37" s="178">
        <f t="shared" si="4"/>
        <v>0.29039283019920475</v>
      </c>
      <c r="N37" s="187">
        <f t="shared" si="0"/>
        <v>486.67523367516912</v>
      </c>
      <c r="O37"/>
      <c r="P37" s="68"/>
    </row>
    <row r="38" spans="1:16" ht="15.75" x14ac:dyDescent="0.25">
      <c r="A38" s="127" t="s">
        <v>469</v>
      </c>
      <c r="B38" s="128">
        <v>30.5</v>
      </c>
      <c r="C38" s="129">
        <v>450</v>
      </c>
      <c r="D38" s="130">
        <v>0.29399999999999998</v>
      </c>
      <c r="E38" s="130">
        <v>0.58799999999999997</v>
      </c>
      <c r="F38" s="130">
        <v>0.11800000000000001</v>
      </c>
      <c r="G38" s="130">
        <v>6.2E-2</v>
      </c>
      <c r="H38" s="131">
        <v>0.111</v>
      </c>
      <c r="I38" s="164">
        <f t="shared" si="1"/>
        <v>2.5077314266243694E-2</v>
      </c>
      <c r="J38" s="160">
        <f t="shared" si="2"/>
        <v>73.827079237018495</v>
      </c>
      <c r="K38" s="23"/>
      <c r="M38" s="68">
        <f t="shared" si="4"/>
        <v>5.4741035474751495E-2</v>
      </c>
      <c r="N38" s="187">
        <f t="shared" si="0"/>
        <v>31.650710894531699</v>
      </c>
      <c r="O38"/>
      <c r="P38" s="68"/>
    </row>
    <row r="39" spans="1:16" ht="15.75" x14ac:dyDescent="0.25">
      <c r="A39" s="132" t="s">
        <v>469</v>
      </c>
      <c r="B39" s="133">
        <v>30.6</v>
      </c>
      <c r="C39" s="133">
        <v>450</v>
      </c>
      <c r="D39" s="134">
        <v>0.21</v>
      </c>
      <c r="E39" s="134">
        <v>0.65799999999999992</v>
      </c>
      <c r="F39" s="134">
        <v>0.13200000000000001</v>
      </c>
      <c r="G39" s="134">
        <v>5.3999999999999999E-2</v>
      </c>
      <c r="H39" s="135">
        <v>0.121</v>
      </c>
      <c r="I39" s="164">
        <f t="shared" si="1"/>
        <v>1.7753590500003698E-2</v>
      </c>
      <c r="J39" s="160">
        <f t="shared" si="2"/>
        <v>106.59821074640926</v>
      </c>
      <c r="K39" s="23">
        <f>$J$5*(O39/$M$4)^3</f>
        <v>26.200030613435654</v>
      </c>
      <c r="M39" s="68">
        <f t="shared" si="4"/>
        <v>4.155002621659612E-2</v>
      </c>
      <c r="N39" s="187">
        <f t="shared" si="0"/>
        <v>63.122983341835635</v>
      </c>
      <c r="O39">
        <f>M4</f>
        <v>2.23</v>
      </c>
      <c r="P39" s="68">
        <f>$M$5*(O39/$M$4)^(3/2)+$N$5*(O39/$M$4)</f>
        <v>1.3886348892270598E-4</v>
      </c>
    </row>
    <row r="40" spans="1:16" x14ac:dyDescent="0.25">
      <c r="O40"/>
    </row>
    <row r="41" spans="1:16" x14ac:dyDescent="0.25">
      <c r="O41"/>
    </row>
    <row r="42" spans="1:16" x14ac:dyDescent="0.25">
      <c r="O42"/>
    </row>
    <row r="43" spans="1:16" x14ac:dyDescent="0.25">
      <c r="O43"/>
    </row>
    <row r="44" spans="1:16" x14ac:dyDescent="0.25">
      <c r="O44"/>
    </row>
    <row r="45" spans="1:16" x14ac:dyDescent="0.25">
      <c r="O45"/>
    </row>
    <row r="46" spans="1:16" x14ac:dyDescent="0.25">
      <c r="O46"/>
    </row>
    <row r="47" spans="1:16" x14ac:dyDescent="0.25">
      <c r="O47"/>
    </row>
    <row r="48" spans="1:16" x14ac:dyDescent="0.25">
      <c r="O48"/>
    </row>
    <row r="49" spans="15:15" x14ac:dyDescent="0.25">
      <c r="O49"/>
    </row>
    <row r="50" spans="15:15" x14ac:dyDescent="0.25">
      <c r="O50"/>
    </row>
    <row r="51" spans="15:15" x14ac:dyDescent="0.25">
      <c r="O51"/>
    </row>
    <row r="52" spans="15:15" x14ac:dyDescent="0.25">
      <c r="O52"/>
    </row>
    <row r="53" spans="15:15" x14ac:dyDescent="0.25">
      <c r="O53"/>
    </row>
    <row r="54" spans="15:15" x14ac:dyDescent="0.25">
      <c r="O54"/>
    </row>
    <row r="55" spans="15:15" x14ac:dyDescent="0.25">
      <c r="O55"/>
    </row>
    <row r="56" spans="15:15" x14ac:dyDescent="0.25">
      <c r="O56"/>
    </row>
    <row r="57" spans="15:15" x14ac:dyDescent="0.25">
      <c r="O57"/>
    </row>
    <row r="58" spans="15:15" x14ac:dyDescent="0.25">
      <c r="O58"/>
    </row>
    <row r="59" spans="15:15" x14ac:dyDescent="0.25">
      <c r="O59"/>
    </row>
    <row r="60" spans="15:15" x14ac:dyDescent="0.25">
      <c r="O60"/>
    </row>
    <row r="61" spans="15:15" x14ac:dyDescent="0.25">
      <c r="O61"/>
    </row>
    <row r="62" spans="15:15" x14ac:dyDescent="0.25">
      <c r="O62"/>
    </row>
    <row r="63" spans="15:15" x14ac:dyDescent="0.25">
      <c r="O63"/>
    </row>
    <row r="64" spans="15:15" x14ac:dyDescent="0.25">
      <c r="O64"/>
    </row>
    <row r="65" spans="2:15" x14ac:dyDescent="0.25">
      <c r="O65"/>
    </row>
    <row r="66" spans="2:15" x14ac:dyDescent="0.25">
      <c r="O66"/>
    </row>
    <row r="67" spans="2:15" x14ac:dyDescent="0.25">
      <c r="B67" s="61"/>
      <c r="C67" s="61" t="s">
        <v>441</v>
      </c>
      <c r="D67" s="61"/>
      <c r="E67" s="61"/>
      <c r="F67" s="61"/>
      <c r="G67" s="61"/>
      <c r="H67" s="61"/>
      <c r="I67" s="162"/>
      <c r="J67" s="162"/>
      <c r="K67" s="61"/>
    </row>
    <row r="68" spans="2:15" x14ac:dyDescent="0.25">
      <c r="C68" t="s">
        <v>435</v>
      </c>
      <c r="D68" s="64">
        <f>AVERAGE(D10:D25)</f>
        <v>0.22850000000000001</v>
      </c>
      <c r="E68" s="64">
        <f>AVERAGE(E10:E25)</f>
        <v>0.45562500000000011</v>
      </c>
      <c r="F68" s="64">
        <f>AVERAGE(F10:F25)</f>
        <v>0.31587500000000002</v>
      </c>
      <c r="G68" s="64">
        <f>AVERAGE(G10:G25)</f>
        <v>0.2840625</v>
      </c>
      <c r="H68" s="64">
        <f>AVERAGE(H10:H25)</f>
        <v>1.1485624999999997</v>
      </c>
      <c r="I68" s="165"/>
      <c r="J68" s="165"/>
    </row>
    <row r="69" spans="2:15" x14ac:dyDescent="0.25">
      <c r="C69" t="s">
        <v>436</v>
      </c>
      <c r="D69" s="41">
        <f>_xlfn.STDEV.P(D10:D25)</f>
        <v>4.2130748865881829E-3</v>
      </c>
      <c r="E69" s="41">
        <f>_xlfn.STDEV.P(E10:E25)</f>
        <v>7.97554857047463E-3</v>
      </c>
      <c r="F69" s="41">
        <f>_xlfn.STDEV.P(F10:F25)</f>
        <v>1.2175154003132753E-2</v>
      </c>
      <c r="G69" s="41">
        <f>_xlfn.STDEV.P(G10:G25)</f>
        <v>3.6260289487950785E-2</v>
      </c>
      <c r="H69" s="41">
        <f>_xlfn.STDEV.P(H10:H25)</f>
        <v>0.54930296384941357</v>
      </c>
      <c r="I69" s="166"/>
      <c r="J69" s="166"/>
      <c r="N69">
        <v>0.45946666666666669</v>
      </c>
    </row>
    <row r="70" spans="2:15" x14ac:dyDescent="0.25">
      <c r="C70" t="s">
        <v>437</v>
      </c>
      <c r="D70">
        <f>MIN(D10:D25)</f>
        <v>0.222</v>
      </c>
      <c r="E70">
        <f>MIN(E10:E25)</f>
        <v>0.44400000000000001</v>
      </c>
      <c r="F70">
        <f>MIN(F10:F25)</f>
        <v>0.28600000000000003</v>
      </c>
      <c r="G70">
        <f>MIN(G10:G25)</f>
        <v>0.188</v>
      </c>
      <c r="H70">
        <f>MIN(H10:H25)</f>
        <v>0.28000000000000003</v>
      </c>
      <c r="N70">
        <v>0.23</v>
      </c>
    </row>
    <row r="71" spans="2:15" x14ac:dyDescent="0.25">
      <c r="C71" t="s">
        <v>438</v>
      </c>
      <c r="D71">
        <f>MAX(D10:D25)</f>
        <v>0.23800000000000002</v>
      </c>
      <c r="E71">
        <f>MAX(E10:E25)</f>
        <v>0.47600000000000003</v>
      </c>
      <c r="F71">
        <f>MAX(F10:F25)</f>
        <v>0.33399999999999996</v>
      </c>
      <c r="G71">
        <f>MAX(G10:G25)</f>
        <v>0.32600000000000001</v>
      </c>
      <c r="H71">
        <f>MAX(H10:H25)</f>
        <v>2.09</v>
      </c>
      <c r="N71">
        <v>0.31053333333333327</v>
      </c>
    </row>
    <row r="72" spans="2:15" x14ac:dyDescent="0.25">
      <c r="C72" t="s">
        <v>439</v>
      </c>
      <c r="D72">
        <f>D71-D70</f>
        <v>1.6000000000000014E-2</v>
      </c>
      <c r="E72">
        <f t="shared" ref="E72:H72" si="7">E71-E70</f>
        <v>3.2000000000000028E-2</v>
      </c>
      <c r="F72">
        <f t="shared" si="7"/>
        <v>4.7999999999999932E-2</v>
      </c>
      <c r="G72">
        <f t="shared" si="7"/>
        <v>0.13800000000000001</v>
      </c>
      <c r="H72">
        <f t="shared" si="7"/>
        <v>1.8099999999999998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3073" r:id="rId3">
          <objectPr defaultSize="0" autoPict="0" r:id="rId4">
            <anchor moveWithCells="1" sizeWithCells="1">
              <from>
                <xdr:col>12</xdr:col>
                <xdr:colOff>0</xdr:colOff>
                <xdr:row>0</xdr:row>
                <xdr:rowOff>0</xdr:rowOff>
              </from>
              <to>
                <xdr:col>18</xdr:col>
                <xdr:colOff>161925</xdr:colOff>
                <xdr:row>1</xdr:row>
                <xdr:rowOff>85725</xdr:rowOff>
              </to>
            </anchor>
          </objectPr>
        </oleObject>
      </mc:Choice>
      <mc:Fallback>
        <oleObject progId="Equation.DSMT4" shapeId="3073" r:id="rId3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2:T17"/>
  <sheetViews>
    <sheetView topLeftCell="D1" zoomScale="75" zoomScaleNormal="75" workbookViewId="0">
      <selection activeCell="N3" sqref="N3"/>
    </sheetView>
  </sheetViews>
  <sheetFormatPr defaultRowHeight="15" x14ac:dyDescent="0.25"/>
  <cols>
    <col min="18" max="18" width="14" bestFit="1" customWidth="1"/>
    <col min="20" max="20" width="16.28515625" bestFit="1" customWidth="1"/>
  </cols>
  <sheetData>
    <row r="2" spans="14:20" x14ac:dyDescent="0.25">
      <c r="N2">
        <v>6553.1324427081945</v>
      </c>
      <c r="Q2" t="s">
        <v>513</v>
      </c>
      <c r="R2" t="s">
        <v>514</v>
      </c>
    </row>
    <row r="3" spans="14:20" x14ac:dyDescent="0.25">
      <c r="N3">
        <v>2.9450414233308591</v>
      </c>
      <c r="T3" s="160">
        <f>SUM(T4:T17)</f>
        <v>1335.7359089498009</v>
      </c>
    </row>
    <row r="4" spans="14:20" x14ac:dyDescent="0.25">
      <c r="Q4">
        <f>Q5</f>
        <v>5.1999999999999998E-2</v>
      </c>
      <c r="R4" s="23">
        <f>$N$2*Q4^$N$3</f>
        <v>1.0839908216861995</v>
      </c>
      <c r="T4" s="152">
        <f>19999*(R4-R5)^2</f>
        <v>677.01859667279257</v>
      </c>
    </row>
    <row r="5" spans="14:20" x14ac:dyDescent="0.25">
      <c r="P5" s="167">
        <f>LN(Q5)</f>
        <v>-2.9565115604007097</v>
      </c>
      <c r="Q5" s="167">
        <v>5.1999999999999998E-2</v>
      </c>
      <c r="R5" s="29">
        <v>0.9</v>
      </c>
      <c r="S5" s="167">
        <f>LN(R5)</f>
        <v>-0.10536051565782628</v>
      </c>
      <c r="T5" s="104"/>
    </row>
    <row r="6" spans="14:20" x14ac:dyDescent="0.25">
      <c r="Q6">
        <f>Q5+0.004</f>
        <v>5.5999999999999994E-2</v>
      </c>
      <c r="R6" s="23">
        <f>$N$2*Q6^$N$3</f>
        <v>1.3483754314541276</v>
      </c>
      <c r="T6" s="152"/>
    </row>
    <row r="7" spans="14:20" x14ac:dyDescent="0.25">
      <c r="Q7">
        <f>Q6+0.004</f>
        <v>0.06</v>
      </c>
      <c r="R7" s="23">
        <f>$N$2*Q7^$N$3</f>
        <v>1.6521663202323433</v>
      </c>
      <c r="T7" s="152"/>
    </row>
    <row r="8" spans="14:20" x14ac:dyDescent="0.25">
      <c r="Q8">
        <f>Q7+0.004</f>
        <v>6.4000000000000001E-2</v>
      </c>
      <c r="R8" s="23">
        <f>$N$2*Q8^$N$3</f>
        <v>1.9980185536382826</v>
      </c>
      <c r="T8" s="152"/>
    </row>
    <row r="9" spans="14:20" x14ac:dyDescent="0.25">
      <c r="Q9">
        <f>Q8+0.004</f>
        <v>6.8000000000000005E-2</v>
      </c>
      <c r="R9" s="23">
        <f>$N$2*Q9^$N$3</f>
        <v>2.3885774721673911</v>
      </c>
      <c r="T9" s="152"/>
    </row>
    <row r="10" spans="14:20" x14ac:dyDescent="0.25">
      <c r="Q10">
        <f>Q11</f>
        <v>7.2000000000000008E-2</v>
      </c>
      <c r="R10" s="23">
        <f>$N$2*Q10^$N$3</f>
        <v>2.8264793330721503</v>
      </c>
      <c r="T10" s="152">
        <f>19999*(R11-R10)^2</f>
        <v>602.15832759986426</v>
      </c>
    </row>
    <row r="11" spans="14:20" x14ac:dyDescent="0.25">
      <c r="Q11">
        <f>Q9+0.004</f>
        <v>7.2000000000000008E-2</v>
      </c>
      <c r="R11" s="23">
        <v>3</v>
      </c>
      <c r="T11" s="152"/>
    </row>
    <row r="12" spans="14:20" x14ac:dyDescent="0.25">
      <c r="Q12">
        <f>Q11+0.004</f>
        <v>7.6000000000000012E-2</v>
      </c>
      <c r="R12" s="23">
        <f>$N$2*Q12^$N$3</f>
        <v>3.3143518744874889</v>
      </c>
      <c r="T12" s="152"/>
    </row>
    <row r="13" spans="14:20" x14ac:dyDescent="0.25">
      <c r="Q13">
        <f>Q12+0.004</f>
        <v>8.0000000000000016E-2</v>
      </c>
      <c r="R13" s="23">
        <f>$N$2*Q13^$N$3</f>
        <v>3.8548148150386901</v>
      </c>
      <c r="T13" s="152"/>
    </row>
    <row r="14" spans="14:20" x14ac:dyDescent="0.25">
      <c r="Q14">
        <f>Q13+0.004</f>
        <v>8.4000000000000019E-2</v>
      </c>
      <c r="R14" s="23">
        <f>$N$2*Q14^$N$3</f>
        <v>4.4504802993323036</v>
      </c>
      <c r="T14" s="152"/>
    </row>
    <row r="15" spans="14:20" x14ac:dyDescent="0.25">
      <c r="Q15">
        <f>Q14+0.004</f>
        <v>8.8000000000000023E-2</v>
      </c>
      <c r="R15" s="23">
        <f>$N$2*Q15^$N$3</f>
        <v>5.1039532976151056</v>
      </c>
      <c r="T15" s="152"/>
    </row>
    <row r="16" spans="14:20" x14ac:dyDescent="0.25">
      <c r="P16" s="167">
        <f>LN(Q16)</f>
        <v>-2.4079456086518722</v>
      </c>
      <c r="Q16" s="167">
        <v>0.09</v>
      </c>
      <c r="R16" s="29">
        <v>5.4</v>
      </c>
      <c r="S16" s="167">
        <f>LN(R16)</f>
        <v>1.6863989535702288</v>
      </c>
      <c r="T16" s="152"/>
    </row>
    <row r="17" spans="17:20" x14ac:dyDescent="0.25">
      <c r="Q17">
        <f>Q16</f>
        <v>0.09</v>
      </c>
      <c r="R17" s="23">
        <f>$N$2*Q17^$N$3</f>
        <v>5.4531797953962702</v>
      </c>
      <c r="T17" s="152">
        <f>19999*(R17-R16)^2</f>
        <v>56.558984677144032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="75" zoomScaleNormal="75" workbookViewId="0">
      <selection activeCell="K3" sqref="K3"/>
    </sheetView>
  </sheetViews>
  <sheetFormatPr defaultRowHeight="15" x14ac:dyDescent="0.25"/>
  <cols>
    <col min="13" max="13" width="9.140625" style="23"/>
  </cols>
  <sheetData>
    <row r="1" spans="1:13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M1"/>
    </row>
    <row r="2" spans="1:13" ht="15" customHeight="1" x14ac:dyDescent="0.25">
      <c r="A2" s="142" t="s">
        <v>472</v>
      </c>
      <c r="B2" s="141">
        <f>CORREL(B6:B36,H6:H36)</f>
        <v>-0.60526138310271871</v>
      </c>
      <c r="C2" s="141">
        <f>CORREL(C6:C36,H6:H36)</f>
        <v>0.45893696518097032</v>
      </c>
      <c r="D2" s="141">
        <f>CORREL(D6:D36,H6:H36)</f>
        <v>-5.7708101049054057E-2</v>
      </c>
      <c r="E2" s="141">
        <f>CORREL(E6:E36,H6:H36)</f>
        <v>-0.58347913895675929</v>
      </c>
      <c r="F2" s="141">
        <f>CORREL(F6:F36,H6:H36)</f>
        <v>0.55795806824339855</v>
      </c>
      <c r="G2" s="141">
        <f>CORREL(G6:G36,H6:H36)</f>
        <v>0.7884983383524522</v>
      </c>
      <c r="H2" s="61"/>
      <c r="I2" s="141">
        <f>CORREL(I6:I36,H6:H36)</f>
        <v>0.5991518756658033</v>
      </c>
      <c r="M2"/>
    </row>
    <row r="3" spans="1:13" ht="15" customHeight="1" x14ac:dyDescent="0.25">
      <c r="A3" s="142" t="s">
        <v>471</v>
      </c>
      <c r="B3" s="141">
        <f>CORREL(B6:B36,G6:G36)</f>
        <v>-0.45333585817817185</v>
      </c>
      <c r="C3" s="141">
        <f>CORREL(C6:C36,G6:G36)</f>
        <v>0.35853294151817156</v>
      </c>
      <c r="D3" s="141">
        <f>CORREL(D6:D36,G6:G36)</f>
        <v>-0.25635981025035959</v>
      </c>
      <c r="E3" s="141">
        <f>CORREL(E6:E36,G6:G36)</f>
        <v>-0.84224985666969654</v>
      </c>
      <c r="F3" s="141">
        <f>CORREL(F6:F36,G6:G36)</f>
        <v>0.90196746026790653</v>
      </c>
      <c r="G3" s="141"/>
      <c r="H3" s="153">
        <f>CORREL(H6:H36,G6:G36)</f>
        <v>0.7884983383524522</v>
      </c>
      <c r="I3" s="141">
        <f>CORREL(I6:I36,G6:G36)</f>
        <v>0.91982199979394674</v>
      </c>
      <c r="M3"/>
    </row>
    <row r="4" spans="1:13" ht="15" customHeight="1" x14ac:dyDescent="0.25">
      <c r="A4" s="143"/>
      <c r="B4" s="143"/>
      <c r="C4" s="143"/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58" t="s">
        <v>502</v>
      </c>
      <c r="M4"/>
    </row>
    <row r="5" spans="1:13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M5"/>
    </row>
    <row r="6" spans="1:13" ht="15" customHeight="1" x14ac:dyDescent="0.25">
      <c r="A6" s="89" t="s">
        <v>462</v>
      </c>
      <c r="B6" s="96">
        <v>18.8</v>
      </c>
      <c r="C6" s="96">
        <v>525</v>
      </c>
      <c r="D6" s="100">
        <v>0.22</v>
      </c>
      <c r="E6" s="100">
        <v>0.43799999999999994</v>
      </c>
      <c r="F6" s="100">
        <v>0.34200000000000003</v>
      </c>
      <c r="G6" s="100">
        <v>0.312</v>
      </c>
      <c r="H6" s="97">
        <v>1.08</v>
      </c>
      <c r="I6" s="159">
        <f>F6/E6</f>
        <v>0.7808219178082193</v>
      </c>
      <c r="M6"/>
    </row>
    <row r="7" spans="1:13" ht="15" customHeight="1" x14ac:dyDescent="0.25">
      <c r="A7" s="89" t="s">
        <v>462</v>
      </c>
      <c r="B7" s="96">
        <v>7.7</v>
      </c>
      <c r="C7" s="96">
        <v>500</v>
      </c>
      <c r="D7" s="100">
        <v>0.222</v>
      </c>
      <c r="E7" s="100">
        <v>0.44400000000000001</v>
      </c>
      <c r="F7" s="100">
        <v>0.33399999999999996</v>
      </c>
      <c r="G7" s="100">
        <v>0.32400000000000001</v>
      </c>
      <c r="H7" s="97">
        <v>1.28</v>
      </c>
      <c r="I7" s="159">
        <f t="shared" ref="I7:I36" si="0">F7/E7</f>
        <v>0.75225225225225212</v>
      </c>
      <c r="M7"/>
    </row>
    <row r="8" spans="1:13" ht="15" customHeight="1" x14ac:dyDescent="0.25">
      <c r="A8" s="89" t="s">
        <v>462</v>
      </c>
      <c r="B8" s="96">
        <v>8.3000000000000007</v>
      </c>
      <c r="C8" s="96">
        <v>550</v>
      </c>
      <c r="D8" s="100">
        <v>0.222</v>
      </c>
      <c r="E8" s="100">
        <v>0.44400000000000001</v>
      </c>
      <c r="F8" s="100">
        <v>0.33399999999999996</v>
      </c>
      <c r="G8" s="100">
        <v>0.314</v>
      </c>
      <c r="H8" s="97">
        <v>1.84</v>
      </c>
      <c r="I8" s="159">
        <f t="shared" si="0"/>
        <v>0.75225225225225212</v>
      </c>
      <c r="M8"/>
    </row>
    <row r="9" spans="1:13" ht="15" customHeight="1" x14ac:dyDescent="0.25">
      <c r="A9" s="89" t="s">
        <v>462</v>
      </c>
      <c r="B9" s="96">
        <v>26.3</v>
      </c>
      <c r="C9" s="96">
        <v>550</v>
      </c>
      <c r="D9" s="100">
        <v>0.222</v>
      </c>
      <c r="E9" s="100">
        <v>0.44400000000000001</v>
      </c>
      <c r="F9" s="100">
        <v>0.33399999999999996</v>
      </c>
      <c r="G9" s="100">
        <v>0.29699999999999999</v>
      </c>
      <c r="H9" s="97">
        <v>1.46</v>
      </c>
      <c r="I9" s="159">
        <f t="shared" si="0"/>
        <v>0.75225225225225212</v>
      </c>
      <c r="M9"/>
    </row>
    <row r="10" spans="1:13" ht="15" customHeight="1" x14ac:dyDescent="0.25">
      <c r="A10" s="89" t="s">
        <v>462</v>
      </c>
      <c r="B10" s="96">
        <v>28.5</v>
      </c>
      <c r="C10" s="96">
        <v>500</v>
      </c>
      <c r="D10" s="100">
        <v>0.222</v>
      </c>
      <c r="E10" s="100">
        <v>0.44400000000000001</v>
      </c>
      <c r="F10" s="100">
        <v>0.33399999999999996</v>
      </c>
      <c r="G10" s="100">
        <v>0.27600000000000002</v>
      </c>
      <c r="H10" s="97">
        <v>1.1000000000000001</v>
      </c>
      <c r="I10" s="159">
        <f t="shared" si="0"/>
        <v>0.75225225225225212</v>
      </c>
      <c r="M10"/>
    </row>
    <row r="11" spans="1:13" ht="15" customHeight="1" x14ac:dyDescent="0.25">
      <c r="A11" s="108" t="s">
        <v>462</v>
      </c>
      <c r="B11" s="109">
        <v>5.9</v>
      </c>
      <c r="C11" s="109">
        <v>525</v>
      </c>
      <c r="D11" s="110">
        <v>0.23</v>
      </c>
      <c r="E11" s="110">
        <v>0.45799999999999996</v>
      </c>
      <c r="F11" s="110">
        <v>0.312</v>
      </c>
      <c r="G11" s="110">
        <v>0.32600000000000001</v>
      </c>
      <c r="H11" s="111">
        <v>2.09</v>
      </c>
      <c r="I11" s="159">
        <f t="shared" si="0"/>
        <v>0.68122270742358082</v>
      </c>
      <c r="M11"/>
    </row>
    <row r="12" spans="1:13" ht="15" customHeight="1" x14ac:dyDescent="0.25">
      <c r="A12" s="108" t="s">
        <v>462</v>
      </c>
      <c r="B12" s="109">
        <v>5.9</v>
      </c>
      <c r="C12" s="109">
        <v>525</v>
      </c>
      <c r="D12" s="110">
        <v>0.23</v>
      </c>
      <c r="E12" s="110">
        <v>0.45799999999999996</v>
      </c>
      <c r="F12" s="110">
        <v>0.312</v>
      </c>
      <c r="G12" s="110">
        <v>0.32600000000000001</v>
      </c>
      <c r="H12" s="111">
        <v>2.09</v>
      </c>
      <c r="I12" s="159">
        <f t="shared" si="0"/>
        <v>0.68122270742358082</v>
      </c>
      <c r="M12"/>
    </row>
    <row r="13" spans="1:13" ht="15" customHeight="1" x14ac:dyDescent="0.25">
      <c r="A13" s="108" t="s">
        <v>462</v>
      </c>
      <c r="B13" s="109">
        <v>18.8</v>
      </c>
      <c r="C13" s="109">
        <v>525</v>
      </c>
      <c r="D13" s="110">
        <v>0.23</v>
      </c>
      <c r="E13" s="110">
        <v>0.45799999999999996</v>
      </c>
      <c r="F13" s="110">
        <v>0.312</v>
      </c>
      <c r="G13" s="110">
        <v>0.313</v>
      </c>
      <c r="H13" s="111">
        <v>1.56</v>
      </c>
      <c r="I13" s="159">
        <f t="shared" si="0"/>
        <v>0.68122270742358082</v>
      </c>
      <c r="M13"/>
    </row>
    <row r="14" spans="1:13" ht="15" customHeight="1" x14ac:dyDescent="0.25">
      <c r="A14" s="108" t="s">
        <v>462</v>
      </c>
      <c r="B14" s="109">
        <v>18.8</v>
      </c>
      <c r="C14" s="109">
        <v>525</v>
      </c>
      <c r="D14" s="110">
        <v>0.23</v>
      </c>
      <c r="E14" s="110">
        <v>0.45799999999999996</v>
      </c>
      <c r="F14" s="110">
        <v>0.312</v>
      </c>
      <c r="G14" s="110">
        <v>0.3</v>
      </c>
      <c r="H14" s="111">
        <v>1.33</v>
      </c>
      <c r="I14" s="159">
        <f t="shared" si="0"/>
        <v>0.68122270742358082</v>
      </c>
      <c r="M14"/>
    </row>
    <row r="15" spans="1:13" ht="15" customHeight="1" x14ac:dyDescent="0.25">
      <c r="A15" s="113" t="s">
        <v>462</v>
      </c>
      <c r="B15" s="109">
        <v>19.399999999999999</v>
      </c>
      <c r="C15" s="109">
        <v>480</v>
      </c>
      <c r="D15" s="110">
        <v>0.23</v>
      </c>
      <c r="E15" s="110">
        <v>0.45799999999999996</v>
      </c>
      <c r="F15" s="110">
        <v>0.312</v>
      </c>
      <c r="G15" s="110">
        <v>0.27600000000000002</v>
      </c>
      <c r="H15" s="111">
        <v>0.41</v>
      </c>
      <c r="I15" s="159">
        <f t="shared" si="0"/>
        <v>0.68122270742358082</v>
      </c>
      <c r="M15"/>
    </row>
    <row r="16" spans="1:13" ht="15" customHeight="1" x14ac:dyDescent="0.25">
      <c r="A16" s="108" t="s">
        <v>462</v>
      </c>
      <c r="B16" s="109">
        <v>20.399999999999999</v>
      </c>
      <c r="C16" s="109">
        <v>520</v>
      </c>
      <c r="D16" s="110">
        <v>0.23</v>
      </c>
      <c r="E16" s="110">
        <v>0.45799999999999996</v>
      </c>
      <c r="F16" s="110">
        <v>0.312</v>
      </c>
      <c r="G16" s="110">
        <v>0.26300000000000001</v>
      </c>
      <c r="H16" s="111">
        <v>0.62</v>
      </c>
      <c r="I16" s="159">
        <f t="shared" si="0"/>
        <v>0.68122270742358082</v>
      </c>
      <c r="M16"/>
    </row>
    <row r="17" spans="1:13" ht="15" customHeight="1" x14ac:dyDescent="0.25">
      <c r="A17" s="108" t="s">
        <v>469</v>
      </c>
      <c r="B17" s="114">
        <v>27.2</v>
      </c>
      <c r="C17" s="114">
        <v>550</v>
      </c>
      <c r="D17" s="115">
        <v>0.23</v>
      </c>
      <c r="E17" s="115">
        <v>0.45799999999999996</v>
      </c>
      <c r="F17" s="115">
        <v>0.312</v>
      </c>
      <c r="G17" s="115">
        <v>0.26800000000000002</v>
      </c>
      <c r="H17" s="112">
        <v>0.98199999999999998</v>
      </c>
      <c r="I17" s="159">
        <f t="shared" si="0"/>
        <v>0.68122270742358082</v>
      </c>
      <c r="M17"/>
    </row>
    <row r="18" spans="1:13" ht="15" customHeight="1" x14ac:dyDescent="0.25">
      <c r="A18" s="108" t="s">
        <v>462</v>
      </c>
      <c r="B18" s="109">
        <v>27.5</v>
      </c>
      <c r="C18" s="109">
        <v>525</v>
      </c>
      <c r="D18" s="110">
        <v>0.23</v>
      </c>
      <c r="E18" s="110">
        <v>0.45799999999999996</v>
      </c>
      <c r="F18" s="110">
        <v>0.312</v>
      </c>
      <c r="G18" s="110">
        <v>0.188</v>
      </c>
      <c r="H18" s="111">
        <v>0.28000000000000003</v>
      </c>
      <c r="I18" s="159">
        <f t="shared" si="0"/>
        <v>0.68122270742358082</v>
      </c>
      <c r="M18"/>
    </row>
    <row r="19" spans="1:13" ht="15" customHeight="1" x14ac:dyDescent="0.25">
      <c r="A19" s="108" t="s">
        <v>468</v>
      </c>
      <c r="B19" s="116">
        <v>28.4</v>
      </c>
      <c r="C19" s="114">
        <v>550</v>
      </c>
      <c r="D19" s="115">
        <v>0.23</v>
      </c>
      <c r="E19" s="115">
        <v>0.45799999999999996</v>
      </c>
      <c r="F19" s="115">
        <v>0.312</v>
      </c>
      <c r="G19" s="115">
        <v>0.30299999999999999</v>
      </c>
      <c r="H19" s="112">
        <v>1.2</v>
      </c>
      <c r="I19" s="159">
        <f t="shared" si="0"/>
        <v>0.68122270742358082</v>
      </c>
      <c r="M19"/>
    </row>
    <row r="20" spans="1:13" ht="15" customHeight="1" x14ac:dyDescent="0.25">
      <c r="A20" s="108" t="s">
        <v>468</v>
      </c>
      <c r="B20" s="116">
        <v>28.4</v>
      </c>
      <c r="C20" s="114">
        <v>550</v>
      </c>
      <c r="D20" s="115">
        <v>0.23</v>
      </c>
      <c r="E20" s="115">
        <v>0.45799999999999996</v>
      </c>
      <c r="F20" s="115">
        <v>0.312</v>
      </c>
      <c r="G20" s="115">
        <v>0.26500000000000001</v>
      </c>
      <c r="H20" s="112">
        <v>0.93200000000000005</v>
      </c>
      <c r="I20" s="159">
        <f t="shared" si="0"/>
        <v>0.68122270742358082</v>
      </c>
      <c r="M20"/>
    </row>
    <row r="21" spans="1:13" ht="15" customHeight="1" x14ac:dyDescent="0.25">
      <c r="A21" s="108" t="s">
        <v>469</v>
      </c>
      <c r="B21" s="114">
        <v>31.6</v>
      </c>
      <c r="C21" s="114">
        <v>450</v>
      </c>
      <c r="D21" s="115">
        <v>0.23</v>
      </c>
      <c r="E21" s="115">
        <v>0.45799999999999996</v>
      </c>
      <c r="F21" s="115">
        <v>0.312</v>
      </c>
      <c r="G21" s="115">
        <v>0.27600000000000002</v>
      </c>
      <c r="H21" s="112">
        <v>0.56200000000000006</v>
      </c>
      <c r="I21" s="159">
        <f t="shared" si="0"/>
        <v>0.68122270742358082</v>
      </c>
      <c r="M21"/>
    </row>
    <row r="22" spans="1:13" ht="15" customHeight="1" x14ac:dyDescent="0.25">
      <c r="A22" s="88" t="s">
        <v>462</v>
      </c>
      <c r="B22" s="117">
        <v>7.7</v>
      </c>
      <c r="C22" s="117">
        <v>500</v>
      </c>
      <c r="D22" s="118">
        <v>0.23800000000000002</v>
      </c>
      <c r="E22" s="118">
        <v>0.47600000000000003</v>
      </c>
      <c r="F22" s="118">
        <v>0.28600000000000003</v>
      </c>
      <c r="G22" s="118">
        <v>0.23</v>
      </c>
      <c r="H22" s="119">
        <v>0.64100000000000001</v>
      </c>
      <c r="I22" s="159">
        <f t="shared" si="0"/>
        <v>0.60084033613445376</v>
      </c>
      <c r="M22"/>
    </row>
    <row r="23" spans="1:13" ht="15" customHeight="1" x14ac:dyDescent="0.25">
      <c r="A23" s="88" t="s">
        <v>462</v>
      </c>
      <c r="B23" s="117">
        <v>8.1999999999999993</v>
      </c>
      <c r="C23" s="117">
        <v>550</v>
      </c>
      <c r="D23" s="118">
        <v>0.23800000000000002</v>
      </c>
      <c r="E23" s="118">
        <v>0.47600000000000003</v>
      </c>
      <c r="F23" s="118">
        <v>0.28600000000000003</v>
      </c>
      <c r="G23" s="118">
        <v>0.26100000000000001</v>
      </c>
      <c r="H23" s="119">
        <v>1.19</v>
      </c>
      <c r="I23" s="159">
        <f t="shared" si="0"/>
        <v>0.60084033613445376</v>
      </c>
      <c r="M23"/>
    </row>
    <row r="24" spans="1:13" ht="15" customHeight="1" x14ac:dyDescent="0.25">
      <c r="A24" s="88" t="s">
        <v>462</v>
      </c>
      <c r="B24" s="117">
        <v>26.3</v>
      </c>
      <c r="C24" s="117">
        <v>550</v>
      </c>
      <c r="D24" s="118">
        <v>0.23800000000000002</v>
      </c>
      <c r="E24" s="118">
        <v>0.47600000000000003</v>
      </c>
      <c r="F24" s="118">
        <v>0.28600000000000003</v>
      </c>
      <c r="G24" s="118">
        <v>0.3</v>
      </c>
      <c r="H24" s="119">
        <v>1.6</v>
      </c>
      <c r="I24" s="159">
        <f t="shared" si="0"/>
        <v>0.60084033613445376</v>
      </c>
      <c r="M24"/>
    </row>
    <row r="25" spans="1:13" ht="15" customHeight="1" x14ac:dyDescent="0.25">
      <c r="A25" s="88" t="s">
        <v>462</v>
      </c>
      <c r="B25" s="117">
        <v>28.5</v>
      </c>
      <c r="C25" s="117">
        <v>500</v>
      </c>
      <c r="D25" s="118">
        <v>0.23800000000000002</v>
      </c>
      <c r="E25" s="118">
        <v>0.47600000000000003</v>
      </c>
      <c r="F25" s="118">
        <v>0.28600000000000003</v>
      </c>
      <c r="G25" s="118">
        <v>0.22</v>
      </c>
      <c r="H25" s="119">
        <v>0.63200000000000001</v>
      </c>
      <c r="I25" s="159">
        <f t="shared" si="0"/>
        <v>0.60084033613445376</v>
      </c>
      <c r="M25"/>
    </row>
    <row r="26" spans="1:13" ht="15" customHeight="1" x14ac:dyDescent="0.25">
      <c r="A26" s="88" t="s">
        <v>462</v>
      </c>
      <c r="B26" s="117">
        <v>18.8</v>
      </c>
      <c r="C26" s="117">
        <v>525</v>
      </c>
      <c r="D26" s="118">
        <v>0.24</v>
      </c>
      <c r="E26" s="118">
        <v>0.48399999999999999</v>
      </c>
      <c r="F26" s="118">
        <v>0.27600000000000002</v>
      </c>
      <c r="G26" s="118">
        <v>0.23100000000000001</v>
      </c>
      <c r="H26" s="119">
        <v>1.1000000000000001</v>
      </c>
      <c r="I26" s="159">
        <f t="shared" si="0"/>
        <v>0.57024793388429762</v>
      </c>
      <c r="M26"/>
    </row>
    <row r="27" spans="1:13" ht="15.75" x14ac:dyDescent="0.25">
      <c r="A27" s="87" t="s">
        <v>469</v>
      </c>
      <c r="B27" s="93">
        <v>27.8</v>
      </c>
      <c r="C27" s="93">
        <v>550</v>
      </c>
      <c r="D27" s="101">
        <v>0.16</v>
      </c>
      <c r="E27" s="101">
        <v>0.5</v>
      </c>
      <c r="F27" s="101">
        <v>0.34</v>
      </c>
      <c r="G27" s="101">
        <v>0.27400000000000002</v>
      </c>
      <c r="H27" s="98">
        <v>0.77100000000000002</v>
      </c>
      <c r="I27" s="159">
        <f t="shared" si="0"/>
        <v>0.68</v>
      </c>
      <c r="M27"/>
    </row>
    <row r="28" spans="1:13" ht="15.75" x14ac:dyDescent="0.25">
      <c r="A28" s="87" t="s">
        <v>468</v>
      </c>
      <c r="B28" s="125">
        <v>28.7</v>
      </c>
      <c r="C28" s="93">
        <v>450</v>
      </c>
      <c r="D28" s="101">
        <v>0.16</v>
      </c>
      <c r="E28" s="101">
        <v>0.5</v>
      </c>
      <c r="F28" s="101">
        <v>0.34</v>
      </c>
      <c r="G28" s="101">
        <v>0.255</v>
      </c>
      <c r="H28" s="98">
        <v>0.72399999999999998</v>
      </c>
      <c r="I28" s="159">
        <f t="shared" si="0"/>
        <v>0.68</v>
      </c>
      <c r="M28"/>
    </row>
    <row r="29" spans="1:13" ht="15.75" x14ac:dyDescent="0.25">
      <c r="A29" s="87" t="s">
        <v>468</v>
      </c>
      <c r="B29" s="126">
        <v>29.3</v>
      </c>
      <c r="C29" s="93">
        <v>450</v>
      </c>
      <c r="D29" s="101">
        <v>0.16</v>
      </c>
      <c r="E29" s="101">
        <v>0.5</v>
      </c>
      <c r="F29" s="101">
        <v>0.34</v>
      </c>
      <c r="G29" s="101">
        <v>0.314</v>
      </c>
      <c r="H29" s="98">
        <v>0.94499999999999995</v>
      </c>
      <c r="I29" s="159">
        <f t="shared" si="0"/>
        <v>0.68</v>
      </c>
      <c r="M29"/>
    </row>
    <row r="30" spans="1:13" ht="15.75" x14ac:dyDescent="0.25">
      <c r="A30" s="87" t="s">
        <v>469</v>
      </c>
      <c r="B30" s="93">
        <v>29.6</v>
      </c>
      <c r="C30" s="93">
        <v>450</v>
      </c>
      <c r="D30" s="101">
        <v>0.16</v>
      </c>
      <c r="E30" s="101">
        <v>0.5</v>
      </c>
      <c r="F30" s="101">
        <v>0.34</v>
      </c>
      <c r="G30" s="101">
        <v>0.309</v>
      </c>
      <c r="H30" s="98">
        <v>1.31</v>
      </c>
      <c r="I30" s="159">
        <f t="shared" si="0"/>
        <v>0.68</v>
      </c>
      <c r="M30"/>
    </row>
    <row r="31" spans="1:13" ht="15.75" x14ac:dyDescent="0.25">
      <c r="A31" s="120" t="s">
        <v>468</v>
      </c>
      <c r="B31" s="124">
        <v>28.7</v>
      </c>
      <c r="C31" s="121">
        <v>450</v>
      </c>
      <c r="D31" s="122">
        <v>0.25800000000000001</v>
      </c>
      <c r="E31" s="122">
        <v>0.51600000000000001</v>
      </c>
      <c r="F31" s="122">
        <v>0.22600000000000001</v>
      </c>
      <c r="G31" s="122">
        <v>0.161</v>
      </c>
      <c r="H31" s="123">
        <v>0.45600000000000002</v>
      </c>
      <c r="I31" s="159">
        <f t="shared" si="0"/>
        <v>0.43798449612403101</v>
      </c>
      <c r="M31"/>
    </row>
    <row r="32" spans="1:13" ht="15.75" x14ac:dyDescent="0.25">
      <c r="A32" s="120" t="s">
        <v>468</v>
      </c>
      <c r="B32" s="124">
        <v>28.7</v>
      </c>
      <c r="C32" s="121">
        <v>450</v>
      </c>
      <c r="D32" s="122">
        <v>0.25800000000000001</v>
      </c>
      <c r="E32" s="122">
        <v>0.51600000000000001</v>
      </c>
      <c r="F32" s="122">
        <v>0.22600000000000001</v>
      </c>
      <c r="G32" s="122">
        <v>0.14000000000000001</v>
      </c>
      <c r="H32" s="123">
        <v>0.40100000000000002</v>
      </c>
      <c r="I32" s="159">
        <f t="shared" si="0"/>
        <v>0.43798449612403101</v>
      </c>
      <c r="M32"/>
    </row>
    <row r="33" spans="1:13" ht="15.75" x14ac:dyDescent="0.25">
      <c r="A33" s="136" t="s">
        <v>468</v>
      </c>
      <c r="B33" s="137">
        <v>27.8</v>
      </c>
      <c r="C33" s="138">
        <v>550</v>
      </c>
      <c r="D33" s="139">
        <v>0.182</v>
      </c>
      <c r="E33" s="139">
        <v>0.56799999999999995</v>
      </c>
      <c r="F33" s="139">
        <v>0.25</v>
      </c>
      <c r="G33" s="139">
        <v>0.16900000000000001</v>
      </c>
      <c r="H33" s="140">
        <v>0.47799999999999998</v>
      </c>
      <c r="I33" s="159">
        <f t="shared" si="0"/>
        <v>0.44014084507042256</v>
      </c>
      <c r="M33"/>
    </row>
    <row r="34" spans="1:13" ht="15.75" x14ac:dyDescent="0.25">
      <c r="A34" s="136" t="s">
        <v>468</v>
      </c>
      <c r="B34" s="137">
        <v>28.4</v>
      </c>
      <c r="C34" s="138">
        <v>550</v>
      </c>
      <c r="D34" s="139">
        <v>0.182</v>
      </c>
      <c r="E34" s="139">
        <v>0.56799999999999995</v>
      </c>
      <c r="F34" s="139">
        <v>0.25</v>
      </c>
      <c r="G34" s="139">
        <v>0.14299999999999999</v>
      </c>
      <c r="H34" s="140">
        <v>0.51100000000000001</v>
      </c>
      <c r="I34" s="159">
        <f t="shared" si="0"/>
        <v>0.44014084507042256</v>
      </c>
      <c r="M34"/>
    </row>
    <row r="35" spans="1:13" ht="15.75" x14ac:dyDescent="0.25">
      <c r="A35" s="127" t="s">
        <v>469</v>
      </c>
      <c r="B35" s="128">
        <v>30.5</v>
      </c>
      <c r="C35" s="129">
        <v>450</v>
      </c>
      <c r="D35" s="130">
        <v>0.29399999999999998</v>
      </c>
      <c r="E35" s="130">
        <v>0.58799999999999997</v>
      </c>
      <c r="F35" s="130">
        <v>0.11800000000000001</v>
      </c>
      <c r="G35" s="130">
        <v>6.2E-2</v>
      </c>
      <c r="H35" s="131">
        <v>0.111</v>
      </c>
      <c r="I35" s="159">
        <f t="shared" si="0"/>
        <v>0.20068027210884357</v>
      </c>
      <c r="M35"/>
    </row>
    <row r="36" spans="1:13" ht="15.75" x14ac:dyDescent="0.25">
      <c r="A36" s="132" t="s">
        <v>469</v>
      </c>
      <c r="B36" s="133">
        <v>30.6</v>
      </c>
      <c r="C36" s="133">
        <v>450</v>
      </c>
      <c r="D36" s="134">
        <v>0.21</v>
      </c>
      <c r="E36" s="134">
        <v>0.65799999999999992</v>
      </c>
      <c r="F36" s="134">
        <v>0.13200000000000001</v>
      </c>
      <c r="G36" s="134">
        <v>5.3999999999999999E-2</v>
      </c>
      <c r="H36" s="135">
        <v>0.121</v>
      </c>
      <c r="I36" s="159">
        <f t="shared" si="0"/>
        <v>0.20060790273556234</v>
      </c>
      <c r="M36"/>
    </row>
    <row r="37" spans="1:13" x14ac:dyDescent="0.25">
      <c r="M37"/>
    </row>
    <row r="38" spans="1:13" x14ac:dyDescent="0.25">
      <c r="M38"/>
    </row>
    <row r="39" spans="1:13" x14ac:dyDescent="0.25">
      <c r="M39"/>
    </row>
    <row r="40" spans="1:13" x14ac:dyDescent="0.25">
      <c r="M40"/>
    </row>
    <row r="41" spans="1:13" x14ac:dyDescent="0.25">
      <c r="M41"/>
    </row>
    <row r="42" spans="1:13" x14ac:dyDescent="0.25">
      <c r="M42"/>
    </row>
    <row r="43" spans="1:13" x14ac:dyDescent="0.25">
      <c r="M43"/>
    </row>
    <row r="44" spans="1:13" x14ac:dyDescent="0.25">
      <c r="M44"/>
    </row>
    <row r="45" spans="1:13" x14ac:dyDescent="0.25">
      <c r="M45"/>
    </row>
    <row r="46" spans="1:13" x14ac:dyDescent="0.25">
      <c r="M46"/>
    </row>
    <row r="47" spans="1:13" x14ac:dyDescent="0.25">
      <c r="M47"/>
    </row>
    <row r="48" spans="1:13" x14ac:dyDescent="0.25">
      <c r="M48"/>
    </row>
    <row r="49" spans="2:13" x14ac:dyDescent="0.25">
      <c r="M49"/>
    </row>
    <row r="50" spans="2:13" x14ac:dyDescent="0.25">
      <c r="M50"/>
    </row>
    <row r="51" spans="2:13" x14ac:dyDescent="0.25">
      <c r="M51"/>
    </row>
    <row r="52" spans="2:13" x14ac:dyDescent="0.25">
      <c r="M52"/>
    </row>
    <row r="53" spans="2:13" x14ac:dyDescent="0.25">
      <c r="M53"/>
    </row>
    <row r="54" spans="2:13" x14ac:dyDescent="0.25">
      <c r="M54"/>
    </row>
    <row r="55" spans="2:13" x14ac:dyDescent="0.25">
      <c r="M55"/>
    </row>
    <row r="56" spans="2:13" x14ac:dyDescent="0.25">
      <c r="M56"/>
    </row>
    <row r="57" spans="2:13" x14ac:dyDescent="0.25">
      <c r="M57"/>
    </row>
    <row r="58" spans="2:13" x14ac:dyDescent="0.25">
      <c r="M58"/>
    </row>
    <row r="59" spans="2:13" x14ac:dyDescent="0.25">
      <c r="M59"/>
    </row>
    <row r="60" spans="2:13" x14ac:dyDescent="0.25">
      <c r="M60"/>
    </row>
    <row r="61" spans="2:13" x14ac:dyDescent="0.25">
      <c r="M61"/>
    </row>
    <row r="62" spans="2:13" x14ac:dyDescent="0.25">
      <c r="M62"/>
    </row>
    <row r="63" spans="2:13" x14ac:dyDescent="0.25">
      <c r="M63"/>
    </row>
    <row r="64" spans="2:13" x14ac:dyDescent="0.25">
      <c r="B64" s="61"/>
      <c r="C64" s="61" t="s">
        <v>441</v>
      </c>
      <c r="D64" s="61"/>
      <c r="E64" s="61"/>
      <c r="F64" s="61"/>
      <c r="G64" s="61"/>
      <c r="H64" s="61"/>
      <c r="I64" s="61"/>
    </row>
    <row r="65" spans="3:11" x14ac:dyDescent="0.25">
      <c r="C65" t="s">
        <v>435</v>
      </c>
      <c r="D65" s="64">
        <f>AVERAGE(D7:D22)</f>
        <v>0.22850000000000001</v>
      </c>
      <c r="E65" s="64">
        <f>AVERAGE(E7:E22)</f>
        <v>0.45562500000000011</v>
      </c>
      <c r="F65" s="64">
        <f>AVERAGE(F7:F22)</f>
        <v>0.31587500000000002</v>
      </c>
      <c r="G65" s="64">
        <f>AVERAGE(G7:G22)</f>
        <v>0.2840625</v>
      </c>
      <c r="H65" s="64">
        <f>AVERAGE(H7:H22)</f>
        <v>1.1485624999999997</v>
      </c>
    </row>
    <row r="66" spans="3:11" x14ac:dyDescent="0.25">
      <c r="C66" t="s">
        <v>436</v>
      </c>
      <c r="D66" s="41">
        <f>_xlfn.STDEV.P(D7:D22)</f>
        <v>4.2130748865881829E-3</v>
      </c>
      <c r="E66" s="41">
        <f>_xlfn.STDEV.P(E7:E22)</f>
        <v>7.97554857047463E-3</v>
      </c>
      <c r="F66" s="41">
        <f>_xlfn.STDEV.P(F7:F22)</f>
        <v>1.2175154003132753E-2</v>
      </c>
      <c r="G66" s="41">
        <f>_xlfn.STDEV.P(G7:G22)</f>
        <v>3.6260289487950785E-2</v>
      </c>
      <c r="H66" s="41">
        <f>_xlfn.STDEV.P(H7:H22)</f>
        <v>0.54930296384941357</v>
      </c>
      <c r="K66">
        <v>0.45946666666666669</v>
      </c>
    </row>
    <row r="67" spans="3:11" x14ac:dyDescent="0.25">
      <c r="C67" t="s">
        <v>437</v>
      </c>
      <c r="D67">
        <f>MIN(D7:D22)</f>
        <v>0.222</v>
      </c>
      <c r="E67">
        <f>MIN(E7:E22)</f>
        <v>0.44400000000000001</v>
      </c>
      <c r="F67">
        <f>MIN(F7:F22)</f>
        <v>0.28600000000000003</v>
      </c>
      <c r="G67">
        <f>MIN(G7:G22)</f>
        <v>0.188</v>
      </c>
      <c r="H67">
        <f>MIN(H7:H22)</f>
        <v>0.28000000000000003</v>
      </c>
      <c r="K67">
        <v>0.23</v>
      </c>
    </row>
    <row r="68" spans="3:11" x14ac:dyDescent="0.25">
      <c r="C68" t="s">
        <v>438</v>
      </c>
      <c r="D68">
        <f>MAX(D7:D22)</f>
        <v>0.23800000000000002</v>
      </c>
      <c r="E68">
        <f>MAX(E7:E22)</f>
        <v>0.47600000000000003</v>
      </c>
      <c r="F68">
        <f>MAX(F7:F22)</f>
        <v>0.33399999999999996</v>
      </c>
      <c r="G68">
        <f>MAX(G7:G22)</f>
        <v>0.32600000000000001</v>
      </c>
      <c r="H68">
        <f>MAX(H7:H22)</f>
        <v>2.09</v>
      </c>
      <c r="K68">
        <v>0.31053333333333327</v>
      </c>
    </row>
    <row r="69" spans="3:11" x14ac:dyDescent="0.25">
      <c r="C69" t="s">
        <v>439</v>
      </c>
      <c r="D69">
        <f>D68-D67</f>
        <v>1.6000000000000014E-2</v>
      </c>
      <c r="E69">
        <f t="shared" ref="E69:H69" si="1">E68-E67</f>
        <v>3.2000000000000028E-2</v>
      </c>
      <c r="F69">
        <f t="shared" si="1"/>
        <v>4.7999999999999932E-2</v>
      </c>
      <c r="G69">
        <f t="shared" si="1"/>
        <v>0.13800000000000001</v>
      </c>
      <c r="H69">
        <f t="shared" si="1"/>
        <v>1.8099999999999998</v>
      </c>
    </row>
  </sheetData>
  <sortState ref="A6:H36">
    <sortCondition ref="E6:E36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75" zoomScaleNormal="75" workbookViewId="0">
      <selection activeCell="N2" sqref="N2"/>
    </sheetView>
  </sheetViews>
  <sheetFormatPr defaultRowHeight="15" x14ac:dyDescent="0.25"/>
  <cols>
    <col min="13" max="13" width="9.140625" style="23"/>
  </cols>
  <sheetData>
    <row r="1" spans="1:19" x14ac:dyDescent="0.25">
      <c r="A1" s="61"/>
      <c r="B1" s="61"/>
      <c r="C1" s="61"/>
      <c r="D1" s="61" t="s">
        <v>473</v>
      </c>
      <c r="E1" s="61"/>
      <c r="F1" s="141"/>
      <c r="G1" s="61"/>
      <c r="H1" s="61"/>
      <c r="M1"/>
    </row>
    <row r="2" spans="1:19" ht="15.75" x14ac:dyDescent="0.25">
      <c r="A2" s="142" t="s">
        <v>472</v>
      </c>
      <c r="B2" s="141">
        <f>CORREL(B6:B36,H6:H36)</f>
        <v>-0.6052613831027186</v>
      </c>
      <c r="C2" s="141">
        <f>CORREL(C6:C36,H6:H36)</f>
        <v>0.45893696518097027</v>
      </c>
      <c r="D2" s="141">
        <f>CORREL(D6:D36,H6:H36)</f>
        <v>-5.7708101049054043E-2</v>
      </c>
      <c r="E2" s="141">
        <f>CORREL(E6:E36,H6:H36)</f>
        <v>-0.5834791389567594</v>
      </c>
      <c r="F2" s="141">
        <f>CORREL(F6:F36,H6:H36)</f>
        <v>0.55795806824339833</v>
      </c>
      <c r="G2" s="61"/>
      <c r="H2" s="61"/>
      <c r="M2"/>
    </row>
    <row r="3" spans="1:19" ht="18.75" x14ac:dyDescent="0.25">
      <c r="A3" s="142" t="s">
        <v>471</v>
      </c>
      <c r="B3" s="141">
        <f>CORREL(B6:B36,G6:G36)</f>
        <v>-0.45333585817817185</v>
      </c>
      <c r="C3" s="141">
        <f>CORREL(C6:C36,G6:G36)</f>
        <v>0.35853294151817156</v>
      </c>
      <c r="D3" s="141">
        <f>CORREL(D6:D36,G6:G36)</f>
        <v>-0.25635981025035959</v>
      </c>
      <c r="E3" s="141">
        <f>CORREL(E6:E36,G6:G36)</f>
        <v>-0.84224985666969654</v>
      </c>
      <c r="F3" s="141">
        <f>CORREL(F6:F36,G6:G36)</f>
        <v>0.90196746026790653</v>
      </c>
      <c r="G3" s="61"/>
      <c r="H3" s="61"/>
      <c r="M3"/>
    </row>
    <row r="4" spans="1:19" ht="18.75" x14ac:dyDescent="0.25">
      <c r="A4" s="143"/>
      <c r="B4" s="143"/>
      <c r="C4" s="143"/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50"/>
      <c r="J4" s="103"/>
      <c r="K4" s="103"/>
      <c r="L4" s="103"/>
      <c r="M4" s="103"/>
      <c r="N4" s="103"/>
      <c r="O4" s="103"/>
      <c r="P4" s="103"/>
      <c r="Q4" s="103"/>
      <c r="R4" s="104"/>
      <c r="S4" s="104"/>
    </row>
    <row r="5" spans="1:19" ht="18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/>
      <c r="K5" s="104"/>
      <c r="L5" s="151"/>
      <c r="M5" s="151"/>
      <c r="N5" s="151"/>
      <c r="O5" s="104"/>
      <c r="P5" s="104"/>
      <c r="Q5" s="104"/>
      <c r="R5" s="104"/>
      <c r="S5" s="104"/>
    </row>
    <row r="6" spans="1:19" ht="15.75" x14ac:dyDescent="0.25">
      <c r="A6" s="108" t="s">
        <v>469</v>
      </c>
      <c r="B6" s="114">
        <v>31.6</v>
      </c>
      <c r="C6" s="114">
        <v>450</v>
      </c>
      <c r="D6" s="115">
        <v>0.23</v>
      </c>
      <c r="E6" s="115">
        <v>0.45799999999999996</v>
      </c>
      <c r="F6" s="115">
        <v>0.312</v>
      </c>
      <c r="G6" s="115">
        <v>0.27600000000000002</v>
      </c>
      <c r="H6" s="112">
        <v>0.56200000000000006</v>
      </c>
      <c r="I6" s="149"/>
      <c r="J6" s="106"/>
      <c r="K6" s="104"/>
      <c r="L6" s="151"/>
      <c r="M6" s="152"/>
      <c r="N6" s="104"/>
      <c r="O6" s="104"/>
      <c r="P6" s="104"/>
      <c r="Q6" s="104"/>
      <c r="R6" s="104"/>
      <c r="S6" s="104"/>
    </row>
    <row r="7" spans="1:19" ht="15.75" x14ac:dyDescent="0.25">
      <c r="A7" s="113" t="s">
        <v>462</v>
      </c>
      <c r="B7" s="109">
        <v>19.399999999999999</v>
      </c>
      <c r="C7" s="109">
        <v>480</v>
      </c>
      <c r="D7" s="110">
        <v>0.23</v>
      </c>
      <c r="E7" s="110">
        <v>0.45799999999999996</v>
      </c>
      <c r="F7" s="110">
        <v>0.312</v>
      </c>
      <c r="G7" s="110">
        <v>0.27600000000000002</v>
      </c>
      <c r="H7" s="111">
        <v>0.41</v>
      </c>
      <c r="I7" s="105"/>
      <c r="J7" s="106"/>
      <c r="K7" s="104"/>
      <c r="L7" s="151"/>
      <c r="M7" s="152"/>
      <c r="N7" s="104"/>
      <c r="O7" s="104"/>
      <c r="P7" s="104"/>
      <c r="Q7" s="104"/>
      <c r="R7" s="104"/>
      <c r="S7" s="104"/>
    </row>
    <row r="8" spans="1:19" ht="15.75" x14ac:dyDescent="0.25">
      <c r="A8" s="108" t="s">
        <v>462</v>
      </c>
      <c r="B8" s="109">
        <v>7.7</v>
      </c>
      <c r="C8" s="109">
        <v>500</v>
      </c>
      <c r="D8" s="110">
        <v>0.222</v>
      </c>
      <c r="E8" s="110">
        <v>0.44400000000000001</v>
      </c>
      <c r="F8" s="110">
        <v>0.33399999999999996</v>
      </c>
      <c r="G8" s="110">
        <v>0.32400000000000001</v>
      </c>
      <c r="H8" s="111">
        <v>1.28</v>
      </c>
      <c r="I8" s="105"/>
      <c r="J8" s="106"/>
      <c r="K8" s="104"/>
      <c r="L8" s="151"/>
      <c r="M8" s="152"/>
      <c r="N8" s="104"/>
      <c r="O8" s="104"/>
      <c r="P8" s="104"/>
      <c r="Q8" s="104"/>
      <c r="R8" s="104"/>
      <c r="S8" s="104"/>
    </row>
    <row r="9" spans="1:19" ht="15.75" x14ac:dyDescent="0.25">
      <c r="A9" s="108" t="s">
        <v>462</v>
      </c>
      <c r="B9" s="109">
        <v>28.5</v>
      </c>
      <c r="C9" s="109">
        <v>500</v>
      </c>
      <c r="D9" s="110">
        <v>0.222</v>
      </c>
      <c r="E9" s="110">
        <v>0.44400000000000001</v>
      </c>
      <c r="F9" s="110">
        <v>0.33399999999999996</v>
      </c>
      <c r="G9" s="110">
        <v>0.27600000000000002</v>
      </c>
      <c r="H9" s="111">
        <v>1.1000000000000001</v>
      </c>
      <c r="I9" s="105"/>
      <c r="J9" s="106"/>
      <c r="K9" s="104"/>
      <c r="L9" s="151"/>
      <c r="M9" s="152"/>
      <c r="N9" s="104"/>
      <c r="O9" s="104"/>
      <c r="P9" s="104"/>
      <c r="Q9" s="104"/>
      <c r="R9" s="104"/>
      <c r="S9" s="104"/>
    </row>
    <row r="10" spans="1:19" ht="15.75" x14ac:dyDescent="0.25">
      <c r="A10" s="108" t="s">
        <v>462</v>
      </c>
      <c r="B10" s="109">
        <v>20.399999999999999</v>
      </c>
      <c r="C10" s="109">
        <v>520</v>
      </c>
      <c r="D10" s="110">
        <v>0.23</v>
      </c>
      <c r="E10" s="110">
        <v>0.45799999999999996</v>
      </c>
      <c r="F10" s="110">
        <v>0.312</v>
      </c>
      <c r="G10" s="110">
        <v>0.26300000000000001</v>
      </c>
      <c r="H10" s="111">
        <v>0.62</v>
      </c>
      <c r="I10" s="105"/>
      <c r="J10" s="106"/>
      <c r="K10" s="104"/>
      <c r="L10" s="151"/>
      <c r="M10" s="152"/>
      <c r="N10" s="104"/>
      <c r="O10" s="104"/>
      <c r="P10" s="104"/>
      <c r="Q10" s="104"/>
      <c r="R10" s="104"/>
      <c r="S10" s="104"/>
    </row>
    <row r="11" spans="1:19" ht="15.75" x14ac:dyDescent="0.25">
      <c r="A11" s="108" t="s">
        <v>462</v>
      </c>
      <c r="B11" s="109">
        <v>5.9</v>
      </c>
      <c r="C11" s="109">
        <v>525</v>
      </c>
      <c r="D11" s="110">
        <v>0.23</v>
      </c>
      <c r="E11" s="110">
        <v>0.45799999999999996</v>
      </c>
      <c r="F11" s="110">
        <v>0.312</v>
      </c>
      <c r="G11" s="110">
        <v>0.32600000000000001</v>
      </c>
      <c r="H11" s="111">
        <v>2.09</v>
      </c>
      <c r="I11" s="105"/>
      <c r="J11" s="106"/>
      <c r="K11" s="151"/>
      <c r="L11" s="151"/>
      <c r="M11" s="152"/>
      <c r="N11" s="104"/>
      <c r="O11" s="104"/>
      <c r="P11" s="104"/>
      <c r="Q11" s="104"/>
      <c r="R11" s="104"/>
      <c r="S11" s="104"/>
    </row>
    <row r="12" spans="1:19" ht="15.75" x14ac:dyDescent="0.25">
      <c r="A12" s="108" t="s">
        <v>462</v>
      </c>
      <c r="B12" s="109">
        <v>5.9</v>
      </c>
      <c r="C12" s="109">
        <v>525</v>
      </c>
      <c r="D12" s="110">
        <v>0.23</v>
      </c>
      <c r="E12" s="110">
        <v>0.45799999999999996</v>
      </c>
      <c r="F12" s="110">
        <v>0.312</v>
      </c>
      <c r="G12" s="110">
        <v>0.32600000000000001</v>
      </c>
      <c r="H12" s="111">
        <v>2.09</v>
      </c>
      <c r="I12" s="105"/>
      <c r="J12" s="106"/>
      <c r="K12" s="104"/>
      <c r="L12" s="151"/>
      <c r="M12" s="152"/>
      <c r="N12" s="104"/>
      <c r="O12" s="104"/>
      <c r="P12" s="104"/>
      <c r="Q12" s="104"/>
      <c r="R12" s="104"/>
      <c r="S12" s="104"/>
    </row>
    <row r="13" spans="1:19" ht="15.75" x14ac:dyDescent="0.25">
      <c r="A13" s="108" t="s">
        <v>462</v>
      </c>
      <c r="B13" s="109">
        <v>18.8</v>
      </c>
      <c r="C13" s="109">
        <v>525</v>
      </c>
      <c r="D13" s="110">
        <v>0.22</v>
      </c>
      <c r="E13" s="110">
        <v>0.43799999999999994</v>
      </c>
      <c r="F13" s="110">
        <v>0.34200000000000003</v>
      </c>
      <c r="G13" s="110">
        <v>0.312</v>
      </c>
      <c r="H13" s="111">
        <v>1.08</v>
      </c>
      <c r="I13" s="105"/>
      <c r="J13" s="106"/>
      <c r="K13" s="104"/>
      <c r="L13" s="151"/>
      <c r="M13" s="152"/>
      <c r="N13" s="104"/>
      <c r="O13" s="104"/>
      <c r="P13" s="104"/>
      <c r="Q13" s="104"/>
      <c r="R13" s="104"/>
      <c r="S13" s="104"/>
    </row>
    <row r="14" spans="1:19" ht="15.75" x14ac:dyDescent="0.25">
      <c r="A14" s="108" t="s">
        <v>462</v>
      </c>
      <c r="B14" s="109">
        <v>18.8</v>
      </c>
      <c r="C14" s="109">
        <v>525</v>
      </c>
      <c r="D14" s="110">
        <v>0.23</v>
      </c>
      <c r="E14" s="110">
        <v>0.45799999999999996</v>
      </c>
      <c r="F14" s="110">
        <v>0.312</v>
      </c>
      <c r="G14" s="110">
        <v>0.313</v>
      </c>
      <c r="H14" s="111">
        <v>1.56</v>
      </c>
      <c r="I14" s="105"/>
      <c r="J14" s="106"/>
      <c r="K14" s="104"/>
      <c r="L14" s="151"/>
      <c r="M14" s="152"/>
      <c r="N14" s="104"/>
      <c r="O14" s="104"/>
      <c r="P14" s="104"/>
      <c r="Q14" s="104"/>
      <c r="R14" s="104"/>
      <c r="S14" s="104"/>
    </row>
    <row r="15" spans="1:19" ht="15.75" x14ac:dyDescent="0.25">
      <c r="A15" s="108" t="s">
        <v>462</v>
      </c>
      <c r="B15" s="109">
        <v>18.8</v>
      </c>
      <c r="C15" s="109">
        <v>525</v>
      </c>
      <c r="D15" s="110">
        <v>0.23</v>
      </c>
      <c r="E15" s="110">
        <v>0.45799999999999996</v>
      </c>
      <c r="F15" s="110">
        <v>0.312</v>
      </c>
      <c r="G15" s="110">
        <v>0.3</v>
      </c>
      <c r="H15" s="111">
        <v>1.33</v>
      </c>
      <c r="I15" s="105"/>
      <c r="J15" s="106"/>
      <c r="K15" s="104"/>
      <c r="L15" s="151"/>
      <c r="M15" s="152"/>
      <c r="N15" s="104"/>
      <c r="O15" s="104"/>
      <c r="P15" s="104"/>
      <c r="Q15" s="104"/>
      <c r="R15" s="104"/>
      <c r="S15" s="104"/>
    </row>
    <row r="16" spans="1:19" ht="15.75" x14ac:dyDescent="0.25">
      <c r="A16" s="108" t="s">
        <v>462</v>
      </c>
      <c r="B16" s="109">
        <v>27.5</v>
      </c>
      <c r="C16" s="109">
        <v>525</v>
      </c>
      <c r="D16" s="110">
        <v>0.23</v>
      </c>
      <c r="E16" s="110">
        <v>0.45799999999999996</v>
      </c>
      <c r="F16" s="110">
        <v>0.312</v>
      </c>
      <c r="G16" s="110">
        <v>0.188</v>
      </c>
      <c r="H16" s="111">
        <v>0.28000000000000003</v>
      </c>
      <c r="I16" s="105"/>
      <c r="J16" s="106"/>
      <c r="K16" s="104"/>
      <c r="L16" s="151"/>
      <c r="M16" s="152"/>
      <c r="N16" s="104"/>
      <c r="O16" s="104"/>
      <c r="P16" s="104"/>
      <c r="Q16" s="104"/>
      <c r="R16" s="104"/>
      <c r="S16" s="104"/>
    </row>
    <row r="17" spans="1:19" ht="15.75" x14ac:dyDescent="0.25">
      <c r="A17" s="108" t="s">
        <v>462</v>
      </c>
      <c r="B17" s="109">
        <v>8.3000000000000007</v>
      </c>
      <c r="C17" s="109">
        <v>550</v>
      </c>
      <c r="D17" s="110">
        <v>0.222</v>
      </c>
      <c r="E17" s="110">
        <v>0.44400000000000001</v>
      </c>
      <c r="F17" s="110">
        <v>0.33399999999999996</v>
      </c>
      <c r="G17" s="110">
        <v>0.314</v>
      </c>
      <c r="H17" s="111">
        <v>1.84</v>
      </c>
      <c r="I17" s="105"/>
      <c r="J17" s="106"/>
      <c r="K17" s="104"/>
      <c r="L17" s="151"/>
      <c r="M17" s="152"/>
      <c r="N17" s="104"/>
      <c r="O17" s="104"/>
      <c r="P17" s="104"/>
      <c r="Q17" s="104"/>
      <c r="R17" s="104"/>
      <c r="S17" s="104"/>
    </row>
    <row r="18" spans="1:19" ht="15.75" x14ac:dyDescent="0.25">
      <c r="A18" s="108" t="s">
        <v>462</v>
      </c>
      <c r="B18" s="109">
        <v>26.3</v>
      </c>
      <c r="C18" s="109">
        <v>550</v>
      </c>
      <c r="D18" s="110">
        <v>0.222</v>
      </c>
      <c r="E18" s="110">
        <v>0.44400000000000001</v>
      </c>
      <c r="F18" s="110">
        <v>0.33399999999999996</v>
      </c>
      <c r="G18" s="110">
        <v>0.29699999999999999</v>
      </c>
      <c r="H18" s="111">
        <v>1.46</v>
      </c>
      <c r="I18" s="105"/>
      <c r="J18" s="106"/>
      <c r="K18" s="104"/>
      <c r="L18" s="151"/>
      <c r="M18" s="152"/>
      <c r="N18" s="104"/>
      <c r="O18" s="104"/>
      <c r="P18" s="104"/>
      <c r="Q18" s="104"/>
      <c r="R18" s="104"/>
      <c r="S18" s="104"/>
    </row>
    <row r="19" spans="1:19" ht="15.75" x14ac:dyDescent="0.25">
      <c r="A19" s="108" t="s">
        <v>469</v>
      </c>
      <c r="B19" s="114">
        <v>27.2</v>
      </c>
      <c r="C19" s="114">
        <v>550</v>
      </c>
      <c r="D19" s="115">
        <v>0.23</v>
      </c>
      <c r="E19" s="115">
        <v>0.45799999999999996</v>
      </c>
      <c r="F19" s="115">
        <v>0.312</v>
      </c>
      <c r="G19" s="115">
        <v>0.26800000000000002</v>
      </c>
      <c r="H19" s="112">
        <v>0.98199999999999998</v>
      </c>
      <c r="I19" s="105"/>
      <c r="J19" s="106"/>
      <c r="K19" s="104"/>
      <c r="L19" s="151"/>
      <c r="M19" s="152"/>
      <c r="N19" s="104"/>
      <c r="O19" s="104"/>
      <c r="P19" s="104"/>
      <c r="Q19" s="104"/>
      <c r="R19" s="104"/>
      <c r="S19" s="104"/>
    </row>
    <row r="20" spans="1:19" ht="15.75" x14ac:dyDescent="0.25">
      <c r="A20" s="108" t="s">
        <v>468</v>
      </c>
      <c r="B20" s="116">
        <v>28.4</v>
      </c>
      <c r="C20" s="114">
        <v>550</v>
      </c>
      <c r="D20" s="115">
        <v>0.23</v>
      </c>
      <c r="E20" s="115">
        <v>0.45799999999999996</v>
      </c>
      <c r="F20" s="115">
        <v>0.312</v>
      </c>
      <c r="G20" s="115">
        <v>0.30299999999999999</v>
      </c>
      <c r="H20" s="112">
        <v>1.2</v>
      </c>
      <c r="I20" s="105"/>
      <c r="J20" s="106"/>
      <c r="K20" s="104"/>
      <c r="L20" s="151"/>
      <c r="M20" s="152"/>
      <c r="N20" s="104"/>
      <c r="O20" s="104"/>
      <c r="P20" s="104"/>
      <c r="Q20" s="104"/>
      <c r="R20" s="104"/>
      <c r="S20" s="104"/>
    </row>
    <row r="21" spans="1:19" ht="15.75" x14ac:dyDescent="0.25">
      <c r="A21" s="108" t="s">
        <v>468</v>
      </c>
      <c r="B21" s="116">
        <v>28.4</v>
      </c>
      <c r="C21" s="114">
        <v>550</v>
      </c>
      <c r="D21" s="115">
        <v>0.23</v>
      </c>
      <c r="E21" s="115">
        <v>0.45799999999999996</v>
      </c>
      <c r="F21" s="115">
        <v>0.312</v>
      </c>
      <c r="G21" s="115">
        <v>0.26500000000000001</v>
      </c>
      <c r="H21" s="112">
        <v>0.93200000000000005</v>
      </c>
      <c r="I21" s="105"/>
      <c r="J21" s="106"/>
      <c r="K21" s="104"/>
      <c r="L21" s="151"/>
      <c r="M21" s="152"/>
      <c r="N21" s="104"/>
      <c r="O21" s="104"/>
      <c r="P21" s="104"/>
      <c r="Q21" s="104"/>
      <c r="R21" s="104"/>
      <c r="S21" s="104"/>
    </row>
    <row r="22" spans="1:19" ht="15.75" x14ac:dyDescent="0.25">
      <c r="A22" s="88" t="s">
        <v>462</v>
      </c>
      <c r="B22" s="117">
        <v>7.7</v>
      </c>
      <c r="C22" s="117">
        <v>500</v>
      </c>
      <c r="D22" s="118">
        <v>0.23800000000000002</v>
      </c>
      <c r="E22" s="118">
        <v>0.47600000000000003</v>
      </c>
      <c r="F22" s="118">
        <v>0.28600000000000003</v>
      </c>
      <c r="G22" s="118">
        <v>0.23</v>
      </c>
      <c r="H22" s="119">
        <v>0.64100000000000001</v>
      </c>
      <c r="I22" s="105"/>
      <c r="J22" s="106"/>
      <c r="K22" s="104"/>
      <c r="L22" s="151"/>
      <c r="M22" s="152"/>
      <c r="N22" s="104"/>
      <c r="O22" s="104"/>
      <c r="P22" s="104"/>
      <c r="Q22" s="104"/>
      <c r="R22" s="104"/>
      <c r="S22" s="104"/>
    </row>
    <row r="23" spans="1:19" ht="15.75" x14ac:dyDescent="0.25">
      <c r="A23" s="88" t="s">
        <v>462</v>
      </c>
      <c r="B23" s="117">
        <v>8.1999999999999993</v>
      </c>
      <c r="C23" s="117">
        <v>550</v>
      </c>
      <c r="D23" s="118">
        <v>0.23800000000000002</v>
      </c>
      <c r="E23" s="118">
        <v>0.47600000000000003</v>
      </c>
      <c r="F23" s="118">
        <v>0.28600000000000003</v>
      </c>
      <c r="G23" s="118">
        <v>0.26100000000000001</v>
      </c>
      <c r="H23" s="119">
        <v>1.19</v>
      </c>
      <c r="I23" s="107"/>
      <c r="J23" s="107"/>
      <c r="K23" s="104"/>
      <c r="L23" s="151"/>
      <c r="M23" s="152"/>
      <c r="N23" s="104"/>
      <c r="O23" s="104"/>
      <c r="P23" s="104"/>
      <c r="Q23" s="104"/>
      <c r="R23" s="104"/>
      <c r="S23" s="104"/>
    </row>
    <row r="24" spans="1:19" ht="15.75" x14ac:dyDescent="0.25">
      <c r="A24" s="88" t="s">
        <v>462</v>
      </c>
      <c r="B24" s="117">
        <v>26.3</v>
      </c>
      <c r="C24" s="117">
        <v>550</v>
      </c>
      <c r="D24" s="118">
        <v>0.23800000000000002</v>
      </c>
      <c r="E24" s="118">
        <v>0.47600000000000003</v>
      </c>
      <c r="F24" s="118">
        <v>0.28600000000000003</v>
      </c>
      <c r="G24" s="118">
        <v>0.3</v>
      </c>
      <c r="H24" s="119">
        <v>1.6</v>
      </c>
      <c r="I24" s="107"/>
      <c r="J24" s="107"/>
      <c r="K24" s="104"/>
      <c r="L24" s="151"/>
      <c r="M24" s="152"/>
      <c r="N24" s="104"/>
      <c r="O24" s="104"/>
      <c r="P24" s="104"/>
      <c r="Q24" s="104"/>
      <c r="R24" s="104"/>
      <c r="S24" s="104"/>
    </row>
    <row r="25" spans="1:19" ht="15.75" x14ac:dyDescent="0.25">
      <c r="A25" s="88" t="s">
        <v>462</v>
      </c>
      <c r="B25" s="117">
        <v>28.5</v>
      </c>
      <c r="C25" s="117">
        <v>500</v>
      </c>
      <c r="D25" s="118">
        <v>0.23800000000000002</v>
      </c>
      <c r="E25" s="118">
        <v>0.47600000000000003</v>
      </c>
      <c r="F25" s="118">
        <v>0.28600000000000003</v>
      </c>
      <c r="G25" s="118">
        <v>0.22</v>
      </c>
      <c r="H25" s="119">
        <v>0.63200000000000001</v>
      </c>
      <c r="I25" s="107"/>
      <c r="J25" s="107"/>
      <c r="K25" s="104"/>
      <c r="L25" s="151"/>
      <c r="M25" s="152"/>
      <c r="N25" s="104"/>
      <c r="O25" s="104"/>
      <c r="P25" s="104"/>
      <c r="Q25" s="104"/>
      <c r="R25" s="104"/>
      <c r="S25" s="104"/>
    </row>
    <row r="26" spans="1:19" ht="15.75" x14ac:dyDescent="0.25">
      <c r="A26" s="88" t="s">
        <v>462</v>
      </c>
      <c r="B26" s="117">
        <v>18.8</v>
      </c>
      <c r="C26" s="117">
        <v>525</v>
      </c>
      <c r="D26" s="118">
        <v>0.24</v>
      </c>
      <c r="E26" s="118">
        <v>0.48399999999999999</v>
      </c>
      <c r="F26" s="118">
        <v>0.27600000000000002</v>
      </c>
      <c r="G26" s="118">
        <v>0.23100000000000001</v>
      </c>
      <c r="H26" s="119">
        <v>1.1000000000000001</v>
      </c>
      <c r="I26" s="107"/>
      <c r="J26" s="107"/>
      <c r="K26" s="104"/>
      <c r="L26" s="151"/>
      <c r="M26" s="152"/>
      <c r="N26" s="104"/>
      <c r="O26" s="104"/>
      <c r="P26" s="104"/>
      <c r="Q26" s="104"/>
      <c r="R26" s="104"/>
      <c r="S26" s="104"/>
    </row>
    <row r="27" spans="1:19" ht="15.75" x14ac:dyDescent="0.25">
      <c r="A27" s="87" t="s">
        <v>469</v>
      </c>
      <c r="B27" s="93">
        <v>27.8</v>
      </c>
      <c r="C27" s="93">
        <v>550</v>
      </c>
      <c r="D27" s="101">
        <v>0.16</v>
      </c>
      <c r="E27" s="101">
        <v>0.5</v>
      </c>
      <c r="F27" s="101">
        <v>0.34</v>
      </c>
      <c r="G27" s="101">
        <v>0.27400000000000002</v>
      </c>
      <c r="H27" s="98">
        <v>0.77100000000000002</v>
      </c>
      <c r="I27" s="107"/>
      <c r="J27" s="107"/>
      <c r="K27" s="104"/>
      <c r="L27" s="151"/>
      <c r="M27" s="152"/>
      <c r="N27" s="104"/>
      <c r="O27" s="104"/>
      <c r="P27" s="104"/>
      <c r="Q27" s="104"/>
      <c r="R27" s="104"/>
      <c r="S27" s="104"/>
    </row>
    <row r="28" spans="1:19" ht="15.75" x14ac:dyDescent="0.25">
      <c r="A28" s="87" t="s">
        <v>468</v>
      </c>
      <c r="B28" s="125">
        <v>28.7</v>
      </c>
      <c r="C28" s="93">
        <v>450</v>
      </c>
      <c r="D28" s="101">
        <v>0.16</v>
      </c>
      <c r="E28" s="101">
        <v>0.5</v>
      </c>
      <c r="F28" s="101">
        <v>0.34</v>
      </c>
      <c r="G28" s="101">
        <v>0.255</v>
      </c>
      <c r="H28" s="98">
        <v>0.72399999999999998</v>
      </c>
      <c r="I28" s="107"/>
      <c r="J28" s="107"/>
      <c r="K28" s="104"/>
      <c r="L28" s="151"/>
      <c r="M28" s="152"/>
      <c r="N28" s="104"/>
      <c r="O28" s="104"/>
      <c r="P28" s="104"/>
      <c r="Q28" s="104"/>
      <c r="R28" s="104"/>
      <c r="S28" s="104"/>
    </row>
    <row r="29" spans="1:19" ht="15.75" x14ac:dyDescent="0.25">
      <c r="A29" s="87" t="s">
        <v>468</v>
      </c>
      <c r="B29" s="126">
        <v>29.3</v>
      </c>
      <c r="C29" s="93">
        <v>450</v>
      </c>
      <c r="D29" s="101">
        <v>0.16</v>
      </c>
      <c r="E29" s="101">
        <v>0.5</v>
      </c>
      <c r="F29" s="101">
        <v>0.34</v>
      </c>
      <c r="G29" s="101">
        <v>0.314</v>
      </c>
      <c r="H29" s="98">
        <v>0.94499999999999995</v>
      </c>
      <c r="I29" s="107"/>
      <c r="J29" s="107"/>
      <c r="K29" s="104"/>
      <c r="L29" s="151"/>
      <c r="M29" s="152"/>
      <c r="N29" s="104"/>
      <c r="O29" s="104"/>
      <c r="P29" s="104"/>
      <c r="Q29" s="104"/>
      <c r="R29" s="104"/>
      <c r="S29" s="104"/>
    </row>
    <row r="30" spans="1:19" ht="15.75" x14ac:dyDescent="0.25">
      <c r="A30" s="87" t="s">
        <v>469</v>
      </c>
      <c r="B30" s="93">
        <v>29.6</v>
      </c>
      <c r="C30" s="93">
        <v>450</v>
      </c>
      <c r="D30" s="101">
        <v>0.16</v>
      </c>
      <c r="E30" s="101">
        <v>0.5</v>
      </c>
      <c r="F30" s="101">
        <v>0.34</v>
      </c>
      <c r="G30" s="101">
        <v>0.309</v>
      </c>
      <c r="H30" s="98">
        <v>1.31</v>
      </c>
      <c r="I30" s="107"/>
      <c r="J30" s="107"/>
      <c r="K30" s="104"/>
      <c r="L30" s="151"/>
      <c r="M30" s="152"/>
      <c r="N30" s="104"/>
      <c r="O30" s="104"/>
      <c r="P30" s="104"/>
      <c r="Q30" s="104"/>
      <c r="R30" s="104"/>
      <c r="S30" s="104"/>
    </row>
    <row r="31" spans="1:19" ht="15.75" x14ac:dyDescent="0.25">
      <c r="A31" s="120" t="s">
        <v>468</v>
      </c>
      <c r="B31" s="124">
        <v>28.7</v>
      </c>
      <c r="C31" s="121">
        <v>450</v>
      </c>
      <c r="D31" s="122">
        <v>0.25800000000000001</v>
      </c>
      <c r="E31" s="122">
        <v>0.51600000000000001</v>
      </c>
      <c r="F31" s="122">
        <v>0.22600000000000001</v>
      </c>
      <c r="G31" s="122">
        <v>0.161</v>
      </c>
      <c r="H31" s="123">
        <v>0.45600000000000002</v>
      </c>
      <c r="I31" s="107"/>
      <c r="J31" s="107"/>
      <c r="K31" s="104"/>
      <c r="L31" s="151"/>
      <c r="M31" s="152"/>
      <c r="N31" s="104"/>
      <c r="O31" s="104"/>
      <c r="P31" s="104"/>
      <c r="Q31" s="104"/>
      <c r="R31" s="104"/>
      <c r="S31" s="104"/>
    </row>
    <row r="32" spans="1:19" ht="15.75" x14ac:dyDescent="0.25">
      <c r="A32" s="120" t="s">
        <v>468</v>
      </c>
      <c r="B32" s="124">
        <v>28.7</v>
      </c>
      <c r="C32" s="121">
        <v>450</v>
      </c>
      <c r="D32" s="122">
        <v>0.25800000000000001</v>
      </c>
      <c r="E32" s="122">
        <v>0.51600000000000001</v>
      </c>
      <c r="F32" s="122">
        <v>0.22600000000000001</v>
      </c>
      <c r="G32" s="122">
        <v>0.14000000000000001</v>
      </c>
      <c r="H32" s="123">
        <v>0.40100000000000002</v>
      </c>
      <c r="I32" s="107"/>
      <c r="J32" s="107"/>
      <c r="K32" s="104"/>
      <c r="L32" s="151"/>
      <c r="M32" s="152"/>
      <c r="N32" s="104"/>
      <c r="O32" s="104"/>
      <c r="P32" s="104"/>
      <c r="Q32" s="104"/>
      <c r="R32" s="104"/>
      <c r="S32" s="104"/>
    </row>
    <row r="33" spans="1:19" ht="15.75" x14ac:dyDescent="0.25">
      <c r="A33" s="136" t="s">
        <v>468</v>
      </c>
      <c r="B33" s="137">
        <v>27.8</v>
      </c>
      <c r="C33" s="138">
        <v>550</v>
      </c>
      <c r="D33" s="139">
        <v>0.182</v>
      </c>
      <c r="E33" s="139">
        <v>0.56799999999999995</v>
      </c>
      <c r="F33" s="139">
        <v>0.25</v>
      </c>
      <c r="G33" s="139">
        <v>0.16900000000000001</v>
      </c>
      <c r="H33" s="140">
        <v>0.47799999999999998</v>
      </c>
      <c r="I33" s="107"/>
      <c r="J33" s="107"/>
      <c r="K33" s="104"/>
      <c r="L33" s="151"/>
      <c r="M33" s="152"/>
      <c r="N33" s="104"/>
      <c r="O33" s="104"/>
      <c r="P33" s="104"/>
      <c r="Q33" s="104"/>
      <c r="R33" s="104"/>
      <c r="S33" s="104"/>
    </row>
    <row r="34" spans="1:19" ht="15.75" x14ac:dyDescent="0.25">
      <c r="A34" s="136" t="s">
        <v>468</v>
      </c>
      <c r="B34" s="137">
        <v>28.4</v>
      </c>
      <c r="C34" s="138">
        <v>550</v>
      </c>
      <c r="D34" s="139">
        <v>0.182</v>
      </c>
      <c r="E34" s="139">
        <v>0.56799999999999995</v>
      </c>
      <c r="F34" s="139">
        <v>0.25</v>
      </c>
      <c r="G34" s="139">
        <v>0.14299999999999999</v>
      </c>
      <c r="H34" s="140">
        <v>0.51100000000000001</v>
      </c>
      <c r="I34" s="107"/>
      <c r="J34" s="107"/>
      <c r="K34" s="104"/>
      <c r="L34" s="151"/>
      <c r="M34" s="152"/>
      <c r="N34" s="104"/>
      <c r="O34" s="104"/>
      <c r="P34" s="104"/>
      <c r="Q34" s="104"/>
      <c r="R34" s="104"/>
      <c r="S34" s="104"/>
    </row>
    <row r="35" spans="1:19" ht="15.75" x14ac:dyDescent="0.25">
      <c r="A35" s="127" t="s">
        <v>469</v>
      </c>
      <c r="B35" s="128">
        <v>30.5</v>
      </c>
      <c r="C35" s="129">
        <v>450</v>
      </c>
      <c r="D35" s="130">
        <v>0.29399999999999998</v>
      </c>
      <c r="E35" s="130">
        <v>0.58799999999999997</v>
      </c>
      <c r="F35" s="130">
        <v>0.11800000000000001</v>
      </c>
      <c r="G35" s="130">
        <v>6.2E-2</v>
      </c>
      <c r="H35" s="131">
        <v>0.111</v>
      </c>
      <c r="I35" s="107"/>
      <c r="J35" s="107"/>
      <c r="K35" s="104"/>
      <c r="L35" s="151"/>
      <c r="M35" s="152"/>
      <c r="N35" s="104"/>
      <c r="O35" s="104"/>
      <c r="P35" s="104"/>
      <c r="Q35" s="104"/>
      <c r="R35" s="104"/>
      <c r="S35" s="104"/>
    </row>
    <row r="36" spans="1:19" ht="15.75" x14ac:dyDescent="0.25">
      <c r="A36" s="132" t="s">
        <v>469</v>
      </c>
      <c r="B36" s="133">
        <v>30.6</v>
      </c>
      <c r="C36" s="133">
        <v>450</v>
      </c>
      <c r="D36" s="134">
        <v>0.21</v>
      </c>
      <c r="E36" s="134">
        <v>0.65799999999999992</v>
      </c>
      <c r="F36" s="134">
        <v>0.13200000000000001</v>
      </c>
      <c r="G36" s="134">
        <v>5.3999999999999999E-2</v>
      </c>
      <c r="H36" s="135">
        <v>0.121</v>
      </c>
      <c r="I36" s="107"/>
      <c r="J36" s="107"/>
      <c r="K36" s="104"/>
      <c r="L36" s="151"/>
      <c r="M36" s="152"/>
      <c r="N36" s="104"/>
      <c r="O36" s="104"/>
      <c r="P36" s="104"/>
      <c r="Q36" s="104"/>
      <c r="R36" s="104"/>
      <c r="S36" s="104"/>
    </row>
    <row r="37" spans="1:19" x14ac:dyDescent="0.25">
      <c r="I37" s="104"/>
      <c r="J37" s="104"/>
    </row>
    <row r="64" spans="2:9" x14ac:dyDescent="0.25">
      <c r="B64" s="61"/>
      <c r="C64" s="61" t="s">
        <v>441</v>
      </c>
      <c r="D64" s="61"/>
      <c r="E64" s="61"/>
      <c r="F64" s="61"/>
      <c r="G64" s="61"/>
      <c r="H64" s="61"/>
      <c r="I64" s="61"/>
    </row>
    <row r="65" spans="3:11" x14ac:dyDescent="0.25">
      <c r="C65" t="s">
        <v>435</v>
      </c>
      <c r="D65" s="64">
        <f>AVERAGE(D7:D22)</f>
        <v>0.22787499999999999</v>
      </c>
      <c r="E65" s="64">
        <f>AVERAGE(E7:E22)</f>
        <v>0.45437500000000003</v>
      </c>
      <c r="F65" s="64">
        <f>AVERAGE(F7:F22)</f>
        <v>0.31774999999999998</v>
      </c>
      <c r="G65" s="64">
        <f>AVERAGE(G7:G22)</f>
        <v>0.28631250000000003</v>
      </c>
      <c r="H65" s="64">
        <f>AVERAGE(H7:H22)</f>
        <v>1.1809374999999998</v>
      </c>
    </row>
    <row r="66" spans="3:11" x14ac:dyDescent="0.25">
      <c r="C66" t="s">
        <v>436</v>
      </c>
      <c r="D66" s="41">
        <f>_xlfn.STDEV.P(D7:D22)</f>
        <v>4.6620140497428833E-3</v>
      </c>
      <c r="E66" s="41">
        <f>_xlfn.STDEV.P(E7:E22)</f>
        <v>9.0060743390225247E-3</v>
      </c>
      <c r="F66" s="41">
        <f>_xlfn.STDEV.P(F7:F22)</f>
        <v>1.3654211804421361E-2</v>
      </c>
      <c r="G66" s="41">
        <f>_xlfn.STDEV.P(G7:G22)</f>
        <v>3.6803054815463351E-2</v>
      </c>
      <c r="H66" s="41">
        <f>_xlfn.STDEV.P(H7:H22)</f>
        <v>0.52865483407772829</v>
      </c>
      <c r="K66">
        <v>0.45946666666666669</v>
      </c>
    </row>
    <row r="67" spans="3:11" x14ac:dyDescent="0.25">
      <c r="C67" t="s">
        <v>437</v>
      </c>
      <c r="D67">
        <f>MIN(D7:D22)</f>
        <v>0.22</v>
      </c>
      <c r="E67">
        <f>MIN(E7:E22)</f>
        <v>0.43799999999999994</v>
      </c>
      <c r="F67">
        <f>MIN(F7:F22)</f>
        <v>0.28600000000000003</v>
      </c>
      <c r="G67">
        <f>MIN(G7:G22)</f>
        <v>0.188</v>
      </c>
      <c r="H67">
        <f>MIN(H7:H22)</f>
        <v>0.28000000000000003</v>
      </c>
      <c r="K67">
        <v>0.23</v>
      </c>
    </row>
    <row r="68" spans="3:11" x14ac:dyDescent="0.25">
      <c r="C68" t="s">
        <v>438</v>
      </c>
      <c r="D68">
        <f>MAX(D7:D22)</f>
        <v>0.23800000000000002</v>
      </c>
      <c r="E68">
        <f>MAX(E7:E22)</f>
        <v>0.47600000000000003</v>
      </c>
      <c r="F68">
        <f>MAX(F7:F22)</f>
        <v>0.34200000000000003</v>
      </c>
      <c r="G68">
        <f>MAX(G7:G22)</f>
        <v>0.32600000000000001</v>
      </c>
      <c r="H68">
        <f>MAX(H7:H22)</f>
        <v>2.09</v>
      </c>
      <c r="K68">
        <v>0.31053333333333327</v>
      </c>
    </row>
    <row r="69" spans="3:11" x14ac:dyDescent="0.25">
      <c r="C69" t="s">
        <v>439</v>
      </c>
      <c r="D69">
        <f>D68-D67</f>
        <v>1.8000000000000016E-2</v>
      </c>
      <c r="E69">
        <f t="shared" ref="E69:H69" si="0">E68-E67</f>
        <v>3.8000000000000089E-2</v>
      </c>
      <c r="F69">
        <f t="shared" si="0"/>
        <v>5.5999999999999994E-2</v>
      </c>
      <c r="G69">
        <f t="shared" si="0"/>
        <v>0.13800000000000001</v>
      </c>
      <c r="H69">
        <f t="shared" si="0"/>
        <v>1.8099999999999998</v>
      </c>
    </row>
  </sheetData>
  <sortState ref="A6:H21">
    <sortCondition ref="C6:C21"/>
    <sortCondition ref="B6:B21"/>
  </sortState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J24" sqref="J24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/>
      <c r="Q1" s="71" t="s">
        <v>429</v>
      </c>
    </row>
    <row r="2" spans="1:17" ht="15" customHeight="1" x14ac:dyDescent="0.25">
      <c r="A2" s="142" t="s">
        <v>472</v>
      </c>
      <c r="B2" s="141">
        <f>CORREL(B13:B46,H13:H46)</f>
        <v>-0.59452472841859627</v>
      </c>
      <c r="C2" s="141">
        <f>CORREL(C13:C46,H13:H46)</f>
        <v>0.6418717976772873</v>
      </c>
      <c r="D2" s="141">
        <f>CORREL(D13:D46,H13:H46)</f>
        <v>-0.52392289978824935</v>
      </c>
      <c r="E2" s="141">
        <f>CORREL(E13:E46,H13:H46)</f>
        <v>-0.51892725666671824</v>
      </c>
      <c r="F2" s="141">
        <f>CORREL(F13:F46,H13:H46)</f>
        <v>0.52068010528701569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-0.49043751766272781</v>
      </c>
      <c r="C3" s="141">
        <f>CORREL(C13:C46,G13:G46)</f>
        <v>0.63232679520659563</v>
      </c>
      <c r="D3" s="141">
        <f>CORREL(D13:D46,G13:G46)</f>
        <v>-0.8790544708599638</v>
      </c>
      <c r="E3" s="141">
        <f>CORREL(E13:E46,G13:G46)</f>
        <v>-0.88088253580764775</v>
      </c>
      <c r="F3" s="141">
        <f>CORREL(F13:F46,G13:G46)</f>
        <v>0.88045475603994661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87" t="s">
        <v>474</v>
      </c>
      <c r="B6" s="93">
        <v>27.8</v>
      </c>
      <c r="C6" s="93">
        <v>550</v>
      </c>
      <c r="D6" s="101">
        <v>0.16</v>
      </c>
      <c r="E6" s="101">
        <v>0.5</v>
      </c>
      <c r="F6" s="101">
        <v>0.34</v>
      </c>
      <c r="G6" s="101">
        <v>0.27400000000000002</v>
      </c>
      <c r="H6" s="98">
        <v>0.77100000000000002</v>
      </c>
      <c r="J6" s="151">
        <f>D6</f>
        <v>0.16</v>
      </c>
      <c r="K6" s="151">
        <f>E6</f>
        <v>0.5</v>
      </c>
      <c r="L6" s="151">
        <f>F6</f>
        <v>0.34</v>
      </c>
      <c r="M6" s="106" t="str">
        <f>A6</f>
        <v>A</v>
      </c>
      <c r="N6" s="68">
        <f>MIN(G6:G9)</f>
        <v>0.255</v>
      </c>
      <c r="O6" s="68">
        <f>AVERAGE(G6:G9)</f>
        <v>0.28799999999999998</v>
      </c>
      <c r="P6" s="68">
        <f>MAX(G6:G9)</f>
        <v>0.314</v>
      </c>
      <c r="Q6">
        <f>STDEV(G6:G9)</f>
        <v>2.8296053906272274E-2</v>
      </c>
    </row>
    <row r="7" spans="1:17" ht="15" customHeight="1" x14ac:dyDescent="0.25">
      <c r="A7" s="87" t="s">
        <v>474</v>
      </c>
      <c r="B7" s="125">
        <v>28.7</v>
      </c>
      <c r="C7" s="93">
        <v>450</v>
      </c>
      <c r="D7" s="101">
        <v>0.16</v>
      </c>
      <c r="E7" s="101">
        <v>0.5</v>
      </c>
      <c r="F7" s="101">
        <v>0.34</v>
      </c>
      <c r="G7" s="101">
        <v>0.255</v>
      </c>
      <c r="H7" s="98">
        <v>0.72399999999999998</v>
      </c>
      <c r="J7" s="151">
        <f>D10</f>
        <v>0.182</v>
      </c>
      <c r="K7" s="151">
        <f>E10</f>
        <v>0.56799999999999995</v>
      </c>
      <c r="L7" s="151">
        <f>F10</f>
        <v>0.25</v>
      </c>
      <c r="M7" s="106" t="str">
        <f>A10</f>
        <v>B</v>
      </c>
      <c r="N7" s="68">
        <f>MIN(G10:G13)</f>
        <v>5.3999999999999999E-2</v>
      </c>
      <c r="O7" s="68">
        <f>AVERAGE(G10:G13)</f>
        <v>0.16949999999999998</v>
      </c>
      <c r="P7" s="68">
        <f>MAX(G10:G13)</f>
        <v>0.312</v>
      </c>
      <c r="Q7">
        <f>STDEV(G10:G13)</f>
        <v>0.107003115219449</v>
      </c>
    </row>
    <row r="8" spans="1:17" ht="15" customHeight="1" x14ac:dyDescent="0.25">
      <c r="A8" s="87" t="s">
        <v>474</v>
      </c>
      <c r="B8" s="126">
        <v>29.3</v>
      </c>
      <c r="C8" s="93">
        <v>450</v>
      </c>
      <c r="D8" s="101">
        <v>0.16</v>
      </c>
      <c r="E8" s="101">
        <v>0.5</v>
      </c>
      <c r="F8" s="101">
        <v>0.34</v>
      </c>
      <c r="G8" s="101">
        <v>0.314</v>
      </c>
      <c r="H8" s="98">
        <v>0.94499999999999995</v>
      </c>
      <c r="J8" s="151">
        <f t="shared" ref="J8:L9" si="0">D12</f>
        <v>0.21</v>
      </c>
      <c r="K8" s="151">
        <f t="shared" si="0"/>
        <v>0.65799999999999992</v>
      </c>
      <c r="L8" s="151">
        <f t="shared" si="0"/>
        <v>0.13200000000000001</v>
      </c>
      <c r="M8" s="106" t="str">
        <f>A12</f>
        <v>C</v>
      </c>
      <c r="N8" s="68">
        <f>MIN(G12:G15)</f>
        <v>5.3999999999999999E-2</v>
      </c>
      <c r="O8" s="68">
        <f>AVERAGE(G12:G15)</f>
        <v>0.251</v>
      </c>
      <c r="P8" s="68">
        <f>MAX(G12:G15)</f>
        <v>0.32400000000000001</v>
      </c>
      <c r="Q8">
        <f>STDEV(G12:G15)</f>
        <v>0.13143819840518203</v>
      </c>
    </row>
    <row r="9" spans="1:17" ht="15" customHeight="1" x14ac:dyDescent="0.25">
      <c r="A9" s="87" t="s">
        <v>474</v>
      </c>
      <c r="B9" s="93">
        <v>29.6</v>
      </c>
      <c r="C9" s="93">
        <v>450</v>
      </c>
      <c r="D9" s="101">
        <v>0.16</v>
      </c>
      <c r="E9" s="101">
        <v>0.5</v>
      </c>
      <c r="F9" s="101">
        <v>0.34</v>
      </c>
      <c r="G9" s="101">
        <v>0.309</v>
      </c>
      <c r="H9" s="98">
        <v>1.31</v>
      </c>
      <c r="J9" s="151">
        <f t="shared" si="0"/>
        <v>0.22</v>
      </c>
      <c r="K9" s="151">
        <f t="shared" si="0"/>
        <v>0.43799999999999994</v>
      </c>
      <c r="L9" s="151">
        <f t="shared" si="0"/>
        <v>0.34200000000000003</v>
      </c>
      <c r="M9" s="106" t="str">
        <f>A13</f>
        <v>D</v>
      </c>
      <c r="N9" s="68">
        <f>MIN(G13:G16)</f>
        <v>0.29699999999999999</v>
      </c>
      <c r="O9" s="68">
        <f>AVERAGE(G13:G16)</f>
        <v>0.31174999999999997</v>
      </c>
      <c r="P9" s="68">
        <f>MAX(G13:G16)</f>
        <v>0.32400000000000001</v>
      </c>
      <c r="Q9">
        <f>STDEV(G13:G16)</f>
        <v>1.1146748404803987E-2</v>
      </c>
    </row>
    <row r="10" spans="1:17" ht="15" customHeight="1" x14ac:dyDescent="0.25">
      <c r="A10" s="136" t="s">
        <v>60</v>
      </c>
      <c r="B10" s="137">
        <v>27.8</v>
      </c>
      <c r="C10" s="138">
        <v>550</v>
      </c>
      <c r="D10" s="139">
        <v>0.182</v>
      </c>
      <c r="E10" s="139">
        <v>0.56799999999999995</v>
      </c>
      <c r="F10" s="139">
        <v>0.25</v>
      </c>
      <c r="G10" s="139">
        <v>0.16900000000000001</v>
      </c>
      <c r="H10" s="140">
        <v>0.47799999999999998</v>
      </c>
      <c r="J10" s="151">
        <f t="shared" ref="J10:L11" si="1">D28</f>
        <v>0.23</v>
      </c>
      <c r="K10" s="151">
        <f t="shared" si="1"/>
        <v>0.45799999999999996</v>
      </c>
      <c r="L10" s="151">
        <f t="shared" si="1"/>
        <v>0.312</v>
      </c>
      <c r="M10" s="106" t="str">
        <f>A28</f>
        <v>E</v>
      </c>
      <c r="N10" s="68">
        <f>MIN(G28:G31)</f>
        <v>0.23</v>
      </c>
      <c r="O10" s="68">
        <f>AVERAGE(G28:G31)</f>
        <v>0.26400000000000001</v>
      </c>
      <c r="P10" s="68">
        <f>MAX(G28:G31)</f>
        <v>0.3</v>
      </c>
      <c r="Q10">
        <f>STDEV(G28:G31)</f>
        <v>2.8647280266487187E-2</v>
      </c>
    </row>
    <row r="11" spans="1:17" ht="15" customHeight="1" x14ac:dyDescent="0.25">
      <c r="A11" s="136" t="s">
        <v>60</v>
      </c>
      <c r="B11" s="137">
        <v>28.4</v>
      </c>
      <c r="C11" s="138">
        <v>550</v>
      </c>
      <c r="D11" s="139">
        <v>0.182</v>
      </c>
      <c r="E11" s="139">
        <v>0.56799999999999995</v>
      </c>
      <c r="F11" s="139">
        <v>0.25</v>
      </c>
      <c r="G11" s="139">
        <v>0.14299999999999999</v>
      </c>
      <c r="H11" s="140">
        <v>0.51100000000000001</v>
      </c>
      <c r="J11" s="151">
        <f t="shared" si="1"/>
        <v>0.23800000000000002</v>
      </c>
      <c r="K11" s="151">
        <f t="shared" si="1"/>
        <v>0.47600000000000003</v>
      </c>
      <c r="L11" s="151">
        <f t="shared" si="1"/>
        <v>0.28600000000000003</v>
      </c>
      <c r="M11" s="106" t="str">
        <f>A29</f>
        <v>F</v>
      </c>
      <c r="N11" s="68">
        <f>MIN(G29:G32)</f>
        <v>0.22</v>
      </c>
      <c r="O11" s="68">
        <f>AVERAGE(G29:G32)</f>
        <v>0.25274999999999997</v>
      </c>
      <c r="P11" s="68">
        <f>MAX(G29:G32)</f>
        <v>0.3</v>
      </c>
      <c r="Q11">
        <f>STDEV(G29:G32)</f>
        <v>3.601272923101892E-2</v>
      </c>
    </row>
    <row r="12" spans="1:17" ht="15" customHeight="1" x14ac:dyDescent="0.25">
      <c r="A12" s="132" t="s">
        <v>81</v>
      </c>
      <c r="B12" s="133">
        <v>30.6</v>
      </c>
      <c r="C12" s="133">
        <v>450</v>
      </c>
      <c r="D12" s="134">
        <v>0.21</v>
      </c>
      <c r="E12" s="134">
        <v>0.65799999999999992</v>
      </c>
      <c r="F12" s="134">
        <v>0.13200000000000001</v>
      </c>
      <c r="G12" s="134">
        <v>5.3999999999999999E-2</v>
      </c>
      <c r="H12" s="135">
        <v>0.121</v>
      </c>
      <c r="J12" s="151">
        <f t="shared" ref="J12:L13" si="2">D35</f>
        <v>0.25800000000000001</v>
      </c>
      <c r="K12" s="151">
        <f t="shared" si="2"/>
        <v>0.51600000000000001</v>
      </c>
      <c r="L12" s="151">
        <f t="shared" si="2"/>
        <v>0.22600000000000001</v>
      </c>
      <c r="M12" s="106" t="str">
        <f>A35</f>
        <v>G</v>
      </c>
      <c r="N12" s="68">
        <f>MIN(G35:G38)</f>
        <v>6.2E-2</v>
      </c>
      <c r="O12" s="68">
        <f>AVERAGE(G35:G38)</f>
        <v>0.10100000000000001</v>
      </c>
      <c r="P12" s="68">
        <f>MAX(G35:G38)</f>
        <v>0.14000000000000001</v>
      </c>
      <c r="Q12">
        <f>STDEV(G35:G38)</f>
        <v>5.5154328932550706E-2</v>
      </c>
    </row>
    <row r="13" spans="1:17" ht="15" customHeight="1" x14ac:dyDescent="0.25">
      <c r="A13" s="89" t="s">
        <v>475</v>
      </c>
      <c r="B13" s="96">
        <v>18.8</v>
      </c>
      <c r="C13" s="96">
        <v>525</v>
      </c>
      <c r="D13" s="100">
        <v>0.22</v>
      </c>
      <c r="E13" s="100">
        <v>0.43799999999999994</v>
      </c>
      <c r="F13" s="100">
        <v>0.34200000000000003</v>
      </c>
      <c r="G13" s="100">
        <v>0.312</v>
      </c>
      <c r="H13" s="97">
        <v>1.08</v>
      </c>
      <c r="J13" s="151">
        <f t="shared" si="2"/>
        <v>0.29399999999999998</v>
      </c>
      <c r="K13" s="151">
        <f t="shared" si="2"/>
        <v>0.58799999999999997</v>
      </c>
      <c r="L13" s="151">
        <f t="shared" si="2"/>
        <v>0.11800000000000001</v>
      </c>
      <c r="M13" s="106" t="str">
        <f>A36</f>
        <v>H</v>
      </c>
      <c r="N13" s="68">
        <f>MIN(G36:G39)</f>
        <v>6.2E-2</v>
      </c>
      <c r="O13" s="68">
        <f>AVERAGE(G36:G39)</f>
        <v>6.2E-2</v>
      </c>
      <c r="P13" s="68">
        <f>MAX(G36:G39)</f>
        <v>6.2E-2</v>
      </c>
    </row>
    <row r="14" spans="1:17" ht="15" customHeight="1" x14ac:dyDescent="0.25">
      <c r="A14" s="89" t="s">
        <v>475</v>
      </c>
      <c r="B14" s="96">
        <v>7.7</v>
      </c>
      <c r="C14" s="96">
        <v>500</v>
      </c>
      <c r="D14" s="100">
        <v>0.222</v>
      </c>
      <c r="E14" s="100">
        <v>0.44400000000000001</v>
      </c>
      <c r="F14" s="100">
        <v>0.33399999999999996</v>
      </c>
      <c r="G14" s="100">
        <v>0.32400000000000001</v>
      </c>
      <c r="H14" s="97">
        <v>1.28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475</v>
      </c>
      <c r="B15" s="96">
        <v>8.3000000000000007</v>
      </c>
      <c r="C15" s="96">
        <v>550</v>
      </c>
      <c r="D15" s="100">
        <v>0.222</v>
      </c>
      <c r="E15" s="100">
        <v>0.44400000000000001</v>
      </c>
      <c r="F15" s="100">
        <v>0.33399999999999996</v>
      </c>
      <c r="G15" s="100">
        <v>0.314</v>
      </c>
      <c r="H15" s="97">
        <v>1.84</v>
      </c>
      <c r="I15" s="106"/>
      <c r="K15" s="151"/>
      <c r="L15" s="151"/>
      <c r="M15" s="151" t="str">
        <f>M6</f>
        <v>A</v>
      </c>
      <c r="N15" s="68">
        <f>N6</f>
        <v>0.255</v>
      </c>
      <c r="O15" s="68">
        <f>O6-N6</f>
        <v>3.2999999999999974E-2</v>
      </c>
      <c r="P15" s="68">
        <f>P6-O6</f>
        <v>2.6000000000000023E-2</v>
      </c>
    </row>
    <row r="16" spans="1:17" ht="15" customHeight="1" x14ac:dyDescent="0.25">
      <c r="A16" s="89" t="s">
        <v>475</v>
      </c>
      <c r="B16" s="96">
        <v>26.3</v>
      </c>
      <c r="C16" s="96">
        <v>550</v>
      </c>
      <c r="D16" s="100">
        <v>0.222</v>
      </c>
      <c r="E16" s="100">
        <v>0.44400000000000001</v>
      </c>
      <c r="F16" s="100">
        <v>0.33399999999999996</v>
      </c>
      <c r="G16" s="100">
        <v>0.29699999999999999</v>
      </c>
      <c r="H16" s="97">
        <v>1.46</v>
      </c>
      <c r="I16" s="106"/>
      <c r="K16" s="151"/>
      <c r="L16" s="151"/>
      <c r="M16" s="151" t="str">
        <f t="shared" ref="M16:N16" si="3">M7</f>
        <v>B</v>
      </c>
      <c r="N16" s="68">
        <f t="shared" si="3"/>
        <v>5.3999999999999999E-2</v>
      </c>
      <c r="O16" s="68">
        <f t="shared" ref="O16:P16" si="4">O7-N7</f>
        <v>0.11549999999999999</v>
      </c>
      <c r="P16" s="68">
        <f t="shared" si="4"/>
        <v>0.14250000000000002</v>
      </c>
    </row>
    <row r="17" spans="1:16" ht="15" customHeight="1" x14ac:dyDescent="0.25">
      <c r="A17" s="89" t="s">
        <v>475</v>
      </c>
      <c r="B17" s="96">
        <v>28.5</v>
      </c>
      <c r="C17" s="96">
        <v>500</v>
      </c>
      <c r="D17" s="100">
        <v>0.222</v>
      </c>
      <c r="E17" s="100">
        <v>0.44400000000000001</v>
      </c>
      <c r="F17" s="100">
        <v>0.33399999999999996</v>
      </c>
      <c r="G17" s="100">
        <v>0.27600000000000002</v>
      </c>
      <c r="H17" s="97">
        <v>1.1000000000000001</v>
      </c>
      <c r="I17" s="106"/>
      <c r="K17" s="151"/>
      <c r="L17" s="151"/>
      <c r="M17" s="151" t="str">
        <f t="shared" ref="M17:N17" si="5">M8</f>
        <v>C</v>
      </c>
      <c r="N17" s="68">
        <f t="shared" si="5"/>
        <v>5.3999999999999999E-2</v>
      </c>
      <c r="O17" s="68">
        <f t="shared" ref="O17:P17" si="6">O8-N8</f>
        <v>0.19700000000000001</v>
      </c>
      <c r="P17" s="68">
        <f t="shared" si="6"/>
        <v>7.3000000000000009E-2</v>
      </c>
    </row>
    <row r="18" spans="1:16" ht="15" customHeight="1" x14ac:dyDescent="0.25">
      <c r="A18" s="108" t="s">
        <v>476</v>
      </c>
      <c r="B18" s="114">
        <v>31.6</v>
      </c>
      <c r="C18" s="114">
        <v>450</v>
      </c>
      <c r="D18" s="115">
        <v>0.23</v>
      </c>
      <c r="E18" s="115">
        <v>0.45799999999999996</v>
      </c>
      <c r="F18" s="115">
        <v>0.312</v>
      </c>
      <c r="G18" s="115">
        <v>0.27600000000000002</v>
      </c>
      <c r="H18" s="112">
        <v>0.56200000000000006</v>
      </c>
      <c r="I18" s="106"/>
      <c r="K18" s="151"/>
      <c r="L18" s="151"/>
      <c r="M18" s="151" t="str">
        <f t="shared" ref="M18:N18" si="7">M9</f>
        <v>D</v>
      </c>
      <c r="N18" s="68">
        <f t="shared" si="7"/>
        <v>0.29699999999999999</v>
      </c>
      <c r="O18" s="68">
        <f t="shared" ref="O18:P18" si="8">O9-N9</f>
        <v>1.4749999999999985E-2</v>
      </c>
      <c r="P18" s="68">
        <f t="shared" si="8"/>
        <v>1.2250000000000039E-2</v>
      </c>
    </row>
    <row r="19" spans="1:16" ht="15" customHeight="1" x14ac:dyDescent="0.25">
      <c r="A19" s="113" t="s">
        <v>476</v>
      </c>
      <c r="B19" s="109">
        <v>19.399999999999999</v>
      </c>
      <c r="C19" s="109">
        <v>480</v>
      </c>
      <c r="D19" s="110">
        <v>0.23</v>
      </c>
      <c r="E19" s="110">
        <v>0.45799999999999996</v>
      </c>
      <c r="F19" s="110">
        <v>0.312</v>
      </c>
      <c r="G19" s="110">
        <v>0.27600000000000002</v>
      </c>
      <c r="H19" s="111">
        <v>0.41</v>
      </c>
      <c r="I19" s="106"/>
      <c r="K19" s="151"/>
      <c r="L19" s="151"/>
      <c r="M19" s="151" t="str">
        <f t="shared" ref="M19:N19" si="9">M10</f>
        <v>E</v>
      </c>
      <c r="N19" s="68">
        <f t="shared" si="9"/>
        <v>0.23</v>
      </c>
      <c r="O19" s="68">
        <f t="shared" ref="O19:P19" si="10">O10-N10</f>
        <v>3.4000000000000002E-2</v>
      </c>
      <c r="P19" s="68">
        <f t="shared" si="10"/>
        <v>3.5999999999999976E-2</v>
      </c>
    </row>
    <row r="20" spans="1:16" ht="15" customHeight="1" x14ac:dyDescent="0.25">
      <c r="A20" s="113" t="s">
        <v>476</v>
      </c>
      <c r="B20" s="109">
        <v>20.399999999999999</v>
      </c>
      <c r="C20" s="109">
        <v>520</v>
      </c>
      <c r="D20" s="110">
        <v>0.23</v>
      </c>
      <c r="E20" s="110">
        <v>0.45799999999999996</v>
      </c>
      <c r="F20" s="110">
        <v>0.312</v>
      </c>
      <c r="G20" s="110">
        <v>0.26300000000000001</v>
      </c>
      <c r="H20" s="111">
        <v>0.62</v>
      </c>
      <c r="I20" s="106"/>
      <c r="K20" s="151"/>
      <c r="L20" s="151"/>
      <c r="M20" s="151" t="str">
        <f t="shared" ref="M20:N20" si="11">M11</f>
        <v>F</v>
      </c>
      <c r="N20" s="68">
        <f t="shared" si="11"/>
        <v>0.22</v>
      </c>
      <c r="O20" s="68">
        <f t="shared" ref="O20:P20" si="12">O11-N11</f>
        <v>3.2749999999999974E-2</v>
      </c>
      <c r="P20" s="68">
        <f t="shared" si="12"/>
        <v>4.7250000000000014E-2</v>
      </c>
    </row>
    <row r="21" spans="1:16" ht="15" customHeight="1" x14ac:dyDescent="0.25">
      <c r="A21" s="113" t="s">
        <v>476</v>
      </c>
      <c r="B21" s="109">
        <v>5.9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0.32600000000000001</v>
      </c>
      <c r="H21" s="111">
        <v>2.09</v>
      </c>
      <c r="I21" s="106"/>
      <c r="K21" s="151"/>
      <c r="L21" s="151"/>
      <c r="M21" s="151" t="str">
        <f t="shared" ref="M21:N21" si="13">M12</f>
        <v>G</v>
      </c>
      <c r="N21" s="68">
        <f t="shared" si="13"/>
        <v>6.2E-2</v>
      </c>
      <c r="O21" s="68">
        <f t="shared" ref="O21:P21" si="14">O12-N12</f>
        <v>3.9000000000000007E-2</v>
      </c>
      <c r="P21" s="68">
        <f t="shared" si="14"/>
        <v>3.9000000000000007E-2</v>
      </c>
    </row>
    <row r="22" spans="1:16" ht="15" customHeight="1" x14ac:dyDescent="0.25">
      <c r="A22" s="113" t="s">
        <v>476</v>
      </c>
      <c r="B22" s="109">
        <v>5.9</v>
      </c>
      <c r="C22" s="109">
        <v>525</v>
      </c>
      <c r="D22" s="110">
        <v>0.23</v>
      </c>
      <c r="E22" s="110">
        <v>0.45799999999999996</v>
      </c>
      <c r="F22" s="110">
        <v>0.312</v>
      </c>
      <c r="G22" s="110">
        <v>0.32600000000000001</v>
      </c>
      <c r="H22" s="111">
        <v>2.09</v>
      </c>
      <c r="I22" s="106"/>
      <c r="K22" s="151"/>
      <c r="L22" s="151"/>
      <c r="M22" s="151" t="str">
        <f t="shared" ref="M22:N22" si="15">M13</f>
        <v>H</v>
      </c>
      <c r="N22" s="68">
        <f t="shared" si="15"/>
        <v>6.2E-2</v>
      </c>
      <c r="O22" s="68">
        <f t="shared" ref="O22:P22" si="16">O13-N13</f>
        <v>0</v>
      </c>
      <c r="P22" s="68">
        <f t="shared" si="16"/>
        <v>0</v>
      </c>
    </row>
    <row r="23" spans="1:16" ht="15" customHeight="1" x14ac:dyDescent="0.25">
      <c r="A23" s="113" t="s">
        <v>476</v>
      </c>
      <c r="B23" s="109">
        <v>18.8</v>
      </c>
      <c r="C23" s="109">
        <v>525</v>
      </c>
      <c r="D23" s="110">
        <v>0.23</v>
      </c>
      <c r="E23" s="110">
        <v>0.45799999999999996</v>
      </c>
      <c r="F23" s="110">
        <v>0.312</v>
      </c>
      <c r="G23" s="110">
        <v>0.313</v>
      </c>
      <c r="H23" s="111">
        <v>1.56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113" t="s">
        <v>476</v>
      </c>
      <c r="B24" s="109">
        <v>18.8</v>
      </c>
      <c r="C24" s="109">
        <v>525</v>
      </c>
      <c r="D24" s="110">
        <v>0.23</v>
      </c>
      <c r="E24" s="110">
        <v>0.45799999999999996</v>
      </c>
      <c r="F24" s="110">
        <v>0.312</v>
      </c>
      <c r="G24" s="110">
        <v>0.3</v>
      </c>
      <c r="H24" s="111">
        <v>1.33</v>
      </c>
      <c r="I24" s="106"/>
      <c r="K24" s="151"/>
      <c r="L24" s="151"/>
      <c r="M24" s="151"/>
      <c r="N24" s="68"/>
      <c r="O24" s="68"/>
      <c r="P24" s="68"/>
    </row>
    <row r="25" spans="1:16" ht="15" customHeight="1" x14ac:dyDescent="0.25">
      <c r="A25" s="113" t="s">
        <v>476</v>
      </c>
      <c r="B25" s="109">
        <v>27.5</v>
      </c>
      <c r="C25" s="109">
        <v>525</v>
      </c>
      <c r="D25" s="110">
        <v>0.23</v>
      </c>
      <c r="E25" s="110">
        <v>0.45799999999999996</v>
      </c>
      <c r="F25" s="110">
        <v>0.312</v>
      </c>
      <c r="G25" s="110">
        <v>0.188</v>
      </c>
      <c r="H25" s="111">
        <v>0.28000000000000003</v>
      </c>
      <c r="I25" s="106"/>
      <c r="K25" s="151"/>
      <c r="L25" s="151"/>
      <c r="M25" s="151"/>
      <c r="N25" s="68"/>
      <c r="O25" s="68"/>
      <c r="P25" s="68"/>
    </row>
    <row r="26" spans="1:16" ht="15" customHeight="1" x14ac:dyDescent="0.25">
      <c r="A26" s="113" t="s">
        <v>476</v>
      </c>
      <c r="B26" s="114">
        <v>27.2</v>
      </c>
      <c r="C26" s="114">
        <v>550</v>
      </c>
      <c r="D26" s="115">
        <v>0.23</v>
      </c>
      <c r="E26" s="115">
        <v>0.45799999999999996</v>
      </c>
      <c r="F26" s="115">
        <v>0.312</v>
      </c>
      <c r="G26" s="115">
        <v>0.26800000000000002</v>
      </c>
      <c r="H26" s="112">
        <v>0.98199999999999998</v>
      </c>
      <c r="I26" s="106"/>
      <c r="K26" s="151"/>
      <c r="L26" s="151"/>
      <c r="M26" s="151"/>
      <c r="N26" s="68"/>
      <c r="O26" s="68"/>
      <c r="P26" s="68"/>
    </row>
    <row r="27" spans="1:16" ht="15" customHeight="1" x14ac:dyDescent="0.25">
      <c r="A27" s="113" t="s">
        <v>476</v>
      </c>
      <c r="B27" s="116">
        <v>28.4</v>
      </c>
      <c r="C27" s="114">
        <v>550</v>
      </c>
      <c r="D27" s="115">
        <v>0.23</v>
      </c>
      <c r="E27" s="115">
        <v>0.45799999999999996</v>
      </c>
      <c r="F27" s="115">
        <v>0.312</v>
      </c>
      <c r="G27" s="115">
        <v>0.30299999999999999</v>
      </c>
      <c r="H27" s="112">
        <v>1.2</v>
      </c>
      <c r="I27" s="106"/>
      <c r="K27" s="151"/>
      <c r="L27" s="151"/>
      <c r="M27" s="151"/>
      <c r="N27" s="68"/>
      <c r="O27" s="68"/>
      <c r="P27" s="68"/>
    </row>
    <row r="28" spans="1:16" ht="15" customHeight="1" x14ac:dyDescent="0.25">
      <c r="A28" s="113" t="s">
        <v>476</v>
      </c>
      <c r="B28" s="116">
        <v>28.4</v>
      </c>
      <c r="C28" s="114">
        <v>550</v>
      </c>
      <c r="D28" s="115">
        <v>0.23</v>
      </c>
      <c r="E28" s="115">
        <v>0.45799999999999996</v>
      </c>
      <c r="F28" s="115">
        <v>0.312</v>
      </c>
      <c r="G28" s="115">
        <v>0.26500000000000001</v>
      </c>
      <c r="H28" s="112">
        <v>0.93200000000000005</v>
      </c>
    </row>
    <row r="29" spans="1:16" ht="15" customHeight="1" x14ac:dyDescent="0.25">
      <c r="A29" s="88" t="s">
        <v>127</v>
      </c>
      <c r="B29" s="117">
        <v>7.7</v>
      </c>
      <c r="C29" s="117">
        <v>500</v>
      </c>
      <c r="D29" s="118">
        <v>0.23800000000000002</v>
      </c>
      <c r="E29" s="118">
        <v>0.47600000000000003</v>
      </c>
      <c r="F29" s="118">
        <v>0.28600000000000003</v>
      </c>
      <c r="G29" s="118">
        <v>0.23</v>
      </c>
      <c r="H29" s="119">
        <v>0.64100000000000001</v>
      </c>
    </row>
    <row r="30" spans="1:16" ht="15" customHeight="1" x14ac:dyDescent="0.25">
      <c r="A30" s="88" t="s">
        <v>127</v>
      </c>
      <c r="B30" s="117">
        <v>8.1999999999999993</v>
      </c>
      <c r="C30" s="117">
        <v>550</v>
      </c>
      <c r="D30" s="118">
        <v>0.23800000000000002</v>
      </c>
      <c r="E30" s="118">
        <v>0.47600000000000003</v>
      </c>
      <c r="F30" s="118">
        <v>0.28600000000000003</v>
      </c>
      <c r="G30" s="118">
        <v>0.26100000000000001</v>
      </c>
      <c r="H30" s="119">
        <v>1.19</v>
      </c>
      <c r="I30" s="106"/>
      <c r="K30" s="151"/>
      <c r="L30" s="151"/>
      <c r="M30" s="151"/>
      <c r="N30" s="68"/>
      <c r="O30" s="68"/>
      <c r="P30" s="68"/>
    </row>
    <row r="31" spans="1:16" ht="15" customHeight="1" x14ac:dyDescent="0.25">
      <c r="A31" s="88" t="s">
        <v>127</v>
      </c>
      <c r="B31" s="117">
        <v>26.3</v>
      </c>
      <c r="C31" s="117">
        <v>550</v>
      </c>
      <c r="D31" s="118">
        <v>0.23800000000000002</v>
      </c>
      <c r="E31" s="118">
        <v>0.47600000000000003</v>
      </c>
      <c r="F31" s="118">
        <v>0.28600000000000003</v>
      </c>
      <c r="G31" s="118">
        <v>0.3</v>
      </c>
      <c r="H31" s="119">
        <v>1.6</v>
      </c>
      <c r="I31" s="106"/>
      <c r="K31" s="151"/>
      <c r="L31" s="151"/>
      <c r="M31" s="151"/>
      <c r="N31" s="68"/>
      <c r="O31" s="68"/>
      <c r="P31" s="68"/>
    </row>
    <row r="32" spans="1:16" ht="15" customHeight="1" x14ac:dyDescent="0.25">
      <c r="A32" s="88" t="s">
        <v>127</v>
      </c>
      <c r="B32" s="117">
        <v>28.5</v>
      </c>
      <c r="C32" s="117">
        <v>500</v>
      </c>
      <c r="D32" s="118">
        <v>0.23800000000000002</v>
      </c>
      <c r="E32" s="118">
        <v>0.47600000000000003</v>
      </c>
      <c r="F32" s="118">
        <v>0.28600000000000003</v>
      </c>
      <c r="G32" s="118">
        <v>0.22</v>
      </c>
      <c r="H32" s="119">
        <v>0.63200000000000001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88" t="s">
        <v>127</v>
      </c>
      <c r="B33" s="117">
        <v>18.8</v>
      </c>
      <c r="C33" s="117">
        <v>525</v>
      </c>
      <c r="D33" s="118">
        <v>0.24</v>
      </c>
      <c r="E33" s="118">
        <v>0.48399999999999999</v>
      </c>
      <c r="F33" s="118">
        <v>0.27600000000000002</v>
      </c>
      <c r="G33" s="118">
        <v>0.23100000000000001</v>
      </c>
      <c r="H33" s="119">
        <v>1.1000000000000001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120" t="s">
        <v>477</v>
      </c>
      <c r="B34" s="124">
        <v>28.7</v>
      </c>
      <c r="C34" s="121">
        <v>450</v>
      </c>
      <c r="D34" s="122">
        <v>0.25800000000000001</v>
      </c>
      <c r="E34" s="122">
        <v>0.51600000000000001</v>
      </c>
      <c r="F34" s="122">
        <v>0.22600000000000001</v>
      </c>
      <c r="G34" s="122">
        <v>0.161</v>
      </c>
      <c r="H34" s="123">
        <v>0.45600000000000002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120" t="s">
        <v>477</v>
      </c>
      <c r="B35" s="124">
        <v>28.7</v>
      </c>
      <c r="C35" s="121">
        <v>450</v>
      </c>
      <c r="D35" s="122">
        <v>0.25800000000000001</v>
      </c>
      <c r="E35" s="122">
        <v>0.51600000000000001</v>
      </c>
      <c r="F35" s="122">
        <v>0.22600000000000001</v>
      </c>
      <c r="G35" s="122">
        <v>0.14000000000000001</v>
      </c>
      <c r="H35" s="123">
        <v>0.40100000000000002</v>
      </c>
    </row>
    <row r="36" spans="1:16" ht="15.75" x14ac:dyDescent="0.25">
      <c r="A36" s="127" t="s">
        <v>158</v>
      </c>
      <c r="B36" s="128">
        <v>30.5</v>
      </c>
      <c r="C36" s="129">
        <v>450</v>
      </c>
      <c r="D36" s="130">
        <v>0.29399999999999998</v>
      </c>
      <c r="E36" s="130">
        <v>0.58799999999999997</v>
      </c>
      <c r="F36" s="130">
        <v>0.11800000000000001</v>
      </c>
      <c r="G36" s="130">
        <v>6.2E-2</v>
      </c>
      <c r="H36" s="131">
        <v>0.111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0.22850000000000001</v>
      </c>
      <c r="E65" s="64">
        <f>AVERAGE(E14:E29)</f>
        <v>0.45562500000000011</v>
      </c>
      <c r="F65" s="64">
        <f>AVERAGE(F14:F29)</f>
        <v>0.31587500000000002</v>
      </c>
      <c r="G65" s="64">
        <f>AVERAGE(G14:G29)</f>
        <v>0.28406250000000005</v>
      </c>
      <c r="H65" s="64">
        <f>AVERAGE(H14:H29)</f>
        <v>1.1485624999999997</v>
      </c>
    </row>
    <row r="66" spans="3:11" x14ac:dyDescent="0.25">
      <c r="C66" t="s">
        <v>436</v>
      </c>
      <c r="D66" s="41">
        <f>_xlfn.STDEV.P(D14:D29)</f>
        <v>4.2130748865881829E-3</v>
      </c>
      <c r="E66" s="41">
        <f>_xlfn.STDEV.P(E14:E29)</f>
        <v>7.97554857047463E-3</v>
      </c>
      <c r="F66" s="41">
        <f>_xlfn.STDEV.P(F14:F29)</f>
        <v>1.2175154003132753E-2</v>
      </c>
      <c r="G66" s="41">
        <f>_xlfn.STDEV.P(G14:G29)</f>
        <v>3.6260289487950598E-2</v>
      </c>
      <c r="H66" s="41">
        <f>_xlfn.STDEV.P(H14:H29)</f>
        <v>0.54930296384941379</v>
      </c>
      <c r="K66">
        <v>0.45946666666666669</v>
      </c>
    </row>
    <row r="67" spans="3:11" x14ac:dyDescent="0.25">
      <c r="C67" t="s">
        <v>437</v>
      </c>
      <c r="D67">
        <f>MIN(D14:D29)</f>
        <v>0.222</v>
      </c>
      <c r="E67">
        <f>MIN(E14:E29)</f>
        <v>0.44400000000000001</v>
      </c>
      <c r="F67">
        <f>MIN(F14:F29)</f>
        <v>0.28600000000000003</v>
      </c>
      <c r="G67">
        <f>MIN(G14:G29)</f>
        <v>0.188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0.23800000000000002</v>
      </c>
      <c r="E68">
        <f>MAX(E14:E29)</f>
        <v>0.47600000000000003</v>
      </c>
      <c r="F68">
        <f>MAX(F14:F29)</f>
        <v>0.33399999999999996</v>
      </c>
      <c r="G68">
        <f>MAX(G14:G29)</f>
        <v>0.32600000000000001</v>
      </c>
      <c r="H68">
        <f>MAX(H14:H29)</f>
        <v>2.09</v>
      </c>
      <c r="K68">
        <v>0.31053333333333327</v>
      </c>
    </row>
    <row r="69" spans="3:11" x14ac:dyDescent="0.25">
      <c r="C69" t="s">
        <v>439</v>
      </c>
      <c r="D69">
        <f>D68-D67</f>
        <v>1.6000000000000014E-2</v>
      </c>
      <c r="E69">
        <f t="shared" ref="E69:H69" si="17">E68-E67</f>
        <v>3.2000000000000028E-2</v>
      </c>
      <c r="F69">
        <f t="shared" si="17"/>
        <v>4.7999999999999932E-2</v>
      </c>
      <c r="G69">
        <f t="shared" si="17"/>
        <v>0.13800000000000001</v>
      </c>
      <c r="H69">
        <f t="shared" si="17"/>
        <v>1.8099999999999998</v>
      </c>
    </row>
  </sheetData>
  <sortState ref="A6:J36">
    <sortCondition ref="B6:B36"/>
    <sortCondition ref="C6:C36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I17" sqref="I17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/>
      <c r="Q1" s="71" t="s">
        <v>429</v>
      </c>
    </row>
    <row r="2" spans="1:17" ht="15" customHeight="1" x14ac:dyDescent="0.25">
      <c r="A2" s="142" t="s">
        <v>472</v>
      </c>
      <c r="B2" s="141">
        <f>CORREL(B13:B46,H13:H46)</f>
        <v>-0.59452472841859627</v>
      </c>
      <c r="C2" s="141">
        <f>CORREL(C13:C46,H13:H46)</f>
        <v>0.6418717976772873</v>
      </c>
      <c r="D2" s="141">
        <f>CORREL(D13:D46,H13:H46)</f>
        <v>-0.52392289978824935</v>
      </c>
      <c r="E2" s="141">
        <f>CORREL(E13:E46,H13:H46)</f>
        <v>-0.51892725666671824</v>
      </c>
      <c r="F2" s="141">
        <f>CORREL(F13:F46,H13:H46)</f>
        <v>0.52068010528701569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-0.49043751766272781</v>
      </c>
      <c r="C3" s="141">
        <f>CORREL(C13:C46,G13:G46)</f>
        <v>0.63232679520659563</v>
      </c>
      <c r="D3" s="141">
        <f>CORREL(D13:D46,G13:G46)</f>
        <v>-0.8790544708599638</v>
      </c>
      <c r="E3" s="141">
        <f>CORREL(E13:E46,G13:G46)</f>
        <v>-0.88088253580764775</v>
      </c>
      <c r="F3" s="141">
        <f>CORREL(F13:F46,G13:G46)</f>
        <v>0.88045475603994661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87" t="s">
        <v>474</v>
      </c>
      <c r="B6" s="93">
        <v>27.8</v>
      </c>
      <c r="C6" s="93">
        <v>550</v>
      </c>
      <c r="D6" s="101">
        <v>0.16</v>
      </c>
      <c r="E6" s="101">
        <v>0.5</v>
      </c>
      <c r="F6" s="101">
        <v>0.34</v>
      </c>
      <c r="G6" s="101">
        <v>0.27400000000000002</v>
      </c>
      <c r="H6" s="98">
        <v>0.77100000000000002</v>
      </c>
      <c r="J6" s="151">
        <f>D6</f>
        <v>0.16</v>
      </c>
      <c r="K6" s="151">
        <f>E6</f>
        <v>0.5</v>
      </c>
      <c r="L6" s="151">
        <f>F6</f>
        <v>0.34</v>
      </c>
      <c r="M6" s="106" t="str">
        <f>A6</f>
        <v>A</v>
      </c>
      <c r="N6" s="68">
        <f>MIN(H6:H9)</f>
        <v>0.72399999999999998</v>
      </c>
      <c r="O6" s="68">
        <f>AVERAGE(H6:H9)</f>
        <v>0.9375</v>
      </c>
      <c r="P6" s="68">
        <f>MAX(H6:H9)</f>
        <v>1.31</v>
      </c>
    </row>
    <row r="7" spans="1:17" ht="15" customHeight="1" x14ac:dyDescent="0.25">
      <c r="A7" s="87" t="s">
        <v>474</v>
      </c>
      <c r="B7" s="125">
        <v>28.7</v>
      </c>
      <c r="C7" s="93">
        <v>450</v>
      </c>
      <c r="D7" s="101">
        <v>0.16</v>
      </c>
      <c r="E7" s="101">
        <v>0.5</v>
      </c>
      <c r="F7" s="101">
        <v>0.34</v>
      </c>
      <c r="G7" s="101">
        <v>0.255</v>
      </c>
      <c r="H7" s="98">
        <v>0.72399999999999998</v>
      </c>
      <c r="J7" s="151">
        <f>D10</f>
        <v>0.182</v>
      </c>
      <c r="K7" s="151">
        <f>E10</f>
        <v>0.56799999999999995</v>
      </c>
      <c r="L7" s="151">
        <f>F10</f>
        <v>0.25</v>
      </c>
      <c r="M7" s="106" t="str">
        <f>A10</f>
        <v>B</v>
      </c>
      <c r="N7" s="68">
        <f>MIN(H10:H11)</f>
        <v>0.47799999999999998</v>
      </c>
      <c r="O7" s="68">
        <f>AVERAGE(H10:H11)</f>
        <v>0.4945</v>
      </c>
      <c r="P7" s="68">
        <f>MAX(H10:H11)</f>
        <v>0.51100000000000001</v>
      </c>
    </row>
    <row r="8" spans="1:17" ht="15" customHeight="1" x14ac:dyDescent="0.25">
      <c r="A8" s="87" t="s">
        <v>474</v>
      </c>
      <c r="B8" s="126">
        <v>29.3</v>
      </c>
      <c r="C8" s="93">
        <v>450</v>
      </c>
      <c r="D8" s="101">
        <v>0.16</v>
      </c>
      <c r="E8" s="101">
        <v>0.5</v>
      </c>
      <c r="F8" s="101">
        <v>0.34</v>
      </c>
      <c r="G8" s="101">
        <v>0.314</v>
      </c>
      <c r="H8" s="98">
        <v>0.94499999999999995</v>
      </c>
      <c r="J8" s="151">
        <f t="shared" ref="J8:L9" si="0">D12</f>
        <v>0.21</v>
      </c>
      <c r="K8" s="151">
        <f t="shared" si="0"/>
        <v>0.65799999999999992</v>
      </c>
      <c r="L8" s="151">
        <f t="shared" si="0"/>
        <v>0.13200000000000001</v>
      </c>
      <c r="M8" s="106" t="str">
        <f>A12</f>
        <v>C</v>
      </c>
      <c r="N8" s="68">
        <f>MIN(H12)</f>
        <v>0.121</v>
      </c>
      <c r="O8" s="68">
        <f>AVERAGE(H12)</f>
        <v>0.121</v>
      </c>
      <c r="P8" s="68">
        <f>MAX(H12)</f>
        <v>0.121</v>
      </c>
    </row>
    <row r="9" spans="1:17" ht="15" customHeight="1" x14ac:dyDescent="0.25">
      <c r="A9" s="87" t="s">
        <v>474</v>
      </c>
      <c r="B9" s="93">
        <v>29.6</v>
      </c>
      <c r="C9" s="93">
        <v>450</v>
      </c>
      <c r="D9" s="101">
        <v>0.16</v>
      </c>
      <c r="E9" s="101">
        <v>0.5</v>
      </c>
      <c r="F9" s="101">
        <v>0.34</v>
      </c>
      <c r="G9" s="101">
        <v>0.309</v>
      </c>
      <c r="H9" s="98">
        <v>1.31</v>
      </c>
      <c r="J9" s="151">
        <f t="shared" si="0"/>
        <v>0.22</v>
      </c>
      <c r="K9" s="151">
        <f t="shared" si="0"/>
        <v>0.43799999999999994</v>
      </c>
      <c r="L9" s="151">
        <f t="shared" si="0"/>
        <v>0.34200000000000003</v>
      </c>
      <c r="M9" s="106" t="str">
        <f>A13</f>
        <v>D</v>
      </c>
      <c r="N9" s="68">
        <f>MIN(H13:H17)</f>
        <v>1.08</v>
      </c>
      <c r="O9" s="68">
        <f>AVERAGE(H13:H17)</f>
        <v>1.3519999999999999</v>
      </c>
      <c r="P9" s="68">
        <f>MAX(H13:H17)</f>
        <v>1.84</v>
      </c>
    </row>
    <row r="10" spans="1:17" ht="15" customHeight="1" x14ac:dyDescent="0.25">
      <c r="A10" s="136" t="s">
        <v>60</v>
      </c>
      <c r="B10" s="137">
        <v>27.8</v>
      </c>
      <c r="C10" s="138">
        <v>550</v>
      </c>
      <c r="D10" s="139">
        <v>0.182</v>
      </c>
      <c r="E10" s="139">
        <v>0.56799999999999995</v>
      </c>
      <c r="F10" s="139">
        <v>0.25</v>
      </c>
      <c r="G10" s="139">
        <v>0.16900000000000001</v>
      </c>
      <c r="H10" s="140">
        <v>0.47799999999999998</v>
      </c>
      <c r="J10" s="151">
        <f t="shared" ref="J10:L11" si="1">D28</f>
        <v>0.23</v>
      </c>
      <c r="K10" s="151">
        <f t="shared" si="1"/>
        <v>0.45799999999999996</v>
      </c>
      <c r="L10" s="151">
        <f t="shared" si="1"/>
        <v>0.312</v>
      </c>
      <c r="M10" s="106" t="str">
        <f>A28</f>
        <v>E</v>
      </c>
      <c r="N10" s="68">
        <f>MIN(H18:H28)</f>
        <v>0.28000000000000003</v>
      </c>
      <c r="O10" s="68">
        <f>AVERAGE(H18:H28)</f>
        <v>1.0959999999999999</v>
      </c>
      <c r="P10" s="68">
        <f>MAX(H18:H28)</f>
        <v>2.09</v>
      </c>
    </row>
    <row r="11" spans="1:17" ht="15" customHeight="1" x14ac:dyDescent="0.25">
      <c r="A11" s="136" t="s">
        <v>60</v>
      </c>
      <c r="B11" s="137">
        <v>28.4</v>
      </c>
      <c r="C11" s="138">
        <v>550</v>
      </c>
      <c r="D11" s="139">
        <v>0.182</v>
      </c>
      <c r="E11" s="139">
        <v>0.56799999999999995</v>
      </c>
      <c r="F11" s="139">
        <v>0.25</v>
      </c>
      <c r="G11" s="139">
        <v>0.14299999999999999</v>
      </c>
      <c r="H11" s="140">
        <v>0.51100000000000001</v>
      </c>
      <c r="J11" s="151">
        <f t="shared" si="1"/>
        <v>0.23800000000000002</v>
      </c>
      <c r="K11" s="151">
        <f t="shared" si="1"/>
        <v>0.47600000000000003</v>
      </c>
      <c r="L11" s="151">
        <f t="shared" si="1"/>
        <v>0.28600000000000003</v>
      </c>
      <c r="M11" s="106" t="str">
        <f>A29</f>
        <v>F</v>
      </c>
      <c r="N11" s="68">
        <f>MIN(H29:H33)</f>
        <v>0.63200000000000001</v>
      </c>
      <c r="O11" s="68">
        <f>AVERAGE(H29:H33)</f>
        <v>1.0326</v>
      </c>
      <c r="P11" s="68">
        <f>MAX(H29:H33)</f>
        <v>1.6</v>
      </c>
    </row>
    <row r="12" spans="1:17" ht="15" customHeight="1" x14ac:dyDescent="0.25">
      <c r="A12" s="132" t="s">
        <v>81</v>
      </c>
      <c r="B12" s="133">
        <v>30.6</v>
      </c>
      <c r="C12" s="133">
        <v>450</v>
      </c>
      <c r="D12" s="134">
        <v>0.21</v>
      </c>
      <c r="E12" s="134">
        <v>0.65799999999999992</v>
      </c>
      <c r="F12" s="134">
        <v>0.13200000000000001</v>
      </c>
      <c r="G12" s="134">
        <v>5.3999999999999999E-2</v>
      </c>
      <c r="H12" s="135">
        <v>0.121</v>
      </c>
      <c r="J12" s="151">
        <f t="shared" ref="J12:L13" si="2">D35</f>
        <v>0.25800000000000001</v>
      </c>
      <c r="K12" s="151">
        <f t="shared" si="2"/>
        <v>0.51600000000000001</v>
      </c>
      <c r="L12" s="151">
        <f t="shared" si="2"/>
        <v>0.22600000000000001</v>
      </c>
      <c r="M12" s="106" t="str">
        <f>A35</f>
        <v>G</v>
      </c>
      <c r="N12" s="68">
        <f>MIN(H34:H35)</f>
        <v>0.40100000000000002</v>
      </c>
      <c r="O12" s="68">
        <f>AVERAGE(H34:H35)</f>
        <v>0.42849999999999999</v>
      </c>
      <c r="P12" s="68">
        <f>MAX(H34:H35)</f>
        <v>0.45600000000000002</v>
      </c>
    </row>
    <row r="13" spans="1:17" ht="15" customHeight="1" x14ac:dyDescent="0.25">
      <c r="A13" s="89" t="s">
        <v>475</v>
      </c>
      <c r="B13" s="96">
        <v>18.8</v>
      </c>
      <c r="C13" s="96">
        <v>525</v>
      </c>
      <c r="D13" s="100">
        <v>0.22</v>
      </c>
      <c r="E13" s="100">
        <v>0.43799999999999994</v>
      </c>
      <c r="F13" s="100">
        <v>0.34200000000000003</v>
      </c>
      <c r="G13" s="100">
        <v>0.312</v>
      </c>
      <c r="H13" s="97">
        <v>1.08</v>
      </c>
      <c r="J13" s="151">
        <f t="shared" si="2"/>
        <v>0.29399999999999998</v>
      </c>
      <c r="K13" s="151">
        <f t="shared" si="2"/>
        <v>0.58799999999999997</v>
      </c>
      <c r="L13" s="151">
        <f t="shared" si="2"/>
        <v>0.11800000000000001</v>
      </c>
      <c r="M13" s="106" t="str">
        <f>A36</f>
        <v>H</v>
      </c>
      <c r="N13" s="68">
        <f>MIN(G36)</f>
        <v>6.2E-2</v>
      </c>
      <c r="O13" s="68">
        <f>AVERAGE(G36)</f>
        <v>6.2E-2</v>
      </c>
      <c r="P13" s="68">
        <f>MAX(H36)</f>
        <v>0.111</v>
      </c>
    </row>
    <row r="14" spans="1:17" ht="15" customHeight="1" x14ac:dyDescent="0.25">
      <c r="A14" s="89" t="s">
        <v>475</v>
      </c>
      <c r="B14" s="96">
        <v>7.7</v>
      </c>
      <c r="C14" s="96">
        <v>500</v>
      </c>
      <c r="D14" s="100">
        <v>0.222</v>
      </c>
      <c r="E14" s="100">
        <v>0.44400000000000001</v>
      </c>
      <c r="F14" s="100">
        <v>0.33399999999999996</v>
      </c>
      <c r="G14" s="100">
        <v>0.32400000000000001</v>
      </c>
      <c r="H14" s="97">
        <v>1.28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475</v>
      </c>
      <c r="B15" s="96">
        <v>8.3000000000000007</v>
      </c>
      <c r="C15" s="96">
        <v>550</v>
      </c>
      <c r="D15" s="100">
        <v>0.222</v>
      </c>
      <c r="E15" s="100">
        <v>0.44400000000000001</v>
      </c>
      <c r="F15" s="100">
        <v>0.33399999999999996</v>
      </c>
      <c r="G15" s="100">
        <v>0.314</v>
      </c>
      <c r="H15" s="97">
        <v>1.84</v>
      </c>
      <c r="I15" s="106"/>
      <c r="K15" s="151"/>
      <c r="L15" s="151"/>
      <c r="M15" s="151" t="str">
        <f>M6</f>
        <v>A</v>
      </c>
      <c r="N15" s="68">
        <f>N6</f>
        <v>0.72399999999999998</v>
      </c>
      <c r="O15" s="68">
        <f>O6-N6</f>
        <v>0.21350000000000002</v>
      </c>
      <c r="P15" s="68">
        <f>P6-O6</f>
        <v>0.37250000000000005</v>
      </c>
    </row>
    <row r="16" spans="1:17" ht="15" customHeight="1" x14ac:dyDescent="0.25">
      <c r="A16" s="89" t="s">
        <v>475</v>
      </c>
      <c r="B16" s="96">
        <v>26.3</v>
      </c>
      <c r="C16" s="96">
        <v>550</v>
      </c>
      <c r="D16" s="100">
        <v>0.222</v>
      </c>
      <c r="E16" s="100">
        <v>0.44400000000000001</v>
      </c>
      <c r="F16" s="100">
        <v>0.33399999999999996</v>
      </c>
      <c r="G16" s="100">
        <v>0.29699999999999999</v>
      </c>
      <c r="H16" s="97">
        <v>1.46</v>
      </c>
      <c r="I16" s="106"/>
      <c r="K16" s="151"/>
      <c r="L16" s="151"/>
      <c r="M16" s="151" t="str">
        <f t="shared" ref="M16:N22" si="3">M7</f>
        <v>B</v>
      </c>
      <c r="N16" s="68">
        <f t="shared" si="3"/>
        <v>0.47799999999999998</v>
      </c>
      <c r="O16" s="68">
        <f t="shared" ref="O16:O22" si="4">O7-N7</f>
        <v>1.6500000000000015E-2</v>
      </c>
      <c r="P16" s="68">
        <f t="shared" ref="P16:P22" si="5">P7-O7</f>
        <v>1.6500000000000015E-2</v>
      </c>
    </row>
    <row r="17" spans="1:16" ht="15" customHeight="1" x14ac:dyDescent="0.25">
      <c r="A17" s="89" t="s">
        <v>475</v>
      </c>
      <c r="B17" s="96">
        <v>28.5</v>
      </c>
      <c r="C17" s="96">
        <v>500</v>
      </c>
      <c r="D17" s="100">
        <v>0.222</v>
      </c>
      <c r="E17" s="100">
        <v>0.44400000000000001</v>
      </c>
      <c r="F17" s="100">
        <v>0.33399999999999996</v>
      </c>
      <c r="G17" s="100">
        <v>0.27600000000000002</v>
      </c>
      <c r="H17" s="97">
        <v>1.1000000000000001</v>
      </c>
      <c r="I17" s="106"/>
      <c r="K17" s="151"/>
      <c r="L17" s="151"/>
      <c r="M17" s="151" t="str">
        <f t="shared" si="3"/>
        <v>C</v>
      </c>
      <c r="N17" s="68">
        <f t="shared" si="3"/>
        <v>0.121</v>
      </c>
      <c r="O17" s="68">
        <f t="shared" si="4"/>
        <v>0</v>
      </c>
      <c r="P17" s="68">
        <f t="shared" si="5"/>
        <v>0</v>
      </c>
    </row>
    <row r="18" spans="1:16" ht="15" customHeight="1" x14ac:dyDescent="0.25">
      <c r="A18" s="108" t="s">
        <v>476</v>
      </c>
      <c r="B18" s="114">
        <v>31.6</v>
      </c>
      <c r="C18" s="114">
        <v>450</v>
      </c>
      <c r="D18" s="115">
        <v>0.23</v>
      </c>
      <c r="E18" s="115">
        <v>0.45799999999999996</v>
      </c>
      <c r="F18" s="115">
        <v>0.312</v>
      </c>
      <c r="G18" s="115">
        <v>0.27600000000000002</v>
      </c>
      <c r="H18" s="112">
        <v>0.56200000000000006</v>
      </c>
      <c r="I18" s="106"/>
      <c r="K18" s="151"/>
      <c r="L18" s="151"/>
      <c r="M18" s="151" t="str">
        <f t="shared" si="3"/>
        <v>D</v>
      </c>
      <c r="N18" s="68">
        <f t="shared" si="3"/>
        <v>1.08</v>
      </c>
      <c r="O18" s="68">
        <f t="shared" si="4"/>
        <v>0.2719999999999998</v>
      </c>
      <c r="P18" s="68">
        <f t="shared" si="5"/>
        <v>0.48800000000000021</v>
      </c>
    </row>
    <row r="19" spans="1:16" ht="15" customHeight="1" x14ac:dyDescent="0.25">
      <c r="A19" s="113" t="s">
        <v>476</v>
      </c>
      <c r="B19" s="109">
        <v>19.399999999999999</v>
      </c>
      <c r="C19" s="109">
        <v>480</v>
      </c>
      <c r="D19" s="110">
        <v>0.23</v>
      </c>
      <c r="E19" s="110">
        <v>0.45799999999999996</v>
      </c>
      <c r="F19" s="110">
        <v>0.312</v>
      </c>
      <c r="G19" s="110">
        <v>0.27600000000000002</v>
      </c>
      <c r="H19" s="111">
        <v>0.41</v>
      </c>
      <c r="I19" s="106"/>
      <c r="K19" s="151"/>
      <c r="L19" s="151"/>
      <c r="M19" s="151" t="str">
        <f t="shared" si="3"/>
        <v>E</v>
      </c>
      <c r="N19" s="68">
        <f t="shared" si="3"/>
        <v>0.28000000000000003</v>
      </c>
      <c r="O19" s="68">
        <f t="shared" si="4"/>
        <v>0.81599999999999984</v>
      </c>
      <c r="P19" s="68">
        <f t="shared" si="5"/>
        <v>0.99399999999999999</v>
      </c>
    </row>
    <row r="20" spans="1:16" ht="15" customHeight="1" x14ac:dyDescent="0.25">
      <c r="A20" s="113" t="s">
        <v>476</v>
      </c>
      <c r="B20" s="109">
        <v>20.399999999999999</v>
      </c>
      <c r="C20" s="109">
        <v>520</v>
      </c>
      <c r="D20" s="110">
        <v>0.23</v>
      </c>
      <c r="E20" s="110">
        <v>0.45799999999999996</v>
      </c>
      <c r="F20" s="110">
        <v>0.312</v>
      </c>
      <c r="G20" s="110">
        <v>0.26300000000000001</v>
      </c>
      <c r="H20" s="111">
        <v>0.62</v>
      </c>
      <c r="I20" s="106"/>
      <c r="K20" s="151"/>
      <c r="L20" s="151"/>
      <c r="M20" s="151" t="str">
        <f t="shared" si="3"/>
        <v>F</v>
      </c>
      <c r="N20" s="68">
        <f t="shared" si="3"/>
        <v>0.63200000000000001</v>
      </c>
      <c r="O20" s="68">
        <f t="shared" si="4"/>
        <v>0.40059999999999996</v>
      </c>
      <c r="P20" s="68">
        <f t="shared" si="5"/>
        <v>0.56740000000000013</v>
      </c>
    </row>
    <row r="21" spans="1:16" ht="15" customHeight="1" x14ac:dyDescent="0.25">
      <c r="A21" s="113" t="s">
        <v>476</v>
      </c>
      <c r="B21" s="109">
        <v>5.9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0.32600000000000001</v>
      </c>
      <c r="H21" s="111">
        <v>2.09</v>
      </c>
      <c r="I21" s="106"/>
      <c r="K21" s="151"/>
      <c r="L21" s="151"/>
      <c r="M21" s="151" t="str">
        <f t="shared" si="3"/>
        <v>G</v>
      </c>
      <c r="N21" s="68">
        <f t="shared" si="3"/>
        <v>0.40100000000000002</v>
      </c>
      <c r="O21" s="68">
        <f t="shared" si="4"/>
        <v>2.7499999999999969E-2</v>
      </c>
      <c r="P21" s="68">
        <f t="shared" si="5"/>
        <v>2.7500000000000024E-2</v>
      </c>
    </row>
    <row r="22" spans="1:16" ht="15" customHeight="1" x14ac:dyDescent="0.25">
      <c r="A22" s="113" t="s">
        <v>476</v>
      </c>
      <c r="B22" s="109">
        <v>5.9</v>
      </c>
      <c r="C22" s="109">
        <v>525</v>
      </c>
      <c r="D22" s="110">
        <v>0.23</v>
      </c>
      <c r="E22" s="110">
        <v>0.45799999999999996</v>
      </c>
      <c r="F22" s="110">
        <v>0.312</v>
      </c>
      <c r="G22" s="110">
        <v>0.32600000000000001</v>
      </c>
      <c r="H22" s="111">
        <v>2.09</v>
      </c>
      <c r="I22" s="106"/>
      <c r="K22" s="151"/>
      <c r="L22" s="151"/>
      <c r="M22" s="151" t="str">
        <f t="shared" si="3"/>
        <v>H</v>
      </c>
      <c r="N22" s="68">
        <f t="shared" si="3"/>
        <v>6.2E-2</v>
      </c>
      <c r="O22" s="68">
        <f t="shared" si="4"/>
        <v>0</v>
      </c>
      <c r="P22" s="68">
        <f t="shared" si="5"/>
        <v>4.9000000000000002E-2</v>
      </c>
    </row>
    <row r="23" spans="1:16" ht="15" customHeight="1" x14ac:dyDescent="0.25">
      <c r="A23" s="113" t="s">
        <v>476</v>
      </c>
      <c r="B23" s="109">
        <v>18.8</v>
      </c>
      <c r="C23" s="109">
        <v>525</v>
      </c>
      <c r="D23" s="110">
        <v>0.23</v>
      </c>
      <c r="E23" s="110">
        <v>0.45799999999999996</v>
      </c>
      <c r="F23" s="110">
        <v>0.312</v>
      </c>
      <c r="G23" s="110">
        <v>0.313</v>
      </c>
      <c r="H23" s="111">
        <v>1.56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113" t="s">
        <v>476</v>
      </c>
      <c r="B24" s="109">
        <v>18.8</v>
      </c>
      <c r="C24" s="109">
        <v>525</v>
      </c>
      <c r="D24" s="110">
        <v>0.23</v>
      </c>
      <c r="E24" s="110">
        <v>0.45799999999999996</v>
      </c>
      <c r="F24" s="110">
        <v>0.312</v>
      </c>
      <c r="G24" s="110">
        <v>0.3</v>
      </c>
      <c r="H24" s="111">
        <v>1.33</v>
      </c>
      <c r="I24" s="106"/>
      <c r="K24" s="151"/>
      <c r="L24" s="151"/>
      <c r="M24" s="151"/>
      <c r="N24" s="68"/>
      <c r="O24" s="68"/>
      <c r="P24" s="68"/>
    </row>
    <row r="25" spans="1:16" ht="15" customHeight="1" x14ac:dyDescent="0.25">
      <c r="A25" s="113" t="s">
        <v>476</v>
      </c>
      <c r="B25" s="109">
        <v>27.5</v>
      </c>
      <c r="C25" s="109">
        <v>525</v>
      </c>
      <c r="D25" s="110">
        <v>0.23</v>
      </c>
      <c r="E25" s="110">
        <v>0.45799999999999996</v>
      </c>
      <c r="F25" s="110">
        <v>0.312</v>
      </c>
      <c r="G25" s="110">
        <v>0.188</v>
      </c>
      <c r="H25" s="111">
        <v>0.28000000000000003</v>
      </c>
      <c r="I25" s="106"/>
      <c r="K25" s="151"/>
      <c r="L25" s="151"/>
      <c r="M25" s="151"/>
      <c r="N25" s="68"/>
      <c r="O25" s="68"/>
      <c r="P25" s="68"/>
    </row>
    <row r="26" spans="1:16" ht="15" customHeight="1" x14ac:dyDescent="0.25">
      <c r="A26" s="113" t="s">
        <v>476</v>
      </c>
      <c r="B26" s="114">
        <v>27.2</v>
      </c>
      <c r="C26" s="114">
        <v>550</v>
      </c>
      <c r="D26" s="115">
        <v>0.23</v>
      </c>
      <c r="E26" s="115">
        <v>0.45799999999999996</v>
      </c>
      <c r="F26" s="115">
        <v>0.312</v>
      </c>
      <c r="G26" s="115">
        <v>0.26800000000000002</v>
      </c>
      <c r="H26" s="112">
        <v>0.98199999999999998</v>
      </c>
      <c r="I26" s="106"/>
      <c r="K26" s="151"/>
      <c r="L26" s="151"/>
      <c r="M26" s="151"/>
      <c r="N26" s="68"/>
      <c r="O26" s="68"/>
      <c r="P26" s="68"/>
    </row>
    <row r="27" spans="1:16" ht="15" customHeight="1" x14ac:dyDescent="0.25">
      <c r="A27" s="113" t="s">
        <v>476</v>
      </c>
      <c r="B27" s="116">
        <v>28.4</v>
      </c>
      <c r="C27" s="114">
        <v>550</v>
      </c>
      <c r="D27" s="115">
        <v>0.23</v>
      </c>
      <c r="E27" s="115">
        <v>0.45799999999999996</v>
      </c>
      <c r="F27" s="115">
        <v>0.312</v>
      </c>
      <c r="G27" s="115">
        <v>0.30299999999999999</v>
      </c>
      <c r="H27" s="112">
        <v>1.2</v>
      </c>
      <c r="I27" s="106"/>
      <c r="K27" s="151"/>
      <c r="L27" s="151"/>
      <c r="M27" s="151"/>
      <c r="N27" s="68"/>
      <c r="O27" s="68"/>
      <c r="P27" s="68"/>
    </row>
    <row r="28" spans="1:16" ht="15" customHeight="1" x14ac:dyDescent="0.25">
      <c r="A28" s="113" t="s">
        <v>476</v>
      </c>
      <c r="B28" s="116">
        <v>28.4</v>
      </c>
      <c r="C28" s="114">
        <v>550</v>
      </c>
      <c r="D28" s="115">
        <v>0.23</v>
      </c>
      <c r="E28" s="115">
        <v>0.45799999999999996</v>
      </c>
      <c r="F28" s="115">
        <v>0.312</v>
      </c>
      <c r="G28" s="115">
        <v>0.26500000000000001</v>
      </c>
      <c r="H28" s="112">
        <v>0.93200000000000005</v>
      </c>
    </row>
    <row r="29" spans="1:16" ht="15" customHeight="1" x14ac:dyDescent="0.25">
      <c r="A29" s="88" t="s">
        <v>127</v>
      </c>
      <c r="B29" s="117">
        <v>7.7</v>
      </c>
      <c r="C29" s="117">
        <v>500</v>
      </c>
      <c r="D29" s="118">
        <v>0.23800000000000002</v>
      </c>
      <c r="E29" s="118">
        <v>0.47600000000000003</v>
      </c>
      <c r="F29" s="118">
        <v>0.28600000000000003</v>
      </c>
      <c r="G29" s="118">
        <v>0.23</v>
      </c>
      <c r="H29" s="119">
        <v>0.64100000000000001</v>
      </c>
    </row>
    <row r="30" spans="1:16" ht="15" customHeight="1" x14ac:dyDescent="0.25">
      <c r="A30" s="88" t="s">
        <v>127</v>
      </c>
      <c r="B30" s="117">
        <v>8.1999999999999993</v>
      </c>
      <c r="C30" s="117">
        <v>550</v>
      </c>
      <c r="D30" s="118">
        <v>0.23800000000000002</v>
      </c>
      <c r="E30" s="118">
        <v>0.47600000000000003</v>
      </c>
      <c r="F30" s="118">
        <v>0.28600000000000003</v>
      </c>
      <c r="G30" s="118">
        <v>0.26100000000000001</v>
      </c>
      <c r="H30" s="119">
        <v>1.19</v>
      </c>
      <c r="I30" s="106"/>
      <c r="K30" s="151"/>
      <c r="L30" s="151"/>
      <c r="M30" s="151"/>
      <c r="N30" s="68"/>
      <c r="O30" s="68"/>
      <c r="P30" s="68"/>
    </row>
    <row r="31" spans="1:16" ht="15.75" x14ac:dyDescent="0.25">
      <c r="A31" s="88" t="s">
        <v>127</v>
      </c>
      <c r="B31" s="117">
        <v>26.3</v>
      </c>
      <c r="C31" s="117">
        <v>550</v>
      </c>
      <c r="D31" s="118">
        <v>0.23800000000000002</v>
      </c>
      <c r="E31" s="118">
        <v>0.47600000000000003</v>
      </c>
      <c r="F31" s="118">
        <v>0.28600000000000003</v>
      </c>
      <c r="G31" s="118">
        <v>0.3</v>
      </c>
      <c r="H31" s="119">
        <v>1.6</v>
      </c>
      <c r="I31" s="106"/>
      <c r="K31" s="151"/>
      <c r="L31" s="151"/>
      <c r="M31" s="151"/>
      <c r="N31" s="68"/>
      <c r="O31" s="68"/>
      <c r="P31" s="68"/>
    </row>
    <row r="32" spans="1:16" ht="15.75" x14ac:dyDescent="0.25">
      <c r="A32" s="88" t="s">
        <v>127</v>
      </c>
      <c r="B32" s="117">
        <v>28.5</v>
      </c>
      <c r="C32" s="117">
        <v>500</v>
      </c>
      <c r="D32" s="118">
        <v>0.23800000000000002</v>
      </c>
      <c r="E32" s="118">
        <v>0.47600000000000003</v>
      </c>
      <c r="F32" s="118">
        <v>0.28600000000000003</v>
      </c>
      <c r="G32" s="118">
        <v>0.22</v>
      </c>
      <c r="H32" s="119">
        <v>0.63200000000000001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88" t="s">
        <v>127</v>
      </c>
      <c r="B33" s="117">
        <v>18.8</v>
      </c>
      <c r="C33" s="117">
        <v>525</v>
      </c>
      <c r="D33" s="118">
        <v>0.24</v>
      </c>
      <c r="E33" s="118">
        <v>0.48399999999999999</v>
      </c>
      <c r="F33" s="118">
        <v>0.27600000000000002</v>
      </c>
      <c r="G33" s="118">
        <v>0.23100000000000001</v>
      </c>
      <c r="H33" s="119">
        <v>1.1000000000000001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120" t="s">
        <v>477</v>
      </c>
      <c r="B34" s="124">
        <v>28.7</v>
      </c>
      <c r="C34" s="121">
        <v>450</v>
      </c>
      <c r="D34" s="122">
        <v>0.25800000000000001</v>
      </c>
      <c r="E34" s="122">
        <v>0.51600000000000001</v>
      </c>
      <c r="F34" s="122">
        <v>0.22600000000000001</v>
      </c>
      <c r="G34" s="122">
        <v>0.161</v>
      </c>
      <c r="H34" s="123">
        <v>0.45600000000000002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120" t="s">
        <v>477</v>
      </c>
      <c r="B35" s="124">
        <v>28.7</v>
      </c>
      <c r="C35" s="121">
        <v>450</v>
      </c>
      <c r="D35" s="122">
        <v>0.25800000000000001</v>
      </c>
      <c r="E35" s="122">
        <v>0.51600000000000001</v>
      </c>
      <c r="F35" s="122">
        <v>0.22600000000000001</v>
      </c>
      <c r="G35" s="122">
        <v>0.14000000000000001</v>
      </c>
      <c r="H35" s="123">
        <v>0.40100000000000002</v>
      </c>
    </row>
    <row r="36" spans="1:16" ht="15.75" x14ac:dyDescent="0.25">
      <c r="A36" s="127" t="s">
        <v>158</v>
      </c>
      <c r="B36" s="128">
        <v>30.5</v>
      </c>
      <c r="C36" s="129">
        <v>450</v>
      </c>
      <c r="D36" s="130">
        <v>0.29399999999999998</v>
      </c>
      <c r="E36" s="130">
        <v>0.58799999999999997</v>
      </c>
      <c r="F36" s="130">
        <v>0.11800000000000001</v>
      </c>
      <c r="G36" s="130">
        <v>6.2E-2</v>
      </c>
      <c r="H36" s="131">
        <v>0.111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0.22850000000000001</v>
      </c>
      <c r="E65" s="64">
        <f>AVERAGE(E14:E29)</f>
        <v>0.45562500000000011</v>
      </c>
      <c r="F65" s="64">
        <f>AVERAGE(F14:F29)</f>
        <v>0.31587500000000002</v>
      </c>
      <c r="G65" s="64">
        <f>AVERAGE(G14:G29)</f>
        <v>0.28406250000000005</v>
      </c>
      <c r="H65" s="64">
        <f>AVERAGE(H14:H29)</f>
        <v>1.1485624999999997</v>
      </c>
    </row>
    <row r="66" spans="3:11" x14ac:dyDescent="0.25">
      <c r="C66" t="s">
        <v>436</v>
      </c>
      <c r="D66" s="41">
        <f>_xlfn.STDEV.P(D14:D29)</f>
        <v>4.2130748865881829E-3</v>
      </c>
      <c r="E66" s="41">
        <f>_xlfn.STDEV.P(E14:E29)</f>
        <v>7.97554857047463E-3</v>
      </c>
      <c r="F66" s="41">
        <f>_xlfn.STDEV.P(F14:F29)</f>
        <v>1.2175154003132753E-2</v>
      </c>
      <c r="G66" s="41">
        <f>_xlfn.STDEV.P(G14:G29)</f>
        <v>3.6260289487950598E-2</v>
      </c>
      <c r="H66" s="41">
        <f>_xlfn.STDEV.P(H14:H29)</f>
        <v>0.54930296384941379</v>
      </c>
      <c r="K66">
        <v>0.45946666666666669</v>
      </c>
    </row>
    <row r="67" spans="3:11" x14ac:dyDescent="0.25">
      <c r="C67" t="s">
        <v>437</v>
      </c>
      <c r="D67">
        <f>MIN(D14:D29)</f>
        <v>0.222</v>
      </c>
      <c r="E67">
        <f>MIN(E14:E29)</f>
        <v>0.44400000000000001</v>
      </c>
      <c r="F67">
        <f>MIN(F14:F29)</f>
        <v>0.28600000000000003</v>
      </c>
      <c r="G67">
        <f>MIN(G14:G29)</f>
        <v>0.188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0.23800000000000002</v>
      </c>
      <c r="E68">
        <f>MAX(E14:E29)</f>
        <v>0.47600000000000003</v>
      </c>
      <c r="F68">
        <f>MAX(F14:F29)</f>
        <v>0.33399999999999996</v>
      </c>
      <c r="G68">
        <f>MAX(G14:G29)</f>
        <v>0.32600000000000001</v>
      </c>
      <c r="H68">
        <f>MAX(H14:H29)</f>
        <v>2.09</v>
      </c>
      <c r="K68">
        <v>0.31053333333333327</v>
      </c>
    </row>
    <row r="69" spans="3:11" x14ac:dyDescent="0.25">
      <c r="C69" t="s">
        <v>439</v>
      </c>
      <c r="D69">
        <f>D68-D67</f>
        <v>1.6000000000000014E-2</v>
      </c>
      <c r="E69">
        <f t="shared" ref="E69:H69" si="6">E68-E67</f>
        <v>3.2000000000000028E-2</v>
      </c>
      <c r="F69">
        <f t="shared" si="6"/>
        <v>4.7999999999999932E-2</v>
      </c>
      <c r="G69">
        <f t="shared" si="6"/>
        <v>0.13800000000000001</v>
      </c>
      <c r="H69">
        <f t="shared" si="6"/>
        <v>1.8099999999999998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H1" sqref="A1:H1048576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 t="s">
        <v>429</v>
      </c>
    </row>
    <row r="2" spans="1:17" ht="15" customHeight="1" x14ac:dyDescent="0.25">
      <c r="A2" s="142" t="s">
        <v>472</v>
      </c>
      <c r="B2" s="141">
        <f>CORREL(B13:B46,H13:H46)</f>
        <v>-0.57669307465688913</v>
      </c>
      <c r="C2" s="141">
        <f>CORREL(C13:C46,H13:H46)</f>
        <v>0.37837329505371886</v>
      </c>
      <c r="D2" s="141">
        <f>CORREL(D13:D46,H13:H46)</f>
        <v>1.299762526358873E-3</v>
      </c>
      <c r="E2" s="141">
        <f>CORREL(E13:E46,H13:H46)</f>
        <v>-0.54368111068879221</v>
      </c>
      <c r="F2" s="141">
        <f>CORREL(F13:F46,H13:H46)</f>
        <v>0.4841467263079845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-0.49840057712327612</v>
      </c>
      <c r="C3" s="141">
        <f>CORREL(C13:C46,G13:G46)</f>
        <v>0.34181042128559258</v>
      </c>
      <c r="D3" s="141">
        <f>CORREL(D13:D46,G13:G46)</f>
        <v>-0.16453324992593255</v>
      </c>
      <c r="E3" s="141">
        <f>CORREL(E13:E46,G13:G46)</f>
        <v>-0.85403263765381299</v>
      </c>
      <c r="F3" s="141">
        <f>CORREL(F13:F46,G13:G46)</f>
        <v>0.84927915393523912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87" t="s">
        <v>474</v>
      </c>
      <c r="B6" s="125">
        <v>28.7</v>
      </c>
      <c r="C6" s="93">
        <v>450</v>
      </c>
      <c r="D6" s="101">
        <v>0.16</v>
      </c>
      <c r="E6" s="101">
        <v>0.5</v>
      </c>
      <c r="F6" s="101">
        <v>0.34</v>
      </c>
      <c r="G6" s="101">
        <v>0.255</v>
      </c>
      <c r="H6" s="98">
        <v>0.72399999999999998</v>
      </c>
      <c r="J6" s="151">
        <f>D6</f>
        <v>0.16</v>
      </c>
      <c r="K6" s="151">
        <f>E6</f>
        <v>0.5</v>
      </c>
      <c r="L6" s="151">
        <f>F6</f>
        <v>0.34</v>
      </c>
      <c r="M6" s="157" t="s">
        <v>491</v>
      </c>
      <c r="N6" s="68">
        <f>MIN(G6:G13)</f>
        <v>5.3999999999999999E-2</v>
      </c>
      <c r="O6" s="68">
        <f>AVERAGE(G6:G13)</f>
        <v>0.19637499999999999</v>
      </c>
      <c r="P6" s="68">
        <f>MAX(G6:G13)</f>
        <v>0.314</v>
      </c>
    </row>
    <row r="7" spans="1:17" ht="15" customHeight="1" x14ac:dyDescent="0.25">
      <c r="A7" s="87" t="s">
        <v>474</v>
      </c>
      <c r="B7" s="126">
        <v>29.3</v>
      </c>
      <c r="C7" s="93">
        <v>450</v>
      </c>
      <c r="D7" s="101">
        <v>0.16</v>
      </c>
      <c r="E7" s="101">
        <v>0.5</v>
      </c>
      <c r="F7" s="101">
        <v>0.34</v>
      </c>
      <c r="G7" s="101">
        <v>0.314</v>
      </c>
      <c r="H7" s="98">
        <v>0.94499999999999995</v>
      </c>
      <c r="J7" s="151">
        <f>D10</f>
        <v>0.23</v>
      </c>
      <c r="K7" s="151">
        <f>E10</f>
        <v>0.45799999999999996</v>
      </c>
      <c r="L7" s="151">
        <f>F10</f>
        <v>0.312</v>
      </c>
      <c r="M7" s="157" t="s">
        <v>486</v>
      </c>
      <c r="N7" s="68">
        <f>MIN(G14)</f>
        <v>0.27600000000000002</v>
      </c>
      <c r="O7" s="68">
        <f>AVERAGE(G14)</f>
        <v>0.27600000000000002</v>
      </c>
      <c r="P7" s="68">
        <f>MAX(G14)</f>
        <v>0.27600000000000002</v>
      </c>
    </row>
    <row r="8" spans="1:17" ht="15" customHeight="1" x14ac:dyDescent="0.25">
      <c r="A8" s="87" t="s">
        <v>474</v>
      </c>
      <c r="B8" s="93">
        <v>29.6</v>
      </c>
      <c r="C8" s="93">
        <v>450</v>
      </c>
      <c r="D8" s="101">
        <v>0.16</v>
      </c>
      <c r="E8" s="101">
        <v>0.5</v>
      </c>
      <c r="F8" s="101">
        <v>0.34</v>
      </c>
      <c r="G8" s="101">
        <v>0.309</v>
      </c>
      <c r="H8" s="98">
        <v>1.31</v>
      </c>
      <c r="J8" s="151">
        <f t="shared" ref="J8:L9" si="0">D12</f>
        <v>0.25800000000000001</v>
      </c>
      <c r="K8" s="151">
        <f t="shared" si="0"/>
        <v>0.51600000000000001</v>
      </c>
      <c r="L8" s="151">
        <f t="shared" si="0"/>
        <v>0.22600000000000001</v>
      </c>
      <c r="M8" s="157" t="s">
        <v>487</v>
      </c>
      <c r="N8" s="68">
        <f>MIN(G15:G18)</f>
        <v>0.22</v>
      </c>
      <c r="O8" s="68">
        <f>AVERAGE(G15:G18)</f>
        <v>0.26250000000000001</v>
      </c>
      <c r="P8" s="68">
        <f>MAX(G15:G18)</f>
        <v>0.32400000000000001</v>
      </c>
    </row>
    <row r="9" spans="1:17" ht="15" customHeight="1" x14ac:dyDescent="0.25">
      <c r="A9" s="87" t="s">
        <v>81</v>
      </c>
      <c r="B9" s="93">
        <v>30.6</v>
      </c>
      <c r="C9" s="93">
        <v>450</v>
      </c>
      <c r="D9" s="101">
        <v>0.21</v>
      </c>
      <c r="E9" s="101">
        <v>0.65799999999999992</v>
      </c>
      <c r="F9" s="101">
        <v>0.13200000000000001</v>
      </c>
      <c r="G9" s="101">
        <v>5.3999999999999999E-2</v>
      </c>
      <c r="H9" s="98">
        <v>0.121</v>
      </c>
      <c r="J9" s="151">
        <f t="shared" si="0"/>
        <v>0.29399999999999998</v>
      </c>
      <c r="K9" s="151">
        <f t="shared" si="0"/>
        <v>0.58799999999999997</v>
      </c>
      <c r="L9" s="151">
        <f t="shared" si="0"/>
        <v>0.11800000000000001</v>
      </c>
      <c r="M9" s="157" t="s">
        <v>488</v>
      </c>
      <c r="N9" s="68">
        <f>MIN(G19)</f>
        <v>0.26300000000000001</v>
      </c>
      <c r="O9" s="68">
        <f>AVERAGE(G19)</f>
        <v>0.26300000000000001</v>
      </c>
      <c r="P9" s="68">
        <f>MAX(G19)</f>
        <v>0.26300000000000001</v>
      </c>
    </row>
    <row r="10" spans="1:17" ht="15" customHeight="1" x14ac:dyDescent="0.25">
      <c r="A10" s="87" t="s">
        <v>476</v>
      </c>
      <c r="B10" s="93">
        <v>31.6</v>
      </c>
      <c r="C10" s="93">
        <v>450</v>
      </c>
      <c r="D10" s="101">
        <v>0.23</v>
      </c>
      <c r="E10" s="101">
        <v>0.45799999999999996</v>
      </c>
      <c r="F10" s="101">
        <v>0.312</v>
      </c>
      <c r="G10" s="101">
        <v>0.27600000000000002</v>
      </c>
      <c r="H10" s="98">
        <v>0.56200000000000006</v>
      </c>
      <c r="J10" s="151">
        <f t="shared" ref="J10:L11" si="1">D28</f>
        <v>0.182</v>
      </c>
      <c r="K10" s="151">
        <f t="shared" si="1"/>
        <v>0.56799999999999995</v>
      </c>
      <c r="L10" s="151">
        <f t="shared" si="1"/>
        <v>0.25</v>
      </c>
      <c r="M10" s="157" t="s">
        <v>489</v>
      </c>
      <c r="N10" s="68">
        <f>MIN(G20:G26)</f>
        <v>0.188</v>
      </c>
      <c r="O10" s="68">
        <f>AVERAGE(G20:G26)</f>
        <v>0.28514285714285714</v>
      </c>
      <c r="P10" s="68">
        <f>MAX(G20:G26)</f>
        <v>0.32600000000000001</v>
      </c>
    </row>
    <row r="11" spans="1:17" ht="15" customHeight="1" x14ac:dyDescent="0.25">
      <c r="A11" s="87" t="s">
        <v>477</v>
      </c>
      <c r="B11" s="125">
        <v>28.7</v>
      </c>
      <c r="C11" s="93">
        <v>450</v>
      </c>
      <c r="D11" s="101">
        <v>0.25800000000000001</v>
      </c>
      <c r="E11" s="101">
        <v>0.51600000000000001</v>
      </c>
      <c r="F11" s="101">
        <v>0.22600000000000001</v>
      </c>
      <c r="G11" s="101">
        <v>0.161</v>
      </c>
      <c r="H11" s="98">
        <v>0.45600000000000002</v>
      </c>
      <c r="J11" s="151">
        <f t="shared" si="1"/>
        <v>0.182</v>
      </c>
      <c r="K11" s="151">
        <f t="shared" si="1"/>
        <v>0.56799999999999995</v>
      </c>
      <c r="L11" s="151">
        <f t="shared" si="1"/>
        <v>0.25</v>
      </c>
      <c r="M11" s="157" t="s">
        <v>490</v>
      </c>
      <c r="N11" s="68">
        <f>MIN(G27:G36)</f>
        <v>0.14299999999999999</v>
      </c>
      <c r="O11" s="68">
        <f>AVERAGE(G27:G36)</f>
        <v>0.25939999999999996</v>
      </c>
      <c r="P11" s="68">
        <f>MAX(G27:G36)</f>
        <v>0.314</v>
      </c>
    </row>
    <row r="12" spans="1:17" ht="15" customHeight="1" x14ac:dyDescent="0.25">
      <c r="A12" s="87" t="s">
        <v>477</v>
      </c>
      <c r="B12" s="125">
        <v>28.7</v>
      </c>
      <c r="C12" s="93">
        <v>450</v>
      </c>
      <c r="D12" s="101">
        <v>0.25800000000000001</v>
      </c>
      <c r="E12" s="101">
        <v>0.51600000000000001</v>
      </c>
      <c r="F12" s="101">
        <v>0.22600000000000001</v>
      </c>
      <c r="G12" s="101">
        <v>0.14000000000000001</v>
      </c>
      <c r="H12" s="98">
        <v>0.40100000000000002</v>
      </c>
      <c r="J12" s="151"/>
      <c r="K12" s="151"/>
      <c r="L12" s="151"/>
      <c r="M12" s="157"/>
      <c r="N12" s="68"/>
      <c r="O12" s="68"/>
      <c r="P12" s="68"/>
    </row>
    <row r="13" spans="1:17" ht="15" customHeight="1" x14ac:dyDescent="0.25">
      <c r="A13" s="87" t="s">
        <v>158</v>
      </c>
      <c r="B13" s="95">
        <v>30.5</v>
      </c>
      <c r="C13" s="93">
        <v>450</v>
      </c>
      <c r="D13" s="101">
        <v>0.29399999999999998</v>
      </c>
      <c r="E13" s="101">
        <v>0.58799999999999997</v>
      </c>
      <c r="F13" s="101">
        <v>0.11800000000000001</v>
      </c>
      <c r="G13" s="101">
        <v>6.2E-2</v>
      </c>
      <c r="H13" s="98">
        <v>0.111</v>
      </c>
      <c r="J13" s="151"/>
      <c r="K13" s="151"/>
      <c r="L13" s="151"/>
      <c r="M13" s="157"/>
      <c r="N13" s="68"/>
      <c r="O13" s="68"/>
      <c r="P13" s="68"/>
    </row>
    <row r="14" spans="1:17" ht="15" customHeight="1" x14ac:dyDescent="0.25">
      <c r="A14" s="113" t="s">
        <v>476</v>
      </c>
      <c r="B14" s="109">
        <v>19.399999999999999</v>
      </c>
      <c r="C14" s="109">
        <v>480</v>
      </c>
      <c r="D14" s="110">
        <v>0.23</v>
      </c>
      <c r="E14" s="110">
        <v>0.45799999999999996</v>
      </c>
      <c r="F14" s="110">
        <v>0.312</v>
      </c>
      <c r="G14" s="110">
        <v>0.27600000000000002</v>
      </c>
      <c r="H14" s="111">
        <v>0.41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475</v>
      </c>
      <c r="B15" s="96">
        <v>7.7</v>
      </c>
      <c r="C15" s="96">
        <v>500</v>
      </c>
      <c r="D15" s="100">
        <v>0.222</v>
      </c>
      <c r="E15" s="100">
        <v>0.44400000000000001</v>
      </c>
      <c r="F15" s="100">
        <v>0.33399999999999996</v>
      </c>
      <c r="G15" s="100">
        <v>0.32400000000000001</v>
      </c>
      <c r="H15" s="97">
        <v>1.28</v>
      </c>
      <c r="I15" s="106"/>
      <c r="K15" s="151"/>
      <c r="L15" s="151"/>
      <c r="M15" s="151" t="str">
        <f>M6</f>
        <v>450</v>
      </c>
      <c r="N15" s="68">
        <f>N6</f>
        <v>5.3999999999999999E-2</v>
      </c>
      <c r="O15" s="68">
        <f>O6-N6</f>
        <v>0.142375</v>
      </c>
      <c r="P15" s="68">
        <f>P6-O6</f>
        <v>0.11762500000000001</v>
      </c>
    </row>
    <row r="16" spans="1:17" ht="15" customHeight="1" x14ac:dyDescent="0.25">
      <c r="A16" s="89" t="s">
        <v>475</v>
      </c>
      <c r="B16" s="96">
        <v>28.5</v>
      </c>
      <c r="C16" s="96">
        <v>500</v>
      </c>
      <c r="D16" s="100">
        <v>0.222</v>
      </c>
      <c r="E16" s="100">
        <v>0.44400000000000001</v>
      </c>
      <c r="F16" s="100">
        <v>0.33399999999999996</v>
      </c>
      <c r="G16" s="100">
        <v>0.27600000000000002</v>
      </c>
      <c r="H16" s="97">
        <v>1.1000000000000001</v>
      </c>
      <c r="I16" s="106"/>
      <c r="K16" s="151"/>
      <c r="L16" s="151"/>
      <c r="M16" s="151" t="str">
        <f>M8</f>
        <v>500</v>
      </c>
      <c r="N16" s="68">
        <f>N8</f>
        <v>0.22</v>
      </c>
      <c r="O16" s="68">
        <f>O8-N8</f>
        <v>4.250000000000001E-2</v>
      </c>
      <c r="P16" s="68">
        <f>P8-O8</f>
        <v>6.1499999999999999E-2</v>
      </c>
    </row>
    <row r="17" spans="1:16" ht="15" customHeight="1" x14ac:dyDescent="0.25">
      <c r="A17" s="89" t="s">
        <v>127</v>
      </c>
      <c r="B17" s="96">
        <v>7.7</v>
      </c>
      <c r="C17" s="96">
        <v>500</v>
      </c>
      <c r="D17" s="100">
        <v>0.23800000000000002</v>
      </c>
      <c r="E17" s="100">
        <v>0.47600000000000003</v>
      </c>
      <c r="F17" s="100">
        <v>0.28600000000000003</v>
      </c>
      <c r="G17" s="100">
        <v>0.23</v>
      </c>
      <c r="H17" s="97">
        <v>0.64100000000000001</v>
      </c>
      <c r="I17" s="106"/>
      <c r="K17" s="151"/>
      <c r="L17" s="151"/>
      <c r="M17" s="151" t="str">
        <f>M10</f>
        <v>525</v>
      </c>
      <c r="N17" s="68">
        <f>N10</f>
        <v>0.188</v>
      </c>
      <c r="O17" s="68">
        <f>O10-N10</f>
        <v>9.7142857142857142E-2</v>
      </c>
      <c r="P17" s="68">
        <f>P10-O10</f>
        <v>4.085714285714287E-2</v>
      </c>
    </row>
    <row r="18" spans="1:16" ht="15" customHeight="1" x14ac:dyDescent="0.25">
      <c r="A18" s="89" t="s">
        <v>127</v>
      </c>
      <c r="B18" s="96">
        <v>28.5</v>
      </c>
      <c r="C18" s="96">
        <v>500</v>
      </c>
      <c r="D18" s="100">
        <v>0.23800000000000002</v>
      </c>
      <c r="E18" s="100">
        <v>0.47600000000000003</v>
      </c>
      <c r="F18" s="100">
        <v>0.28600000000000003</v>
      </c>
      <c r="G18" s="100">
        <v>0.22</v>
      </c>
      <c r="H18" s="97">
        <v>0.63200000000000001</v>
      </c>
      <c r="I18" s="106"/>
      <c r="K18" s="151"/>
      <c r="L18" s="151"/>
      <c r="M18" s="151" t="str">
        <f>M11</f>
        <v>550</v>
      </c>
      <c r="N18" s="68">
        <f>N11</f>
        <v>0.14299999999999999</v>
      </c>
      <c r="O18" s="68">
        <f>O11-N11</f>
        <v>0.11639999999999998</v>
      </c>
      <c r="P18" s="68">
        <f>P11-O11</f>
        <v>5.4600000000000037E-2</v>
      </c>
    </row>
    <row r="19" spans="1:16" ht="15" customHeight="1" x14ac:dyDescent="0.25">
      <c r="A19" s="113" t="s">
        <v>476</v>
      </c>
      <c r="B19" s="109">
        <v>20.399999999999999</v>
      </c>
      <c r="C19" s="109">
        <v>520</v>
      </c>
      <c r="D19" s="110">
        <v>0.23</v>
      </c>
      <c r="E19" s="110">
        <v>0.45799999999999996</v>
      </c>
      <c r="F19" s="110">
        <v>0.312</v>
      </c>
      <c r="G19" s="110">
        <v>0.26300000000000001</v>
      </c>
      <c r="H19" s="111">
        <v>0.62</v>
      </c>
      <c r="I19" s="106"/>
      <c r="K19" s="151"/>
      <c r="L19" s="151"/>
    </row>
    <row r="20" spans="1:16" ht="15" customHeight="1" x14ac:dyDescent="0.25">
      <c r="A20" s="136" t="s">
        <v>475</v>
      </c>
      <c r="B20" s="144">
        <v>18.8</v>
      </c>
      <c r="C20" s="144">
        <v>525</v>
      </c>
      <c r="D20" s="145">
        <v>0.22</v>
      </c>
      <c r="E20" s="145">
        <v>0.43799999999999994</v>
      </c>
      <c r="F20" s="145">
        <v>0.34200000000000003</v>
      </c>
      <c r="G20" s="145">
        <v>0.312</v>
      </c>
      <c r="H20" s="146">
        <v>1.08</v>
      </c>
      <c r="I20" s="106"/>
      <c r="K20" s="151"/>
      <c r="L20" s="151"/>
    </row>
    <row r="21" spans="1:16" ht="15" customHeight="1" x14ac:dyDescent="0.25">
      <c r="A21" s="147" t="s">
        <v>476</v>
      </c>
      <c r="B21" s="144">
        <v>5.9</v>
      </c>
      <c r="C21" s="144">
        <v>525</v>
      </c>
      <c r="D21" s="145">
        <v>0.23</v>
      </c>
      <c r="E21" s="145">
        <v>0.45799999999999996</v>
      </c>
      <c r="F21" s="145">
        <v>0.312</v>
      </c>
      <c r="G21" s="145">
        <v>0.32600000000000001</v>
      </c>
      <c r="H21" s="146">
        <v>2.09</v>
      </c>
      <c r="I21" s="106"/>
      <c r="K21" s="151"/>
      <c r="L21" s="151"/>
      <c r="M21" s="151">
        <f t="shared" ref="M21:N22" si="2">M12</f>
        <v>0</v>
      </c>
      <c r="N21" s="68">
        <f t="shared" si="2"/>
        <v>0</v>
      </c>
      <c r="O21" s="68">
        <f t="shared" ref="O21:P22" si="3">O12-N12</f>
        <v>0</v>
      </c>
      <c r="P21" s="68">
        <f t="shared" si="3"/>
        <v>0</v>
      </c>
    </row>
    <row r="22" spans="1:16" ht="15" customHeight="1" x14ac:dyDescent="0.25">
      <c r="A22" s="147" t="s">
        <v>476</v>
      </c>
      <c r="B22" s="144">
        <v>5.9</v>
      </c>
      <c r="C22" s="144">
        <v>525</v>
      </c>
      <c r="D22" s="145">
        <v>0.23</v>
      </c>
      <c r="E22" s="145">
        <v>0.45799999999999996</v>
      </c>
      <c r="F22" s="145">
        <v>0.312</v>
      </c>
      <c r="G22" s="145">
        <v>0.32600000000000001</v>
      </c>
      <c r="H22" s="146">
        <v>2.09</v>
      </c>
      <c r="I22" s="106"/>
      <c r="K22" s="151"/>
      <c r="L22" s="151"/>
      <c r="M22" s="151">
        <f t="shared" si="2"/>
        <v>0</v>
      </c>
      <c r="N22" s="68">
        <f t="shared" si="2"/>
        <v>0</v>
      </c>
      <c r="O22" s="68">
        <f t="shared" si="3"/>
        <v>0</v>
      </c>
      <c r="P22" s="68">
        <f t="shared" si="3"/>
        <v>0</v>
      </c>
    </row>
    <row r="23" spans="1:16" ht="15" customHeight="1" x14ac:dyDescent="0.25">
      <c r="A23" s="147" t="s">
        <v>476</v>
      </c>
      <c r="B23" s="144">
        <v>18.8</v>
      </c>
      <c r="C23" s="144">
        <v>525</v>
      </c>
      <c r="D23" s="145">
        <v>0.23</v>
      </c>
      <c r="E23" s="145">
        <v>0.45799999999999996</v>
      </c>
      <c r="F23" s="145">
        <v>0.312</v>
      </c>
      <c r="G23" s="145">
        <v>0.313</v>
      </c>
      <c r="H23" s="146">
        <v>1.56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147" t="s">
        <v>476</v>
      </c>
      <c r="B24" s="144">
        <v>18.8</v>
      </c>
      <c r="C24" s="144">
        <v>525</v>
      </c>
      <c r="D24" s="145">
        <v>0.23</v>
      </c>
      <c r="E24" s="145">
        <v>0.45799999999999996</v>
      </c>
      <c r="F24" s="145">
        <v>0.312</v>
      </c>
      <c r="G24" s="145">
        <v>0.3</v>
      </c>
      <c r="H24" s="146">
        <v>1.33</v>
      </c>
      <c r="I24" s="106"/>
      <c r="K24" s="151"/>
      <c r="L24" s="151"/>
      <c r="M24" s="151"/>
      <c r="N24" s="68"/>
      <c r="O24" s="68"/>
      <c r="P24" s="68"/>
    </row>
    <row r="25" spans="1:16" ht="15" customHeight="1" x14ac:dyDescent="0.25">
      <c r="A25" s="147" t="s">
        <v>476</v>
      </c>
      <c r="B25" s="144">
        <v>27.5</v>
      </c>
      <c r="C25" s="144">
        <v>525</v>
      </c>
      <c r="D25" s="145">
        <v>0.23</v>
      </c>
      <c r="E25" s="145">
        <v>0.45799999999999996</v>
      </c>
      <c r="F25" s="145">
        <v>0.312</v>
      </c>
      <c r="G25" s="145">
        <v>0.188</v>
      </c>
      <c r="H25" s="146">
        <v>0.28000000000000003</v>
      </c>
      <c r="I25" s="106"/>
      <c r="K25" s="151"/>
      <c r="L25" s="151"/>
      <c r="M25" s="151"/>
      <c r="N25" s="68"/>
      <c r="O25" s="68"/>
      <c r="P25" s="68"/>
    </row>
    <row r="26" spans="1:16" ht="15.75" x14ac:dyDescent="0.25">
      <c r="A26" s="136" t="s">
        <v>127</v>
      </c>
      <c r="B26" s="144">
        <v>18.8</v>
      </c>
      <c r="C26" s="144">
        <v>525</v>
      </c>
      <c r="D26" s="145">
        <v>0.24</v>
      </c>
      <c r="E26" s="145">
        <v>0.48399999999999999</v>
      </c>
      <c r="F26" s="145">
        <v>0.27600000000000002</v>
      </c>
      <c r="G26" s="145">
        <v>0.23100000000000001</v>
      </c>
      <c r="H26" s="146">
        <v>1.1000000000000001</v>
      </c>
      <c r="I26" s="106"/>
      <c r="K26" s="151"/>
      <c r="L26" s="151"/>
      <c r="M26" s="151"/>
      <c r="N26" s="68"/>
      <c r="O26" s="68"/>
      <c r="P26" s="68"/>
    </row>
    <row r="27" spans="1:16" ht="15.75" x14ac:dyDescent="0.25">
      <c r="A27" s="108" t="s">
        <v>474</v>
      </c>
      <c r="B27" s="114">
        <v>27.8</v>
      </c>
      <c r="C27" s="114">
        <v>550</v>
      </c>
      <c r="D27" s="115">
        <v>0.16</v>
      </c>
      <c r="E27" s="115">
        <v>0.5</v>
      </c>
      <c r="F27" s="115">
        <v>0.34</v>
      </c>
      <c r="G27" s="115">
        <v>0.27400000000000002</v>
      </c>
      <c r="H27" s="112">
        <v>0.77100000000000002</v>
      </c>
      <c r="I27" s="106"/>
      <c r="K27" s="151"/>
      <c r="L27" s="151"/>
      <c r="M27" s="151"/>
      <c r="N27" s="68"/>
      <c r="O27" s="68"/>
      <c r="P27" s="68"/>
    </row>
    <row r="28" spans="1:16" ht="15.75" x14ac:dyDescent="0.25">
      <c r="A28" s="108" t="s">
        <v>60</v>
      </c>
      <c r="B28" s="116">
        <v>27.8</v>
      </c>
      <c r="C28" s="114">
        <v>550</v>
      </c>
      <c r="D28" s="115">
        <v>0.182</v>
      </c>
      <c r="E28" s="115">
        <v>0.56799999999999995</v>
      </c>
      <c r="F28" s="115">
        <v>0.25</v>
      </c>
      <c r="G28" s="115">
        <v>0.16900000000000001</v>
      </c>
      <c r="H28" s="112">
        <v>0.47799999999999998</v>
      </c>
    </row>
    <row r="29" spans="1:16" ht="15.75" x14ac:dyDescent="0.25">
      <c r="A29" s="108" t="s">
        <v>60</v>
      </c>
      <c r="B29" s="116">
        <v>28.4</v>
      </c>
      <c r="C29" s="114">
        <v>550</v>
      </c>
      <c r="D29" s="115">
        <v>0.182</v>
      </c>
      <c r="E29" s="115">
        <v>0.56799999999999995</v>
      </c>
      <c r="F29" s="115">
        <v>0.25</v>
      </c>
      <c r="G29" s="115">
        <v>0.14299999999999999</v>
      </c>
      <c r="H29" s="112">
        <v>0.51100000000000001</v>
      </c>
    </row>
    <row r="30" spans="1:16" ht="15.75" x14ac:dyDescent="0.25">
      <c r="A30" s="108" t="s">
        <v>475</v>
      </c>
      <c r="B30" s="109">
        <v>8.3000000000000007</v>
      </c>
      <c r="C30" s="109">
        <v>550</v>
      </c>
      <c r="D30" s="110">
        <v>0.222</v>
      </c>
      <c r="E30" s="110">
        <v>0.44400000000000001</v>
      </c>
      <c r="F30" s="110">
        <v>0.33399999999999996</v>
      </c>
      <c r="G30" s="110">
        <v>0.314</v>
      </c>
      <c r="H30" s="111">
        <v>1.84</v>
      </c>
      <c r="I30" s="106"/>
      <c r="K30" s="151"/>
      <c r="L30" s="151"/>
      <c r="M30" s="151"/>
      <c r="N30" s="68"/>
      <c r="O30" s="68"/>
      <c r="P30" s="68"/>
    </row>
    <row r="31" spans="1:16" ht="15.75" x14ac:dyDescent="0.25">
      <c r="A31" s="108" t="s">
        <v>475</v>
      </c>
      <c r="B31" s="109">
        <v>26.3</v>
      </c>
      <c r="C31" s="109">
        <v>550</v>
      </c>
      <c r="D31" s="110">
        <v>0.222</v>
      </c>
      <c r="E31" s="110">
        <v>0.44400000000000001</v>
      </c>
      <c r="F31" s="110">
        <v>0.33399999999999996</v>
      </c>
      <c r="G31" s="110">
        <v>0.29699999999999999</v>
      </c>
      <c r="H31" s="111">
        <v>1.46</v>
      </c>
      <c r="I31" s="106"/>
      <c r="K31" s="151"/>
      <c r="L31" s="151"/>
      <c r="M31" s="151"/>
      <c r="N31" s="68"/>
      <c r="O31" s="68"/>
      <c r="P31" s="68"/>
    </row>
    <row r="32" spans="1:16" ht="15.75" x14ac:dyDescent="0.25">
      <c r="A32" s="113" t="s">
        <v>476</v>
      </c>
      <c r="B32" s="114">
        <v>27.2</v>
      </c>
      <c r="C32" s="114">
        <v>550</v>
      </c>
      <c r="D32" s="115">
        <v>0.23</v>
      </c>
      <c r="E32" s="115">
        <v>0.45799999999999996</v>
      </c>
      <c r="F32" s="115">
        <v>0.312</v>
      </c>
      <c r="G32" s="115">
        <v>0.26800000000000002</v>
      </c>
      <c r="H32" s="112">
        <v>0.98199999999999998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113" t="s">
        <v>476</v>
      </c>
      <c r="B33" s="116">
        <v>28.4</v>
      </c>
      <c r="C33" s="114">
        <v>550</v>
      </c>
      <c r="D33" s="115">
        <v>0.23</v>
      </c>
      <c r="E33" s="115">
        <v>0.45799999999999996</v>
      </c>
      <c r="F33" s="115">
        <v>0.312</v>
      </c>
      <c r="G33" s="115">
        <v>0.30299999999999999</v>
      </c>
      <c r="H33" s="112">
        <v>1.2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113" t="s">
        <v>476</v>
      </c>
      <c r="B34" s="116">
        <v>28.4</v>
      </c>
      <c r="C34" s="114">
        <v>550</v>
      </c>
      <c r="D34" s="115">
        <v>0.23</v>
      </c>
      <c r="E34" s="115">
        <v>0.45799999999999996</v>
      </c>
      <c r="F34" s="115">
        <v>0.312</v>
      </c>
      <c r="G34" s="115">
        <v>0.26500000000000001</v>
      </c>
      <c r="H34" s="112">
        <v>0.93200000000000005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108" t="s">
        <v>127</v>
      </c>
      <c r="B35" s="109">
        <v>8.1999999999999993</v>
      </c>
      <c r="C35" s="109">
        <v>550</v>
      </c>
      <c r="D35" s="110">
        <v>0.23800000000000002</v>
      </c>
      <c r="E35" s="110">
        <v>0.47600000000000003</v>
      </c>
      <c r="F35" s="110">
        <v>0.28600000000000003</v>
      </c>
      <c r="G35" s="110">
        <v>0.26100000000000001</v>
      </c>
      <c r="H35" s="111">
        <v>1.19</v>
      </c>
    </row>
    <row r="36" spans="1:16" ht="15.75" x14ac:dyDescent="0.25">
      <c r="A36" s="108" t="s">
        <v>127</v>
      </c>
      <c r="B36" s="109">
        <v>26.3</v>
      </c>
      <c r="C36" s="109">
        <v>550</v>
      </c>
      <c r="D36" s="110">
        <v>0.23800000000000002</v>
      </c>
      <c r="E36" s="110">
        <v>0.47600000000000003</v>
      </c>
      <c r="F36" s="110">
        <v>0.28600000000000003</v>
      </c>
      <c r="G36" s="110">
        <v>0.3</v>
      </c>
      <c r="H36" s="111">
        <v>1.6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0.21962500000000001</v>
      </c>
      <c r="E65" s="64">
        <f>AVERAGE(E14:E29)</f>
        <v>0.47525000000000001</v>
      </c>
      <c r="F65" s="64">
        <f>AVERAGE(F14:F29)</f>
        <v>0.30512499999999992</v>
      </c>
      <c r="G65" s="64">
        <f>AVERAGE(G14:G29)</f>
        <v>0.26068749999999996</v>
      </c>
      <c r="H65" s="64">
        <f>AVERAGE(H14:H29)</f>
        <v>0.99831249999999994</v>
      </c>
    </row>
    <row r="66" spans="3:11" x14ac:dyDescent="0.25">
      <c r="C66" t="s">
        <v>436</v>
      </c>
      <c r="D66" s="41">
        <f>_xlfn.STDEV.P(D14:D29)</f>
        <v>2.2696021127060775E-2</v>
      </c>
      <c r="E66" s="41">
        <f>_xlfn.STDEV.P(E14:E29)</f>
        <v>3.8176399777873231E-2</v>
      </c>
      <c r="F66" s="41">
        <f>_xlfn.STDEV.P(F14:F29)</f>
        <v>2.7649310570066653E-2</v>
      </c>
      <c r="G66" s="41">
        <f>_xlfn.STDEV.P(G14:G29)</f>
        <v>5.6527337136557387E-2</v>
      </c>
      <c r="H66" s="41">
        <f>_xlfn.STDEV.P(H14:H29)</f>
        <v>0.54444383534369256</v>
      </c>
      <c r="K66">
        <v>0.45946666666666669</v>
      </c>
    </row>
    <row r="67" spans="3:11" x14ac:dyDescent="0.25">
      <c r="C67" t="s">
        <v>437</v>
      </c>
      <c r="D67">
        <f>MIN(D14:D29)</f>
        <v>0.16</v>
      </c>
      <c r="E67">
        <f>MIN(E14:E29)</f>
        <v>0.43799999999999994</v>
      </c>
      <c r="F67">
        <f>MIN(F14:F29)</f>
        <v>0.25</v>
      </c>
      <c r="G67">
        <f>MIN(G14:G29)</f>
        <v>0.14299999999999999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0.24</v>
      </c>
      <c r="E68">
        <f>MAX(E14:E29)</f>
        <v>0.56799999999999995</v>
      </c>
      <c r="F68">
        <f>MAX(F14:F29)</f>
        <v>0.34200000000000003</v>
      </c>
      <c r="G68">
        <f>MAX(G14:G29)</f>
        <v>0.32600000000000001</v>
      </c>
      <c r="H68">
        <f>MAX(H14:H29)</f>
        <v>2.09</v>
      </c>
      <c r="K68">
        <v>0.31053333333333327</v>
      </c>
    </row>
    <row r="69" spans="3:11" x14ac:dyDescent="0.25">
      <c r="C69" t="s">
        <v>439</v>
      </c>
      <c r="D69">
        <f>D68-D67</f>
        <v>7.9999999999999988E-2</v>
      </c>
      <c r="E69">
        <f t="shared" ref="E69:H69" si="4">E68-E67</f>
        <v>0.13</v>
      </c>
      <c r="F69">
        <f t="shared" si="4"/>
        <v>9.2000000000000026E-2</v>
      </c>
      <c r="G69">
        <f t="shared" si="4"/>
        <v>0.18300000000000002</v>
      </c>
      <c r="H69">
        <f t="shared" si="4"/>
        <v>1.8099999999999998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J13" sqref="J13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/>
      <c r="Q1" s="71" t="s">
        <v>429</v>
      </c>
    </row>
    <row r="2" spans="1:17" ht="15" customHeight="1" x14ac:dyDescent="0.25">
      <c r="A2" s="142" t="s">
        <v>472</v>
      </c>
      <c r="B2" s="141">
        <f>CORREL(B13:B46,H13:H46)</f>
        <v>-0.37089206523925894</v>
      </c>
      <c r="C2" s="141">
        <f>CORREL(C13:C46,H13:H46)</f>
        <v>0.44050871816093906</v>
      </c>
      <c r="D2" s="141">
        <f>CORREL(D13:D46,H13:H46)</f>
        <v>-0.15709526630195969</v>
      </c>
      <c r="E2" s="141">
        <f>CORREL(E13:E46,H13:H46)</f>
        <v>-0.58986468990723229</v>
      </c>
      <c r="F2" s="141">
        <f>CORREL(F13:F46,H13:H46)</f>
        <v>0.60928046524785651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-0.36860061033853814</v>
      </c>
      <c r="C3" s="141">
        <f>CORREL(C13:C46,G13:G46)</f>
        <v>0.31804371783876451</v>
      </c>
      <c r="D3" s="141">
        <f>CORREL(D13:D46,G13:G46)</f>
        <v>-0.32027150982805719</v>
      </c>
      <c r="E3" s="141">
        <f>CORREL(E13:E46,G13:G46)</f>
        <v>-0.82795940682559732</v>
      </c>
      <c r="F3" s="141">
        <f>CORREL(F13:F46,G13:G46)</f>
        <v>0.91242467496227286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147" t="s">
        <v>476</v>
      </c>
      <c r="B6" s="144">
        <v>5.9</v>
      </c>
      <c r="C6" s="144">
        <v>525</v>
      </c>
      <c r="D6" s="145">
        <v>0.23</v>
      </c>
      <c r="E6" s="145">
        <v>0.45799999999999996</v>
      </c>
      <c r="F6" s="145">
        <v>0.312</v>
      </c>
      <c r="G6" s="145">
        <v>0.32600000000000001</v>
      </c>
      <c r="H6" s="146">
        <v>2.09</v>
      </c>
      <c r="J6" s="151">
        <f>D6</f>
        <v>0.23</v>
      </c>
      <c r="K6" s="151">
        <f>E6</f>
        <v>0.45799999999999996</v>
      </c>
      <c r="L6" s="151">
        <f>F6</f>
        <v>0.312</v>
      </c>
      <c r="M6" s="151" t="s">
        <v>492</v>
      </c>
      <c r="N6" s="68">
        <f>MIN(G6:G11)</f>
        <v>0.23</v>
      </c>
      <c r="O6" s="68">
        <f>AVERAGE(G6:G11)</f>
        <v>0.29683333333333334</v>
      </c>
      <c r="P6" s="68">
        <f>MAX(G6:G11)</f>
        <v>0.32600000000000001</v>
      </c>
    </row>
    <row r="7" spans="1:17" ht="15" customHeight="1" x14ac:dyDescent="0.25">
      <c r="A7" s="147" t="s">
        <v>476</v>
      </c>
      <c r="B7" s="144">
        <v>5.9</v>
      </c>
      <c r="C7" s="144">
        <v>525</v>
      </c>
      <c r="D7" s="145">
        <v>0.23</v>
      </c>
      <c r="E7" s="145">
        <v>0.45799999999999996</v>
      </c>
      <c r="F7" s="145">
        <v>0.312</v>
      </c>
      <c r="G7" s="145">
        <v>0.32600000000000001</v>
      </c>
      <c r="H7" s="146">
        <v>2.09</v>
      </c>
      <c r="J7" s="151">
        <f>D10</f>
        <v>0.23800000000000002</v>
      </c>
      <c r="K7" s="151">
        <f>E10</f>
        <v>0.47600000000000003</v>
      </c>
      <c r="L7" s="151">
        <f>F10</f>
        <v>0.28600000000000003</v>
      </c>
      <c r="M7" s="151" t="s">
        <v>493</v>
      </c>
      <c r="N7" s="68">
        <f>MIN(G12:G17)</f>
        <v>0.23100000000000001</v>
      </c>
      <c r="O7" s="68">
        <f>AVERAGE(G12:G17)</f>
        <v>0.28250000000000003</v>
      </c>
      <c r="P7" s="68">
        <f>MAX(G12:G17)</f>
        <v>0.313</v>
      </c>
    </row>
    <row r="8" spans="1:17" ht="15" customHeight="1" x14ac:dyDescent="0.25">
      <c r="A8" s="136" t="s">
        <v>475</v>
      </c>
      <c r="B8" s="144">
        <v>7.7</v>
      </c>
      <c r="C8" s="144">
        <v>500</v>
      </c>
      <c r="D8" s="145">
        <v>0.222</v>
      </c>
      <c r="E8" s="145">
        <v>0.44400000000000001</v>
      </c>
      <c r="F8" s="145">
        <v>0.33399999999999996</v>
      </c>
      <c r="G8" s="145">
        <v>0.32400000000000001</v>
      </c>
      <c r="H8" s="146">
        <v>1.28</v>
      </c>
      <c r="J8" s="151">
        <f t="shared" ref="J8:L9" si="0">D12</f>
        <v>0.22</v>
      </c>
      <c r="K8" s="151">
        <f t="shared" si="0"/>
        <v>0.43799999999999994</v>
      </c>
      <c r="L8" s="151">
        <f t="shared" si="0"/>
        <v>0.34200000000000003</v>
      </c>
      <c r="M8" s="151" t="s">
        <v>494</v>
      </c>
      <c r="N8" s="68">
        <f>MIN(G18:G23)</f>
        <v>0.16900000000000001</v>
      </c>
      <c r="O8" s="68">
        <f>AVERAGE(G18:G23)</f>
        <v>0.24933333333333332</v>
      </c>
      <c r="P8" s="68">
        <f>MAX(G18:G23)</f>
        <v>0.3</v>
      </c>
    </row>
    <row r="9" spans="1:17" ht="15" customHeight="1" x14ac:dyDescent="0.25">
      <c r="A9" s="136" t="s">
        <v>127</v>
      </c>
      <c r="B9" s="144">
        <v>7.7</v>
      </c>
      <c r="C9" s="144">
        <v>500</v>
      </c>
      <c r="D9" s="145">
        <v>0.23800000000000002</v>
      </c>
      <c r="E9" s="145">
        <v>0.47600000000000003</v>
      </c>
      <c r="F9" s="145">
        <v>0.28600000000000003</v>
      </c>
      <c r="G9" s="145">
        <v>0.23</v>
      </c>
      <c r="H9" s="146">
        <v>0.64100000000000001</v>
      </c>
      <c r="J9" s="151">
        <f t="shared" si="0"/>
        <v>0.23</v>
      </c>
      <c r="K9" s="151">
        <f t="shared" si="0"/>
        <v>0.45799999999999996</v>
      </c>
      <c r="L9" s="151">
        <f t="shared" si="0"/>
        <v>0.312</v>
      </c>
      <c r="M9" s="151" t="s">
        <v>495</v>
      </c>
      <c r="N9" s="68">
        <f>MIN(G24:G33)</f>
        <v>0.14000000000000001</v>
      </c>
      <c r="O9" s="68">
        <f>AVERAGE(G24:G33)</f>
        <v>0.23860000000000006</v>
      </c>
      <c r="P9" s="68">
        <f>MAX(G24:G33)</f>
        <v>0.314</v>
      </c>
    </row>
    <row r="10" spans="1:17" ht="15" customHeight="1" x14ac:dyDescent="0.25">
      <c r="A10" s="136" t="s">
        <v>127</v>
      </c>
      <c r="B10" s="144">
        <v>8.1999999999999993</v>
      </c>
      <c r="C10" s="144">
        <v>550</v>
      </c>
      <c r="D10" s="145">
        <v>0.23800000000000002</v>
      </c>
      <c r="E10" s="145">
        <v>0.47600000000000003</v>
      </c>
      <c r="F10" s="145">
        <v>0.28600000000000003</v>
      </c>
      <c r="G10" s="145">
        <v>0.26100000000000001</v>
      </c>
      <c r="H10" s="146">
        <v>1.19</v>
      </c>
      <c r="J10" s="151">
        <f t="shared" ref="J10:L11" si="1">D28</f>
        <v>0.23800000000000002</v>
      </c>
      <c r="K10" s="151">
        <f t="shared" si="1"/>
        <v>0.47600000000000003</v>
      </c>
      <c r="L10" s="151">
        <f t="shared" si="1"/>
        <v>0.28600000000000003</v>
      </c>
      <c r="M10" s="151" t="s">
        <v>496</v>
      </c>
      <c r="N10" s="68">
        <f>MIN(G34:G36)</f>
        <v>5.3999999999999999E-2</v>
      </c>
      <c r="O10" s="68">
        <f>AVERAGE(G34:G36)</f>
        <v>0.13066666666666668</v>
      </c>
      <c r="P10" s="68">
        <f>MAX(G34:G36)</f>
        <v>0.27600000000000002</v>
      </c>
    </row>
    <row r="11" spans="1:17" ht="15" customHeight="1" x14ac:dyDescent="0.25">
      <c r="A11" s="136" t="s">
        <v>475</v>
      </c>
      <c r="B11" s="144">
        <v>8.3000000000000007</v>
      </c>
      <c r="C11" s="144">
        <v>550</v>
      </c>
      <c r="D11" s="145">
        <v>0.222</v>
      </c>
      <c r="E11" s="145">
        <v>0.44400000000000001</v>
      </c>
      <c r="F11" s="145">
        <v>0.33399999999999996</v>
      </c>
      <c r="G11" s="145">
        <v>0.314</v>
      </c>
      <c r="H11" s="146">
        <v>1.84</v>
      </c>
      <c r="J11" s="151">
        <f t="shared" si="1"/>
        <v>0.16</v>
      </c>
      <c r="K11" s="151">
        <f t="shared" si="1"/>
        <v>0.5</v>
      </c>
      <c r="L11" s="151">
        <f t="shared" si="1"/>
        <v>0.34</v>
      </c>
      <c r="N11" s="68"/>
      <c r="O11" s="68"/>
      <c r="P11" s="68"/>
    </row>
    <row r="12" spans="1:17" ht="15" customHeight="1" x14ac:dyDescent="0.25">
      <c r="A12" s="89" t="s">
        <v>475</v>
      </c>
      <c r="B12" s="96">
        <v>18.8</v>
      </c>
      <c r="C12" s="96">
        <v>525</v>
      </c>
      <c r="D12" s="100">
        <v>0.22</v>
      </c>
      <c r="E12" s="100">
        <v>0.43799999999999994</v>
      </c>
      <c r="F12" s="100">
        <v>0.34200000000000003</v>
      </c>
      <c r="G12" s="100">
        <v>0.312</v>
      </c>
      <c r="H12" s="97">
        <v>1.08</v>
      </c>
      <c r="J12" s="151"/>
      <c r="K12" s="151"/>
      <c r="L12" s="151"/>
      <c r="M12" s="157"/>
      <c r="N12" s="68"/>
      <c r="O12" s="68"/>
      <c r="P12" s="68"/>
    </row>
    <row r="13" spans="1:17" ht="15" customHeight="1" x14ac:dyDescent="0.25">
      <c r="A13" s="90" t="s">
        <v>476</v>
      </c>
      <c r="B13" s="96">
        <v>18.8</v>
      </c>
      <c r="C13" s="96">
        <v>525</v>
      </c>
      <c r="D13" s="100">
        <v>0.23</v>
      </c>
      <c r="E13" s="100">
        <v>0.45799999999999996</v>
      </c>
      <c r="F13" s="100">
        <v>0.312</v>
      </c>
      <c r="G13" s="100">
        <v>0.313</v>
      </c>
      <c r="H13" s="97">
        <v>1.56</v>
      </c>
      <c r="J13" s="151"/>
      <c r="K13" s="151"/>
      <c r="L13" s="151"/>
      <c r="M13" s="157"/>
      <c r="N13" s="68"/>
      <c r="O13" s="68"/>
      <c r="P13" s="68"/>
    </row>
    <row r="14" spans="1:17" ht="15" customHeight="1" x14ac:dyDescent="0.25">
      <c r="A14" s="90" t="s">
        <v>476</v>
      </c>
      <c r="B14" s="96">
        <v>18.8</v>
      </c>
      <c r="C14" s="96">
        <v>525</v>
      </c>
      <c r="D14" s="100">
        <v>0.23</v>
      </c>
      <c r="E14" s="100">
        <v>0.45799999999999996</v>
      </c>
      <c r="F14" s="100">
        <v>0.312</v>
      </c>
      <c r="G14" s="100">
        <v>0.3</v>
      </c>
      <c r="H14" s="97">
        <v>1.33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127</v>
      </c>
      <c r="B15" s="96">
        <v>18.8</v>
      </c>
      <c r="C15" s="96">
        <v>525</v>
      </c>
      <c r="D15" s="100">
        <v>0.24</v>
      </c>
      <c r="E15" s="100">
        <v>0.48399999999999999</v>
      </c>
      <c r="F15" s="100">
        <v>0.27600000000000002</v>
      </c>
      <c r="G15" s="100">
        <v>0.23100000000000001</v>
      </c>
      <c r="H15" s="97">
        <v>1.1000000000000001</v>
      </c>
      <c r="I15" s="106"/>
      <c r="K15" s="151"/>
      <c r="L15" s="151"/>
      <c r="M15" s="151" t="s">
        <v>492</v>
      </c>
      <c r="N15" s="68">
        <f>N6</f>
        <v>0.23</v>
      </c>
      <c r="O15" s="68">
        <f>O6-N6</f>
        <v>6.6833333333333328E-2</v>
      </c>
      <c r="P15" s="68">
        <f>P6-O6</f>
        <v>2.9166666666666674E-2</v>
      </c>
    </row>
    <row r="16" spans="1:17" ht="15" customHeight="1" x14ac:dyDescent="0.25">
      <c r="A16" s="90" t="s">
        <v>476</v>
      </c>
      <c r="B16" s="96">
        <v>19.399999999999999</v>
      </c>
      <c r="C16" s="96">
        <v>480</v>
      </c>
      <c r="D16" s="100">
        <v>0.23</v>
      </c>
      <c r="E16" s="100">
        <v>0.45799999999999996</v>
      </c>
      <c r="F16" s="100">
        <v>0.312</v>
      </c>
      <c r="G16" s="100">
        <v>0.27600000000000002</v>
      </c>
      <c r="H16" s="97">
        <v>0.41</v>
      </c>
      <c r="I16" s="106"/>
      <c r="K16" s="151"/>
      <c r="L16" s="151"/>
      <c r="M16" s="151" t="s">
        <v>493</v>
      </c>
      <c r="N16" s="68">
        <f t="shared" ref="M16:N22" si="2">N7</f>
        <v>0.23100000000000001</v>
      </c>
      <c r="O16" s="68">
        <f t="shared" ref="O16:P22" si="3">O7-N7</f>
        <v>5.1500000000000018E-2</v>
      </c>
      <c r="P16" s="68">
        <f t="shared" si="3"/>
        <v>3.0499999999999972E-2</v>
      </c>
    </row>
    <row r="17" spans="1:16" ht="15" customHeight="1" x14ac:dyDescent="0.25">
      <c r="A17" s="90" t="s">
        <v>476</v>
      </c>
      <c r="B17" s="96">
        <v>20.399999999999999</v>
      </c>
      <c r="C17" s="96">
        <v>520</v>
      </c>
      <c r="D17" s="100">
        <v>0.23</v>
      </c>
      <c r="E17" s="100">
        <v>0.45799999999999996</v>
      </c>
      <c r="F17" s="100">
        <v>0.312</v>
      </c>
      <c r="G17" s="100">
        <v>0.26300000000000001</v>
      </c>
      <c r="H17" s="97">
        <v>0.62</v>
      </c>
      <c r="I17" s="106"/>
      <c r="K17" s="151"/>
      <c r="L17" s="151"/>
      <c r="M17" s="151" t="s">
        <v>494</v>
      </c>
      <c r="N17" s="68">
        <f t="shared" si="2"/>
        <v>0.16900000000000001</v>
      </c>
      <c r="O17" s="68">
        <f t="shared" si="3"/>
        <v>8.0333333333333312E-2</v>
      </c>
      <c r="P17" s="68">
        <f t="shared" si="3"/>
        <v>5.0666666666666665E-2</v>
      </c>
    </row>
    <row r="18" spans="1:16" ht="15" customHeight="1" x14ac:dyDescent="0.25">
      <c r="A18" s="108" t="s">
        <v>475</v>
      </c>
      <c r="B18" s="109">
        <v>26.3</v>
      </c>
      <c r="C18" s="109">
        <v>550</v>
      </c>
      <c r="D18" s="110">
        <v>0.222</v>
      </c>
      <c r="E18" s="110">
        <v>0.44400000000000001</v>
      </c>
      <c r="F18" s="110">
        <v>0.33399999999999996</v>
      </c>
      <c r="G18" s="110">
        <v>0.29699999999999999</v>
      </c>
      <c r="H18" s="111">
        <v>1.46</v>
      </c>
      <c r="I18" s="106"/>
      <c r="K18" s="151"/>
      <c r="L18" s="151"/>
      <c r="M18" s="151" t="s">
        <v>495</v>
      </c>
      <c r="N18" s="68">
        <f t="shared" si="2"/>
        <v>0.14000000000000001</v>
      </c>
      <c r="O18" s="68">
        <f t="shared" si="3"/>
        <v>9.8600000000000049E-2</v>
      </c>
      <c r="P18" s="68">
        <f t="shared" si="3"/>
        <v>7.5399999999999939E-2</v>
      </c>
    </row>
    <row r="19" spans="1:16" ht="15" customHeight="1" x14ac:dyDescent="0.25">
      <c r="A19" s="108" t="s">
        <v>127</v>
      </c>
      <c r="B19" s="109">
        <v>26.3</v>
      </c>
      <c r="C19" s="109">
        <v>550</v>
      </c>
      <c r="D19" s="110">
        <v>0.23800000000000002</v>
      </c>
      <c r="E19" s="110">
        <v>0.47600000000000003</v>
      </c>
      <c r="F19" s="110">
        <v>0.28600000000000003</v>
      </c>
      <c r="G19" s="110">
        <v>0.3</v>
      </c>
      <c r="H19" s="111">
        <v>1.6</v>
      </c>
      <c r="I19" s="106"/>
      <c r="K19" s="151"/>
      <c r="L19" s="151"/>
      <c r="M19" s="151" t="s">
        <v>496</v>
      </c>
      <c r="N19" s="68">
        <f t="shared" si="2"/>
        <v>5.3999999999999999E-2</v>
      </c>
      <c r="O19" s="68">
        <f t="shared" si="3"/>
        <v>7.6666666666666689E-2</v>
      </c>
      <c r="P19" s="68">
        <f t="shared" si="3"/>
        <v>0.14533333333333334</v>
      </c>
    </row>
    <row r="20" spans="1:16" ht="15" customHeight="1" x14ac:dyDescent="0.25">
      <c r="A20" s="113" t="s">
        <v>476</v>
      </c>
      <c r="B20" s="114">
        <v>27.2</v>
      </c>
      <c r="C20" s="114">
        <v>550</v>
      </c>
      <c r="D20" s="115">
        <v>0.23</v>
      </c>
      <c r="E20" s="115">
        <v>0.45799999999999996</v>
      </c>
      <c r="F20" s="115">
        <v>0.312</v>
      </c>
      <c r="G20" s="115">
        <v>0.26800000000000002</v>
      </c>
      <c r="H20" s="112">
        <v>0.98199999999999998</v>
      </c>
      <c r="I20" s="106"/>
      <c r="K20" s="151"/>
      <c r="L20" s="151"/>
      <c r="M20" s="151">
        <f t="shared" si="2"/>
        <v>0</v>
      </c>
      <c r="N20" s="68">
        <f t="shared" si="2"/>
        <v>0</v>
      </c>
      <c r="O20" s="68">
        <f t="shared" si="3"/>
        <v>0</v>
      </c>
      <c r="P20" s="68">
        <f t="shared" si="3"/>
        <v>0</v>
      </c>
    </row>
    <row r="21" spans="1:16" ht="15" customHeight="1" x14ac:dyDescent="0.25">
      <c r="A21" s="113" t="s">
        <v>476</v>
      </c>
      <c r="B21" s="109">
        <v>27.5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0.188</v>
      </c>
      <c r="H21" s="111">
        <v>0.28000000000000003</v>
      </c>
      <c r="I21" s="106"/>
      <c r="K21" s="151"/>
      <c r="L21" s="151"/>
      <c r="M21" s="151">
        <f t="shared" si="2"/>
        <v>0</v>
      </c>
      <c r="N21" s="68">
        <f t="shared" si="2"/>
        <v>0</v>
      </c>
      <c r="O21" s="68">
        <f t="shared" si="3"/>
        <v>0</v>
      </c>
      <c r="P21" s="68">
        <f t="shared" si="3"/>
        <v>0</v>
      </c>
    </row>
    <row r="22" spans="1:16" ht="15" customHeight="1" x14ac:dyDescent="0.25">
      <c r="A22" s="108" t="s">
        <v>474</v>
      </c>
      <c r="B22" s="114">
        <v>27.8</v>
      </c>
      <c r="C22" s="114">
        <v>550</v>
      </c>
      <c r="D22" s="115">
        <v>0.16</v>
      </c>
      <c r="E22" s="115">
        <v>0.5</v>
      </c>
      <c r="F22" s="115">
        <v>0.34</v>
      </c>
      <c r="G22" s="115">
        <v>0.27400000000000002</v>
      </c>
      <c r="H22" s="112">
        <v>0.77100000000000002</v>
      </c>
      <c r="I22" s="106"/>
      <c r="K22" s="151"/>
      <c r="L22" s="151"/>
      <c r="M22" s="151">
        <f t="shared" si="2"/>
        <v>0</v>
      </c>
      <c r="N22" s="68">
        <f t="shared" si="2"/>
        <v>0</v>
      </c>
      <c r="O22" s="68">
        <f t="shared" si="3"/>
        <v>0</v>
      </c>
      <c r="P22" s="68">
        <f t="shared" si="3"/>
        <v>0</v>
      </c>
    </row>
    <row r="23" spans="1:16" ht="15" customHeight="1" x14ac:dyDescent="0.25">
      <c r="A23" s="108" t="s">
        <v>60</v>
      </c>
      <c r="B23" s="116">
        <v>27.8</v>
      </c>
      <c r="C23" s="114">
        <v>550</v>
      </c>
      <c r="D23" s="115">
        <v>0.182</v>
      </c>
      <c r="E23" s="115">
        <v>0.56799999999999995</v>
      </c>
      <c r="F23" s="115">
        <v>0.25</v>
      </c>
      <c r="G23" s="115">
        <v>0.16900000000000001</v>
      </c>
      <c r="H23" s="112">
        <v>0.47799999999999998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88" t="s">
        <v>60</v>
      </c>
      <c r="B24" s="91">
        <v>28.4</v>
      </c>
      <c r="C24" s="92">
        <v>550</v>
      </c>
      <c r="D24" s="102">
        <v>0.182</v>
      </c>
      <c r="E24" s="102">
        <v>0.56799999999999995</v>
      </c>
      <c r="F24" s="102">
        <v>0.25</v>
      </c>
      <c r="G24" s="102">
        <v>0.14299999999999999</v>
      </c>
      <c r="H24" s="99">
        <v>0.51100000000000001</v>
      </c>
      <c r="I24" s="106"/>
      <c r="K24" s="151"/>
      <c r="L24" s="151"/>
      <c r="M24" s="151"/>
      <c r="N24" s="68"/>
      <c r="O24" s="68"/>
      <c r="P24" s="68"/>
    </row>
    <row r="25" spans="1:16" ht="15.75" x14ac:dyDescent="0.25">
      <c r="A25" s="148" t="s">
        <v>476</v>
      </c>
      <c r="B25" s="91">
        <v>28.4</v>
      </c>
      <c r="C25" s="92">
        <v>550</v>
      </c>
      <c r="D25" s="102">
        <v>0.23</v>
      </c>
      <c r="E25" s="102">
        <v>0.45799999999999996</v>
      </c>
      <c r="F25" s="102">
        <v>0.312</v>
      </c>
      <c r="G25" s="102">
        <v>0.30299999999999999</v>
      </c>
      <c r="H25" s="99">
        <v>1.2</v>
      </c>
      <c r="I25" s="106"/>
      <c r="K25" s="151"/>
      <c r="L25" s="151"/>
      <c r="M25" s="151"/>
      <c r="N25" s="68"/>
      <c r="O25" s="68"/>
      <c r="P25" s="68"/>
    </row>
    <row r="26" spans="1:16" ht="15.75" x14ac:dyDescent="0.25">
      <c r="A26" s="148" t="s">
        <v>476</v>
      </c>
      <c r="B26" s="91">
        <v>28.4</v>
      </c>
      <c r="C26" s="92">
        <v>550</v>
      </c>
      <c r="D26" s="102">
        <v>0.23</v>
      </c>
      <c r="E26" s="102">
        <v>0.45799999999999996</v>
      </c>
      <c r="F26" s="102">
        <v>0.312</v>
      </c>
      <c r="G26" s="102">
        <v>0.26500000000000001</v>
      </c>
      <c r="H26" s="99">
        <v>0.93200000000000005</v>
      </c>
      <c r="I26" s="106"/>
      <c r="K26" s="151"/>
      <c r="L26" s="151"/>
      <c r="M26" s="151"/>
      <c r="N26" s="68"/>
      <c r="O26" s="68"/>
      <c r="P26" s="68"/>
    </row>
    <row r="27" spans="1:16" ht="15.75" x14ac:dyDescent="0.25">
      <c r="A27" s="88" t="s">
        <v>475</v>
      </c>
      <c r="B27" s="117">
        <v>28.5</v>
      </c>
      <c r="C27" s="117">
        <v>500</v>
      </c>
      <c r="D27" s="118">
        <v>0.222</v>
      </c>
      <c r="E27" s="118">
        <v>0.44400000000000001</v>
      </c>
      <c r="F27" s="118">
        <v>0.33399999999999996</v>
      </c>
      <c r="G27" s="118">
        <v>0.27600000000000002</v>
      </c>
      <c r="H27" s="119">
        <v>1.1000000000000001</v>
      </c>
      <c r="I27" s="106"/>
      <c r="K27" s="151"/>
      <c r="L27" s="151"/>
      <c r="M27" s="151"/>
      <c r="N27" s="68"/>
      <c r="O27" s="68"/>
      <c r="P27" s="68"/>
    </row>
    <row r="28" spans="1:16" ht="15.75" x14ac:dyDescent="0.25">
      <c r="A28" s="88" t="s">
        <v>127</v>
      </c>
      <c r="B28" s="117">
        <v>28.5</v>
      </c>
      <c r="C28" s="117">
        <v>500</v>
      </c>
      <c r="D28" s="118">
        <v>0.23800000000000002</v>
      </c>
      <c r="E28" s="118">
        <v>0.47600000000000003</v>
      </c>
      <c r="F28" s="118">
        <v>0.28600000000000003</v>
      </c>
      <c r="G28" s="118">
        <v>0.22</v>
      </c>
      <c r="H28" s="119">
        <v>0.63200000000000001</v>
      </c>
    </row>
    <row r="29" spans="1:16" ht="15.75" x14ac:dyDescent="0.25">
      <c r="A29" s="88" t="s">
        <v>474</v>
      </c>
      <c r="B29" s="91">
        <v>28.7</v>
      </c>
      <c r="C29" s="92">
        <v>450</v>
      </c>
      <c r="D29" s="102">
        <v>0.16</v>
      </c>
      <c r="E29" s="102">
        <v>0.5</v>
      </c>
      <c r="F29" s="102">
        <v>0.34</v>
      </c>
      <c r="G29" s="102">
        <v>0.255</v>
      </c>
      <c r="H29" s="99">
        <v>0.72399999999999998</v>
      </c>
    </row>
    <row r="30" spans="1:16" ht="15.75" x14ac:dyDescent="0.25">
      <c r="A30" s="88" t="s">
        <v>477</v>
      </c>
      <c r="B30" s="91">
        <v>28.7</v>
      </c>
      <c r="C30" s="92">
        <v>450</v>
      </c>
      <c r="D30" s="102">
        <v>0.25800000000000001</v>
      </c>
      <c r="E30" s="102">
        <v>0.51600000000000001</v>
      </c>
      <c r="F30" s="102">
        <v>0.22600000000000001</v>
      </c>
      <c r="G30" s="102">
        <v>0.161</v>
      </c>
      <c r="H30" s="99">
        <v>0.45600000000000002</v>
      </c>
      <c r="I30" s="106"/>
      <c r="K30" s="151"/>
      <c r="L30" s="151"/>
      <c r="M30" s="151"/>
      <c r="N30" s="68"/>
      <c r="O30" s="68"/>
      <c r="P30" s="68"/>
    </row>
    <row r="31" spans="1:16" ht="15.75" x14ac:dyDescent="0.25">
      <c r="A31" s="88" t="s">
        <v>477</v>
      </c>
      <c r="B31" s="91">
        <v>28.7</v>
      </c>
      <c r="C31" s="92">
        <v>450</v>
      </c>
      <c r="D31" s="102">
        <v>0.25800000000000001</v>
      </c>
      <c r="E31" s="102">
        <v>0.51600000000000001</v>
      </c>
      <c r="F31" s="102">
        <v>0.22600000000000001</v>
      </c>
      <c r="G31" s="102">
        <v>0.14000000000000001</v>
      </c>
      <c r="H31" s="99">
        <v>0.40100000000000002</v>
      </c>
      <c r="I31" s="106"/>
      <c r="K31" s="151"/>
      <c r="L31" s="151"/>
      <c r="M31" s="151"/>
      <c r="N31" s="68"/>
      <c r="O31" s="68"/>
      <c r="P31" s="68"/>
    </row>
    <row r="32" spans="1:16" ht="15.75" x14ac:dyDescent="0.25">
      <c r="A32" s="88" t="s">
        <v>474</v>
      </c>
      <c r="B32" s="94">
        <v>29.3</v>
      </c>
      <c r="C32" s="92">
        <v>450</v>
      </c>
      <c r="D32" s="102">
        <v>0.16</v>
      </c>
      <c r="E32" s="102">
        <v>0.5</v>
      </c>
      <c r="F32" s="102">
        <v>0.34</v>
      </c>
      <c r="G32" s="102">
        <v>0.314</v>
      </c>
      <c r="H32" s="99">
        <v>0.94499999999999995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88" t="s">
        <v>474</v>
      </c>
      <c r="B33" s="92">
        <v>29.6</v>
      </c>
      <c r="C33" s="92">
        <v>450</v>
      </c>
      <c r="D33" s="102">
        <v>0.16</v>
      </c>
      <c r="E33" s="102">
        <v>0.5</v>
      </c>
      <c r="F33" s="102">
        <v>0.34</v>
      </c>
      <c r="G33" s="102">
        <v>0.309</v>
      </c>
      <c r="H33" s="99">
        <v>1.31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87" t="s">
        <v>158</v>
      </c>
      <c r="B34" s="95">
        <v>30.5</v>
      </c>
      <c r="C34" s="93">
        <v>450</v>
      </c>
      <c r="D34" s="101">
        <v>0.29399999999999998</v>
      </c>
      <c r="E34" s="101">
        <v>0.58799999999999997</v>
      </c>
      <c r="F34" s="101">
        <v>0.11800000000000001</v>
      </c>
      <c r="G34" s="101">
        <v>6.2E-2</v>
      </c>
      <c r="H34" s="98">
        <v>0.111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87" t="s">
        <v>81</v>
      </c>
      <c r="B35" s="93">
        <v>30.6</v>
      </c>
      <c r="C35" s="93">
        <v>450</v>
      </c>
      <c r="D35" s="101">
        <v>0.21</v>
      </c>
      <c r="E35" s="101">
        <v>0.65799999999999992</v>
      </c>
      <c r="F35" s="101">
        <v>0.13200000000000001</v>
      </c>
      <c r="G35" s="101">
        <v>5.3999999999999999E-2</v>
      </c>
      <c r="H35" s="98">
        <v>0.121</v>
      </c>
    </row>
    <row r="36" spans="1:16" ht="15.75" x14ac:dyDescent="0.25">
      <c r="A36" s="87" t="s">
        <v>476</v>
      </c>
      <c r="B36" s="93">
        <v>31.6</v>
      </c>
      <c r="C36" s="93">
        <v>450</v>
      </c>
      <c r="D36" s="101">
        <v>0.23</v>
      </c>
      <c r="E36" s="101">
        <v>0.45799999999999996</v>
      </c>
      <c r="F36" s="101">
        <v>0.312</v>
      </c>
      <c r="G36" s="101">
        <v>0.27600000000000002</v>
      </c>
      <c r="H36" s="98">
        <v>0.56200000000000006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0.21587499999999998</v>
      </c>
      <c r="E65" s="64">
        <f>AVERAGE(E14:E29)</f>
        <v>0.47912499999999997</v>
      </c>
      <c r="F65" s="64">
        <f>AVERAGE(F14:F29)</f>
        <v>0.30499999999999994</v>
      </c>
      <c r="G65" s="64">
        <f>AVERAGE(G14:G29)</f>
        <v>0.25175000000000003</v>
      </c>
      <c r="H65" s="64">
        <f>AVERAGE(H14:H29)</f>
        <v>0.88312499999999994</v>
      </c>
    </row>
    <row r="66" spans="3:11" x14ac:dyDescent="0.25">
      <c r="C66" t="s">
        <v>436</v>
      </c>
      <c r="D66" s="41">
        <f>_xlfn.STDEV.P(D14:D29)</f>
        <v>2.6893017216370489E-2</v>
      </c>
      <c r="E66" s="41">
        <f>_xlfn.STDEV.P(E14:E29)</f>
        <v>3.733610015789008E-2</v>
      </c>
      <c r="F66" s="41">
        <f>_xlfn.STDEV.P(F14:F29)</f>
        <v>2.7486360253769496E-2</v>
      </c>
      <c r="G66" s="41">
        <f>_xlfn.STDEV.P(G14:G29)</f>
        <v>4.7272481424185733E-2</v>
      </c>
      <c r="H66" s="41">
        <f>_xlfn.STDEV.P(H14:H29)</f>
        <v>0.38024973290588926</v>
      </c>
      <c r="K66">
        <v>0.45946666666666669</v>
      </c>
    </row>
    <row r="67" spans="3:11" x14ac:dyDescent="0.25">
      <c r="C67" t="s">
        <v>437</v>
      </c>
      <c r="D67">
        <f>MIN(D14:D29)</f>
        <v>0.16</v>
      </c>
      <c r="E67">
        <f>MIN(E14:E29)</f>
        <v>0.44400000000000001</v>
      </c>
      <c r="F67">
        <f>MIN(F14:F29)</f>
        <v>0.25</v>
      </c>
      <c r="G67">
        <f>MIN(G14:G29)</f>
        <v>0.14299999999999999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0.24</v>
      </c>
      <c r="E68">
        <f>MAX(E14:E29)</f>
        <v>0.56799999999999995</v>
      </c>
      <c r="F68">
        <f>MAX(F14:F29)</f>
        <v>0.34</v>
      </c>
      <c r="G68">
        <f>MAX(G14:G29)</f>
        <v>0.30299999999999999</v>
      </c>
      <c r="H68">
        <f>MAX(H14:H29)</f>
        <v>1.6</v>
      </c>
      <c r="K68">
        <v>0.31053333333333327</v>
      </c>
    </row>
    <row r="69" spans="3:11" x14ac:dyDescent="0.25">
      <c r="C69" t="s">
        <v>439</v>
      </c>
      <c r="D69">
        <f>D68-D67</f>
        <v>7.9999999999999988E-2</v>
      </c>
      <c r="E69">
        <f t="shared" ref="E69:H69" si="4">E68-E67</f>
        <v>0.12399999999999994</v>
      </c>
      <c r="F69">
        <f t="shared" si="4"/>
        <v>9.0000000000000024E-2</v>
      </c>
      <c r="G69">
        <f t="shared" si="4"/>
        <v>0.16</v>
      </c>
      <c r="H69">
        <f t="shared" si="4"/>
        <v>1.32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J17" sqref="J17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 t="s">
        <v>429</v>
      </c>
    </row>
    <row r="2" spans="1:17" ht="15" customHeight="1" x14ac:dyDescent="0.25">
      <c r="A2" s="142" t="s">
        <v>472</v>
      </c>
      <c r="B2" s="141">
        <f>CORREL(B13:B46,H13:H46)</f>
        <v>-0.57669307465688913</v>
      </c>
      <c r="C2" s="141">
        <f>CORREL(C13:C46,H13:H46)</f>
        <v>0.37837329505371886</v>
      </c>
      <c r="D2" s="141">
        <f>CORREL(D13:D46,H13:H46)</f>
        <v>1.299762526358873E-3</v>
      </c>
      <c r="E2" s="141">
        <f>CORREL(E13:E46,H13:H46)</f>
        <v>-0.54368111068879221</v>
      </c>
      <c r="F2" s="141">
        <f>CORREL(F13:F46,H13:H46)</f>
        <v>0.4841467263079845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-0.49840057712327612</v>
      </c>
      <c r="C3" s="141">
        <f>CORREL(C13:C46,G13:G46)</f>
        <v>0.34181042128559258</v>
      </c>
      <c r="D3" s="141">
        <f>CORREL(D13:D46,G13:G46)</f>
        <v>-0.16453324992593255</v>
      </c>
      <c r="E3" s="141">
        <f>CORREL(E13:E46,G13:G46)</f>
        <v>-0.85403263765381299</v>
      </c>
      <c r="F3" s="141">
        <f>CORREL(F13:F46,G13:G46)</f>
        <v>0.84927915393523912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87" t="s">
        <v>474</v>
      </c>
      <c r="B6" s="125">
        <v>28.7</v>
      </c>
      <c r="C6" s="93">
        <v>450</v>
      </c>
      <c r="D6" s="101">
        <v>0.16</v>
      </c>
      <c r="E6" s="101">
        <v>0.5</v>
      </c>
      <c r="F6" s="101">
        <v>0.34</v>
      </c>
      <c r="G6" s="101">
        <v>0.255</v>
      </c>
      <c r="H6" s="98">
        <v>0.72399999999999998</v>
      </c>
      <c r="J6" s="151">
        <f>D6</f>
        <v>0.16</v>
      </c>
      <c r="K6" s="151">
        <f>E6</f>
        <v>0.5</v>
      </c>
      <c r="L6" s="151">
        <f>F6</f>
        <v>0.34</v>
      </c>
      <c r="M6" s="157" t="s">
        <v>491</v>
      </c>
      <c r="N6" s="68">
        <f>MIN(H6:H13)</f>
        <v>0.111</v>
      </c>
      <c r="O6" s="68">
        <f>AVERAGE(H6:H13)</f>
        <v>0.57874999999999999</v>
      </c>
      <c r="P6" s="68">
        <f>MAX(H6:H13)</f>
        <v>1.31</v>
      </c>
    </row>
    <row r="7" spans="1:17" ht="15" customHeight="1" x14ac:dyDescent="0.25">
      <c r="A7" s="87" t="s">
        <v>474</v>
      </c>
      <c r="B7" s="126">
        <v>29.3</v>
      </c>
      <c r="C7" s="93">
        <v>450</v>
      </c>
      <c r="D7" s="101">
        <v>0.16</v>
      </c>
      <c r="E7" s="101">
        <v>0.5</v>
      </c>
      <c r="F7" s="101">
        <v>0.34</v>
      </c>
      <c r="G7" s="101">
        <v>0.314</v>
      </c>
      <c r="H7" s="98">
        <v>0.94499999999999995</v>
      </c>
      <c r="J7" s="151">
        <f>D10</f>
        <v>0.23</v>
      </c>
      <c r="K7" s="151">
        <f>E10</f>
        <v>0.45799999999999996</v>
      </c>
      <c r="L7" s="151">
        <f>F10</f>
        <v>0.312</v>
      </c>
      <c r="M7" s="157" t="s">
        <v>486</v>
      </c>
      <c r="N7" s="68">
        <f>MIN(H14)</f>
        <v>0.41</v>
      </c>
      <c r="O7" s="68">
        <f>AVERAGE(H14)</f>
        <v>0.41</v>
      </c>
      <c r="P7" s="68">
        <f>MAX(H14)</f>
        <v>0.41</v>
      </c>
    </row>
    <row r="8" spans="1:17" ht="15" customHeight="1" x14ac:dyDescent="0.25">
      <c r="A8" s="87" t="s">
        <v>474</v>
      </c>
      <c r="B8" s="93">
        <v>29.6</v>
      </c>
      <c r="C8" s="93">
        <v>450</v>
      </c>
      <c r="D8" s="101">
        <v>0.16</v>
      </c>
      <c r="E8" s="101">
        <v>0.5</v>
      </c>
      <c r="F8" s="101">
        <v>0.34</v>
      </c>
      <c r="G8" s="101">
        <v>0.309</v>
      </c>
      <c r="H8" s="98">
        <v>1.31</v>
      </c>
      <c r="J8" s="151">
        <f t="shared" ref="J8:L9" si="0">D12</f>
        <v>0.25800000000000001</v>
      </c>
      <c r="K8" s="151">
        <f t="shared" si="0"/>
        <v>0.51600000000000001</v>
      </c>
      <c r="L8" s="151">
        <f t="shared" si="0"/>
        <v>0.22600000000000001</v>
      </c>
      <c r="M8" s="157" t="s">
        <v>487</v>
      </c>
      <c r="N8" s="68">
        <f>MIN(H15:H18)</f>
        <v>0.63200000000000001</v>
      </c>
      <c r="O8" s="68">
        <f>AVERAGE(H15:H18)</f>
        <v>0.91325000000000001</v>
      </c>
      <c r="P8" s="68">
        <f>MAX(H15:H18)</f>
        <v>1.28</v>
      </c>
    </row>
    <row r="9" spans="1:17" ht="15" customHeight="1" x14ac:dyDescent="0.25">
      <c r="A9" s="87" t="s">
        <v>81</v>
      </c>
      <c r="B9" s="93">
        <v>30.6</v>
      </c>
      <c r="C9" s="93">
        <v>450</v>
      </c>
      <c r="D9" s="101">
        <v>0.21</v>
      </c>
      <c r="E9" s="101">
        <v>0.65799999999999992</v>
      </c>
      <c r="F9" s="101">
        <v>0.13200000000000001</v>
      </c>
      <c r="G9" s="101">
        <v>5.3999999999999999E-2</v>
      </c>
      <c r="H9" s="98">
        <v>0.121</v>
      </c>
      <c r="J9" s="151">
        <f t="shared" si="0"/>
        <v>0.29399999999999998</v>
      </c>
      <c r="K9" s="151">
        <f t="shared" si="0"/>
        <v>0.58799999999999997</v>
      </c>
      <c r="L9" s="151">
        <f t="shared" si="0"/>
        <v>0.11800000000000001</v>
      </c>
      <c r="M9" s="157" t="s">
        <v>488</v>
      </c>
      <c r="N9" s="68">
        <f>MIN(H19)</f>
        <v>0.62</v>
      </c>
      <c r="O9" s="68">
        <f>AVERAGE(H19)</f>
        <v>0.62</v>
      </c>
      <c r="P9" s="68">
        <f>MAX(H19)</f>
        <v>0.62</v>
      </c>
    </row>
    <row r="10" spans="1:17" ht="15" customHeight="1" x14ac:dyDescent="0.25">
      <c r="A10" s="87" t="s">
        <v>476</v>
      </c>
      <c r="B10" s="93">
        <v>31.6</v>
      </c>
      <c r="C10" s="93">
        <v>450</v>
      </c>
      <c r="D10" s="101">
        <v>0.23</v>
      </c>
      <c r="E10" s="101">
        <v>0.45799999999999996</v>
      </c>
      <c r="F10" s="101">
        <v>0.312</v>
      </c>
      <c r="G10" s="101">
        <v>0.27600000000000002</v>
      </c>
      <c r="H10" s="98">
        <v>0.56200000000000006</v>
      </c>
      <c r="J10" s="151">
        <f t="shared" ref="J10:L11" si="1">D28</f>
        <v>0.182</v>
      </c>
      <c r="K10" s="151">
        <f t="shared" si="1"/>
        <v>0.56799999999999995</v>
      </c>
      <c r="L10" s="151">
        <f t="shared" si="1"/>
        <v>0.25</v>
      </c>
      <c r="M10" s="157" t="s">
        <v>489</v>
      </c>
      <c r="N10" s="68">
        <f>MIN(H20:H26)</f>
        <v>0.28000000000000003</v>
      </c>
      <c r="O10" s="68">
        <f>AVERAGE(H20:H26)</f>
        <v>1.3614285714285714</v>
      </c>
      <c r="P10" s="68">
        <f>MAX(H20:H26)</f>
        <v>2.09</v>
      </c>
    </row>
    <row r="11" spans="1:17" ht="15" customHeight="1" x14ac:dyDescent="0.25">
      <c r="A11" s="87" t="s">
        <v>477</v>
      </c>
      <c r="B11" s="125">
        <v>28.7</v>
      </c>
      <c r="C11" s="93">
        <v>450</v>
      </c>
      <c r="D11" s="101">
        <v>0.25800000000000001</v>
      </c>
      <c r="E11" s="101">
        <v>0.51600000000000001</v>
      </c>
      <c r="F11" s="101">
        <v>0.22600000000000001</v>
      </c>
      <c r="G11" s="101">
        <v>0.161</v>
      </c>
      <c r="H11" s="98">
        <v>0.45600000000000002</v>
      </c>
      <c r="J11" s="151">
        <f t="shared" si="1"/>
        <v>0.182</v>
      </c>
      <c r="K11" s="151">
        <f t="shared" si="1"/>
        <v>0.56799999999999995</v>
      </c>
      <c r="L11" s="151">
        <f t="shared" si="1"/>
        <v>0.25</v>
      </c>
      <c r="M11" s="157" t="s">
        <v>490</v>
      </c>
      <c r="N11" s="68">
        <f>MIN(H27:H36)</f>
        <v>0.47799999999999998</v>
      </c>
      <c r="O11" s="68">
        <f>AVERAGE(H27:H36)</f>
        <v>1.0964</v>
      </c>
      <c r="P11" s="68">
        <f>MAX(H27:H36)</f>
        <v>1.84</v>
      </c>
    </row>
    <row r="12" spans="1:17" ht="15" customHeight="1" x14ac:dyDescent="0.25">
      <c r="A12" s="87" t="s">
        <v>477</v>
      </c>
      <c r="B12" s="125">
        <v>28.7</v>
      </c>
      <c r="C12" s="93">
        <v>450</v>
      </c>
      <c r="D12" s="101">
        <v>0.25800000000000001</v>
      </c>
      <c r="E12" s="101">
        <v>0.51600000000000001</v>
      </c>
      <c r="F12" s="101">
        <v>0.22600000000000001</v>
      </c>
      <c r="G12" s="101">
        <v>0.14000000000000001</v>
      </c>
      <c r="H12" s="98">
        <v>0.40100000000000002</v>
      </c>
      <c r="J12" s="151"/>
      <c r="K12" s="151"/>
      <c r="L12" s="151"/>
      <c r="M12" s="157"/>
      <c r="N12" s="68"/>
      <c r="O12" s="68"/>
      <c r="P12" s="68"/>
    </row>
    <row r="13" spans="1:17" ht="15" customHeight="1" x14ac:dyDescent="0.25">
      <c r="A13" s="87" t="s">
        <v>158</v>
      </c>
      <c r="B13" s="95">
        <v>30.5</v>
      </c>
      <c r="C13" s="93">
        <v>450</v>
      </c>
      <c r="D13" s="101">
        <v>0.29399999999999998</v>
      </c>
      <c r="E13" s="101">
        <v>0.58799999999999997</v>
      </c>
      <c r="F13" s="101">
        <v>0.11800000000000001</v>
      </c>
      <c r="G13" s="101">
        <v>6.2E-2</v>
      </c>
      <c r="H13" s="98">
        <v>0.111</v>
      </c>
      <c r="J13" s="151"/>
      <c r="K13" s="151"/>
      <c r="L13" s="151"/>
      <c r="M13" s="157"/>
      <c r="N13" s="68"/>
      <c r="O13" s="68"/>
      <c r="P13" s="68"/>
    </row>
    <row r="14" spans="1:17" ht="15" customHeight="1" x14ac:dyDescent="0.25">
      <c r="A14" s="113" t="s">
        <v>476</v>
      </c>
      <c r="B14" s="109">
        <v>19.399999999999999</v>
      </c>
      <c r="C14" s="109">
        <v>480</v>
      </c>
      <c r="D14" s="110">
        <v>0.23</v>
      </c>
      <c r="E14" s="110">
        <v>0.45799999999999996</v>
      </c>
      <c r="F14" s="110">
        <v>0.312</v>
      </c>
      <c r="G14" s="110">
        <v>0.27600000000000002</v>
      </c>
      <c r="H14" s="111">
        <v>0.41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475</v>
      </c>
      <c r="B15" s="96">
        <v>7.7</v>
      </c>
      <c r="C15" s="96">
        <v>500</v>
      </c>
      <c r="D15" s="100">
        <v>0.222</v>
      </c>
      <c r="E15" s="100">
        <v>0.44400000000000001</v>
      </c>
      <c r="F15" s="100">
        <v>0.33399999999999996</v>
      </c>
      <c r="G15" s="100">
        <v>0.32400000000000001</v>
      </c>
      <c r="H15" s="97">
        <v>1.28</v>
      </c>
      <c r="I15" s="106"/>
      <c r="K15" s="151"/>
      <c r="L15" s="151"/>
      <c r="M15" s="151" t="str">
        <f>M6</f>
        <v>450</v>
      </c>
      <c r="N15" s="68">
        <f>N6</f>
        <v>0.111</v>
      </c>
      <c r="O15" s="68">
        <f>O6-N6</f>
        <v>0.46775</v>
      </c>
      <c r="P15" s="68">
        <f>P6-O6</f>
        <v>0.73125000000000007</v>
      </c>
    </row>
    <row r="16" spans="1:17" ht="15" customHeight="1" x14ac:dyDescent="0.25">
      <c r="A16" s="89" t="s">
        <v>475</v>
      </c>
      <c r="B16" s="96">
        <v>28.5</v>
      </c>
      <c r="C16" s="96">
        <v>500</v>
      </c>
      <c r="D16" s="100">
        <v>0.222</v>
      </c>
      <c r="E16" s="100">
        <v>0.44400000000000001</v>
      </c>
      <c r="F16" s="100">
        <v>0.33399999999999996</v>
      </c>
      <c r="G16" s="100">
        <v>0.27600000000000002</v>
      </c>
      <c r="H16" s="97">
        <v>1.1000000000000001</v>
      </c>
      <c r="I16" s="106"/>
      <c r="K16" s="151"/>
      <c r="L16" s="151"/>
      <c r="M16" s="151" t="str">
        <f>M8</f>
        <v>500</v>
      </c>
      <c r="N16" s="68">
        <f>N8</f>
        <v>0.63200000000000001</v>
      </c>
      <c r="O16" s="68">
        <f>O8-N8</f>
        <v>0.28125</v>
      </c>
      <c r="P16" s="68">
        <f>P8-O8</f>
        <v>0.36675000000000002</v>
      </c>
    </row>
    <row r="17" spans="1:16" ht="15" customHeight="1" x14ac:dyDescent="0.25">
      <c r="A17" s="89" t="s">
        <v>127</v>
      </c>
      <c r="B17" s="96">
        <v>7.7</v>
      </c>
      <c r="C17" s="96">
        <v>500</v>
      </c>
      <c r="D17" s="100">
        <v>0.23800000000000002</v>
      </c>
      <c r="E17" s="100">
        <v>0.47600000000000003</v>
      </c>
      <c r="F17" s="100">
        <v>0.28600000000000003</v>
      </c>
      <c r="G17" s="100">
        <v>0.23</v>
      </c>
      <c r="H17" s="97">
        <v>0.64100000000000001</v>
      </c>
      <c r="I17" s="106"/>
      <c r="K17" s="151"/>
      <c r="L17" s="151"/>
      <c r="M17" s="151" t="str">
        <f>M10</f>
        <v>525</v>
      </c>
      <c r="N17" s="68">
        <f>N10</f>
        <v>0.28000000000000003</v>
      </c>
      <c r="O17" s="68">
        <f>O10-N10</f>
        <v>1.0814285714285714</v>
      </c>
      <c r="P17" s="68">
        <f>P10-O10</f>
        <v>0.72857142857142843</v>
      </c>
    </row>
    <row r="18" spans="1:16" ht="15" customHeight="1" x14ac:dyDescent="0.25">
      <c r="A18" s="89" t="s">
        <v>127</v>
      </c>
      <c r="B18" s="96">
        <v>28.5</v>
      </c>
      <c r="C18" s="96">
        <v>500</v>
      </c>
      <c r="D18" s="100">
        <v>0.23800000000000002</v>
      </c>
      <c r="E18" s="100">
        <v>0.47600000000000003</v>
      </c>
      <c r="F18" s="100">
        <v>0.28600000000000003</v>
      </c>
      <c r="G18" s="100">
        <v>0.22</v>
      </c>
      <c r="H18" s="97">
        <v>0.63200000000000001</v>
      </c>
      <c r="I18" s="106"/>
      <c r="K18" s="151"/>
      <c r="L18" s="151"/>
      <c r="M18" s="151" t="str">
        <f>M11</f>
        <v>550</v>
      </c>
      <c r="N18" s="68">
        <f>N11</f>
        <v>0.47799999999999998</v>
      </c>
      <c r="O18" s="68">
        <f>O11-N11</f>
        <v>0.61840000000000006</v>
      </c>
      <c r="P18" s="68">
        <f>P11-O11</f>
        <v>0.74360000000000004</v>
      </c>
    </row>
    <row r="19" spans="1:16" ht="15" customHeight="1" x14ac:dyDescent="0.25">
      <c r="A19" s="113" t="s">
        <v>476</v>
      </c>
      <c r="B19" s="109">
        <v>20.399999999999999</v>
      </c>
      <c r="C19" s="109">
        <v>520</v>
      </c>
      <c r="D19" s="110">
        <v>0.23</v>
      </c>
      <c r="E19" s="110">
        <v>0.45799999999999996</v>
      </c>
      <c r="F19" s="110">
        <v>0.312</v>
      </c>
      <c r="G19" s="110">
        <v>0.26300000000000001</v>
      </c>
      <c r="H19" s="111">
        <v>0.62</v>
      </c>
      <c r="I19" s="106"/>
      <c r="K19" s="151"/>
      <c r="L19" s="151"/>
    </row>
    <row r="20" spans="1:16" ht="15" customHeight="1" x14ac:dyDescent="0.25">
      <c r="A20" s="136" t="s">
        <v>475</v>
      </c>
      <c r="B20" s="144">
        <v>18.8</v>
      </c>
      <c r="C20" s="144">
        <v>525</v>
      </c>
      <c r="D20" s="145">
        <v>0.22</v>
      </c>
      <c r="E20" s="145">
        <v>0.43799999999999994</v>
      </c>
      <c r="F20" s="145">
        <v>0.34200000000000003</v>
      </c>
      <c r="G20" s="145">
        <v>0.312</v>
      </c>
      <c r="H20" s="146">
        <v>1.08</v>
      </c>
      <c r="I20" s="106"/>
      <c r="K20" s="151"/>
      <c r="L20" s="151"/>
    </row>
    <row r="21" spans="1:16" ht="15" customHeight="1" x14ac:dyDescent="0.25">
      <c r="A21" s="147" t="s">
        <v>476</v>
      </c>
      <c r="B21" s="144">
        <v>5.9</v>
      </c>
      <c r="C21" s="144">
        <v>525</v>
      </c>
      <c r="D21" s="145">
        <v>0.23</v>
      </c>
      <c r="E21" s="145">
        <v>0.45799999999999996</v>
      </c>
      <c r="F21" s="145">
        <v>0.312</v>
      </c>
      <c r="G21" s="145">
        <v>0.32600000000000001</v>
      </c>
      <c r="H21" s="146">
        <v>2.09</v>
      </c>
      <c r="I21" s="106"/>
      <c r="K21" s="151"/>
      <c r="L21" s="151"/>
      <c r="M21" s="151">
        <f t="shared" ref="M21:N22" si="2">M12</f>
        <v>0</v>
      </c>
      <c r="N21" s="68">
        <f t="shared" si="2"/>
        <v>0</v>
      </c>
      <c r="O21" s="68">
        <f t="shared" ref="O21:P22" si="3">O12-N12</f>
        <v>0</v>
      </c>
      <c r="P21" s="68">
        <f t="shared" si="3"/>
        <v>0</v>
      </c>
    </row>
    <row r="22" spans="1:16" ht="15" customHeight="1" x14ac:dyDescent="0.25">
      <c r="A22" s="147" t="s">
        <v>476</v>
      </c>
      <c r="B22" s="144">
        <v>5.9</v>
      </c>
      <c r="C22" s="144">
        <v>525</v>
      </c>
      <c r="D22" s="145">
        <v>0.23</v>
      </c>
      <c r="E22" s="145">
        <v>0.45799999999999996</v>
      </c>
      <c r="F22" s="145">
        <v>0.312</v>
      </c>
      <c r="G22" s="145">
        <v>0.32600000000000001</v>
      </c>
      <c r="H22" s="146">
        <v>2.09</v>
      </c>
      <c r="I22" s="106"/>
      <c r="K22" s="151"/>
      <c r="L22" s="151"/>
      <c r="M22" s="151">
        <f t="shared" si="2"/>
        <v>0</v>
      </c>
      <c r="N22" s="68">
        <f t="shared" si="2"/>
        <v>0</v>
      </c>
      <c r="O22" s="68">
        <f t="shared" si="3"/>
        <v>0</v>
      </c>
      <c r="P22" s="68">
        <f t="shared" si="3"/>
        <v>0</v>
      </c>
    </row>
    <row r="23" spans="1:16" ht="15" customHeight="1" x14ac:dyDescent="0.25">
      <c r="A23" s="147" t="s">
        <v>476</v>
      </c>
      <c r="B23" s="144">
        <v>18.8</v>
      </c>
      <c r="C23" s="144">
        <v>525</v>
      </c>
      <c r="D23" s="145">
        <v>0.23</v>
      </c>
      <c r="E23" s="145">
        <v>0.45799999999999996</v>
      </c>
      <c r="F23" s="145">
        <v>0.312</v>
      </c>
      <c r="G23" s="145">
        <v>0.313</v>
      </c>
      <c r="H23" s="146">
        <v>1.56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147" t="s">
        <v>476</v>
      </c>
      <c r="B24" s="144">
        <v>18.8</v>
      </c>
      <c r="C24" s="144">
        <v>525</v>
      </c>
      <c r="D24" s="145">
        <v>0.23</v>
      </c>
      <c r="E24" s="145">
        <v>0.45799999999999996</v>
      </c>
      <c r="F24" s="145">
        <v>0.312</v>
      </c>
      <c r="G24" s="145">
        <v>0.3</v>
      </c>
      <c r="H24" s="146">
        <v>1.33</v>
      </c>
      <c r="I24" s="106"/>
      <c r="K24" s="151"/>
      <c r="L24" s="151"/>
      <c r="M24" s="151"/>
      <c r="N24" s="68"/>
      <c r="O24" s="68"/>
      <c r="P24" s="68"/>
    </row>
    <row r="25" spans="1:16" ht="15.75" x14ac:dyDescent="0.25">
      <c r="A25" s="147" t="s">
        <v>476</v>
      </c>
      <c r="B25" s="144">
        <v>27.5</v>
      </c>
      <c r="C25" s="144">
        <v>525</v>
      </c>
      <c r="D25" s="145">
        <v>0.23</v>
      </c>
      <c r="E25" s="145">
        <v>0.45799999999999996</v>
      </c>
      <c r="F25" s="145">
        <v>0.312</v>
      </c>
      <c r="G25" s="145">
        <v>0.188</v>
      </c>
      <c r="H25" s="146">
        <v>0.28000000000000003</v>
      </c>
      <c r="I25" s="106"/>
      <c r="K25" s="151"/>
      <c r="L25" s="151"/>
      <c r="M25" s="151"/>
      <c r="N25" s="68"/>
      <c r="O25" s="68"/>
      <c r="P25" s="68"/>
    </row>
    <row r="26" spans="1:16" ht="15.75" x14ac:dyDescent="0.25">
      <c r="A26" s="136" t="s">
        <v>127</v>
      </c>
      <c r="B26" s="144">
        <v>18.8</v>
      </c>
      <c r="C26" s="144">
        <v>525</v>
      </c>
      <c r="D26" s="145">
        <v>0.24</v>
      </c>
      <c r="E26" s="145">
        <v>0.48399999999999999</v>
      </c>
      <c r="F26" s="145">
        <v>0.27600000000000002</v>
      </c>
      <c r="G26" s="145">
        <v>0.23100000000000001</v>
      </c>
      <c r="H26" s="146">
        <v>1.1000000000000001</v>
      </c>
      <c r="I26" s="106"/>
      <c r="K26" s="151"/>
      <c r="L26" s="151"/>
      <c r="M26" s="151"/>
      <c r="N26" s="68"/>
      <c r="O26" s="68"/>
      <c r="P26" s="68"/>
    </row>
    <row r="27" spans="1:16" ht="15.75" x14ac:dyDescent="0.25">
      <c r="A27" s="108" t="s">
        <v>474</v>
      </c>
      <c r="B27" s="114">
        <v>27.8</v>
      </c>
      <c r="C27" s="114">
        <v>550</v>
      </c>
      <c r="D27" s="115">
        <v>0.16</v>
      </c>
      <c r="E27" s="115">
        <v>0.5</v>
      </c>
      <c r="F27" s="115">
        <v>0.34</v>
      </c>
      <c r="G27" s="115">
        <v>0.27400000000000002</v>
      </c>
      <c r="H27" s="112">
        <v>0.77100000000000002</v>
      </c>
      <c r="I27" s="106"/>
      <c r="K27" s="151"/>
      <c r="L27" s="151"/>
      <c r="M27" s="151"/>
      <c r="N27" s="68"/>
      <c r="O27" s="68"/>
      <c r="P27" s="68"/>
    </row>
    <row r="28" spans="1:16" ht="15.75" x14ac:dyDescent="0.25">
      <c r="A28" s="108" t="s">
        <v>60</v>
      </c>
      <c r="B28" s="116">
        <v>27.8</v>
      </c>
      <c r="C28" s="114">
        <v>550</v>
      </c>
      <c r="D28" s="115">
        <v>0.182</v>
      </c>
      <c r="E28" s="115">
        <v>0.56799999999999995</v>
      </c>
      <c r="F28" s="115">
        <v>0.25</v>
      </c>
      <c r="G28" s="115">
        <v>0.16900000000000001</v>
      </c>
      <c r="H28" s="112">
        <v>0.47799999999999998</v>
      </c>
    </row>
    <row r="29" spans="1:16" ht="15.75" x14ac:dyDescent="0.25">
      <c r="A29" s="108" t="s">
        <v>60</v>
      </c>
      <c r="B29" s="116">
        <v>28.4</v>
      </c>
      <c r="C29" s="114">
        <v>550</v>
      </c>
      <c r="D29" s="115">
        <v>0.182</v>
      </c>
      <c r="E29" s="115">
        <v>0.56799999999999995</v>
      </c>
      <c r="F29" s="115">
        <v>0.25</v>
      </c>
      <c r="G29" s="115">
        <v>0.14299999999999999</v>
      </c>
      <c r="H29" s="112">
        <v>0.51100000000000001</v>
      </c>
    </row>
    <row r="30" spans="1:16" ht="15.75" x14ac:dyDescent="0.25">
      <c r="A30" s="108" t="s">
        <v>475</v>
      </c>
      <c r="B30" s="109">
        <v>8.3000000000000007</v>
      </c>
      <c r="C30" s="109">
        <v>550</v>
      </c>
      <c r="D30" s="110">
        <v>0.222</v>
      </c>
      <c r="E30" s="110">
        <v>0.44400000000000001</v>
      </c>
      <c r="F30" s="110">
        <v>0.33399999999999996</v>
      </c>
      <c r="G30" s="110">
        <v>0.314</v>
      </c>
      <c r="H30" s="111">
        <v>1.84</v>
      </c>
      <c r="I30" s="106"/>
      <c r="K30" s="151"/>
      <c r="L30" s="151"/>
      <c r="M30" s="151"/>
      <c r="N30" s="68"/>
      <c r="O30" s="68"/>
      <c r="P30" s="68"/>
    </row>
    <row r="31" spans="1:16" ht="15.75" x14ac:dyDescent="0.25">
      <c r="A31" s="108" t="s">
        <v>475</v>
      </c>
      <c r="B31" s="109">
        <v>26.3</v>
      </c>
      <c r="C31" s="109">
        <v>550</v>
      </c>
      <c r="D31" s="110">
        <v>0.222</v>
      </c>
      <c r="E31" s="110">
        <v>0.44400000000000001</v>
      </c>
      <c r="F31" s="110">
        <v>0.33399999999999996</v>
      </c>
      <c r="G31" s="110">
        <v>0.29699999999999999</v>
      </c>
      <c r="H31" s="111">
        <v>1.46</v>
      </c>
      <c r="I31" s="106"/>
      <c r="K31" s="151"/>
      <c r="L31" s="151"/>
      <c r="M31" s="151"/>
      <c r="N31" s="68"/>
      <c r="O31" s="68"/>
      <c r="P31" s="68"/>
    </row>
    <row r="32" spans="1:16" ht="15.75" x14ac:dyDescent="0.25">
      <c r="A32" s="113" t="s">
        <v>476</v>
      </c>
      <c r="B32" s="114">
        <v>27.2</v>
      </c>
      <c r="C32" s="114">
        <v>550</v>
      </c>
      <c r="D32" s="115">
        <v>0.23</v>
      </c>
      <c r="E32" s="115">
        <v>0.45799999999999996</v>
      </c>
      <c r="F32" s="115">
        <v>0.312</v>
      </c>
      <c r="G32" s="115">
        <v>0.26800000000000002</v>
      </c>
      <c r="H32" s="112">
        <v>0.98199999999999998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113" t="s">
        <v>476</v>
      </c>
      <c r="B33" s="116">
        <v>28.4</v>
      </c>
      <c r="C33" s="114">
        <v>550</v>
      </c>
      <c r="D33" s="115">
        <v>0.23</v>
      </c>
      <c r="E33" s="115">
        <v>0.45799999999999996</v>
      </c>
      <c r="F33" s="115">
        <v>0.312</v>
      </c>
      <c r="G33" s="115">
        <v>0.30299999999999999</v>
      </c>
      <c r="H33" s="112">
        <v>1.2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113" t="s">
        <v>476</v>
      </c>
      <c r="B34" s="116">
        <v>28.4</v>
      </c>
      <c r="C34" s="114">
        <v>550</v>
      </c>
      <c r="D34" s="115">
        <v>0.23</v>
      </c>
      <c r="E34" s="115">
        <v>0.45799999999999996</v>
      </c>
      <c r="F34" s="115">
        <v>0.312</v>
      </c>
      <c r="G34" s="115">
        <v>0.26500000000000001</v>
      </c>
      <c r="H34" s="112">
        <v>0.93200000000000005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108" t="s">
        <v>127</v>
      </c>
      <c r="B35" s="109">
        <v>8.1999999999999993</v>
      </c>
      <c r="C35" s="109">
        <v>550</v>
      </c>
      <c r="D35" s="110">
        <v>0.23800000000000002</v>
      </c>
      <c r="E35" s="110">
        <v>0.47600000000000003</v>
      </c>
      <c r="F35" s="110">
        <v>0.28600000000000003</v>
      </c>
      <c r="G35" s="110">
        <v>0.26100000000000001</v>
      </c>
      <c r="H35" s="111">
        <v>1.19</v>
      </c>
    </row>
    <row r="36" spans="1:16" ht="15.75" x14ac:dyDescent="0.25">
      <c r="A36" s="108" t="s">
        <v>127</v>
      </c>
      <c r="B36" s="109">
        <v>26.3</v>
      </c>
      <c r="C36" s="109">
        <v>550</v>
      </c>
      <c r="D36" s="110">
        <v>0.23800000000000002</v>
      </c>
      <c r="E36" s="110">
        <v>0.47600000000000003</v>
      </c>
      <c r="F36" s="110">
        <v>0.28600000000000003</v>
      </c>
      <c r="G36" s="110">
        <v>0.3</v>
      </c>
      <c r="H36" s="111">
        <v>1.6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0.21962500000000001</v>
      </c>
      <c r="E65" s="64">
        <f>AVERAGE(E14:E29)</f>
        <v>0.47525000000000001</v>
      </c>
      <c r="F65" s="64">
        <f>AVERAGE(F14:F29)</f>
        <v>0.30512499999999992</v>
      </c>
      <c r="G65" s="64">
        <f>AVERAGE(G14:G29)</f>
        <v>0.26068749999999996</v>
      </c>
      <c r="H65" s="64">
        <f>AVERAGE(H14:H29)</f>
        <v>0.99831249999999994</v>
      </c>
    </row>
    <row r="66" spans="3:11" x14ac:dyDescent="0.25">
      <c r="C66" t="s">
        <v>436</v>
      </c>
      <c r="D66" s="41">
        <f>_xlfn.STDEV.P(D14:D29)</f>
        <v>2.2696021127060775E-2</v>
      </c>
      <c r="E66" s="41">
        <f>_xlfn.STDEV.P(E14:E29)</f>
        <v>3.8176399777873231E-2</v>
      </c>
      <c r="F66" s="41">
        <f>_xlfn.STDEV.P(F14:F29)</f>
        <v>2.7649310570066653E-2</v>
      </c>
      <c r="G66" s="41">
        <f>_xlfn.STDEV.P(G14:G29)</f>
        <v>5.6527337136557387E-2</v>
      </c>
      <c r="H66" s="41">
        <f>_xlfn.STDEV.P(H14:H29)</f>
        <v>0.54444383534369256</v>
      </c>
      <c r="K66">
        <v>0.45946666666666669</v>
      </c>
    </row>
    <row r="67" spans="3:11" x14ac:dyDescent="0.25">
      <c r="C67" t="s">
        <v>437</v>
      </c>
      <c r="D67">
        <f>MIN(D14:D29)</f>
        <v>0.16</v>
      </c>
      <c r="E67">
        <f>MIN(E14:E29)</f>
        <v>0.43799999999999994</v>
      </c>
      <c r="F67">
        <f>MIN(F14:F29)</f>
        <v>0.25</v>
      </c>
      <c r="G67">
        <f>MIN(G14:G29)</f>
        <v>0.14299999999999999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0.24</v>
      </c>
      <c r="E68">
        <f>MAX(E14:E29)</f>
        <v>0.56799999999999995</v>
      </c>
      <c r="F68">
        <f>MAX(F14:F29)</f>
        <v>0.34200000000000003</v>
      </c>
      <c r="G68">
        <f>MAX(G14:G29)</f>
        <v>0.32600000000000001</v>
      </c>
      <c r="H68">
        <f>MAX(H14:H29)</f>
        <v>2.09</v>
      </c>
      <c r="K68">
        <v>0.31053333333333327</v>
      </c>
    </row>
    <row r="69" spans="3:11" x14ac:dyDescent="0.25">
      <c r="C69" t="s">
        <v>439</v>
      </c>
      <c r="D69">
        <f>D68-D67</f>
        <v>7.9999999999999988E-2</v>
      </c>
      <c r="E69">
        <f t="shared" ref="E69:H69" si="4">E68-E67</f>
        <v>0.13</v>
      </c>
      <c r="F69">
        <f t="shared" si="4"/>
        <v>9.2000000000000026E-2</v>
      </c>
      <c r="G69">
        <f t="shared" si="4"/>
        <v>0.18300000000000002</v>
      </c>
      <c r="H69">
        <f t="shared" si="4"/>
        <v>1.8099999999999998</v>
      </c>
    </row>
  </sheetData>
  <sortState ref="A6:H36">
    <sortCondition ref="C6:C36"/>
  </sortState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="75" zoomScaleNormal="75" workbookViewId="0">
      <selection activeCell="J18" sqref="J18"/>
    </sheetView>
  </sheetViews>
  <sheetFormatPr defaultRowHeight="15" x14ac:dyDescent="0.25"/>
  <cols>
    <col min="13" max="13" width="9.140625" style="23"/>
  </cols>
  <sheetData>
    <row r="1" spans="1:17" ht="15" customHeight="1" x14ac:dyDescent="0.25">
      <c r="A1" s="61"/>
      <c r="B1" s="61"/>
      <c r="C1" s="61"/>
      <c r="D1" s="61" t="s">
        <v>473</v>
      </c>
      <c r="E1" s="61"/>
      <c r="F1" s="141"/>
      <c r="G1" s="61"/>
      <c r="H1" s="61"/>
      <c r="K1" t="str">
        <f>B4</f>
        <v>HR</v>
      </c>
      <c r="L1" t="str">
        <f>C4</f>
        <v>Ts</v>
      </c>
      <c r="M1"/>
      <c r="O1" s="71" t="s">
        <v>472</v>
      </c>
      <c r="P1" s="71"/>
      <c r="Q1" s="71" t="s">
        <v>429</v>
      </c>
    </row>
    <row r="2" spans="1:17" ht="15" customHeight="1" x14ac:dyDescent="0.25">
      <c r="A2" s="142" t="s">
        <v>472</v>
      </c>
      <c r="B2" s="141">
        <f>CORREL(B13:B46,H13:H46)</f>
        <v>-0.37089206523925894</v>
      </c>
      <c r="C2" s="141">
        <f>CORREL(C13:C46,H13:H46)</f>
        <v>0.44050871816093906</v>
      </c>
      <c r="D2" s="141">
        <f>CORREL(D13:D46,H13:H46)</f>
        <v>-0.15709526630195969</v>
      </c>
      <c r="E2" s="141">
        <f>CORREL(E13:E46,H13:H46)</f>
        <v>-0.58986468990723229</v>
      </c>
      <c r="F2" s="141">
        <f>CORREL(F13:F46,H13:H46)</f>
        <v>0.60928046524785651</v>
      </c>
      <c r="G2" s="61"/>
      <c r="H2" s="61"/>
      <c r="K2" t="str">
        <f>B5</f>
        <v>(°C/min)</v>
      </c>
      <c r="L2" t="str">
        <f>C5</f>
        <v>(°C)</v>
      </c>
      <c r="M2"/>
    </row>
    <row r="3" spans="1:17" ht="15" customHeight="1" x14ac:dyDescent="0.25">
      <c r="A3" s="142" t="s">
        <v>471</v>
      </c>
      <c r="B3" s="141">
        <f>CORREL(B13:B46,G13:G46)</f>
        <v>-0.36860061033853814</v>
      </c>
      <c r="C3" s="141">
        <f>CORREL(C13:C46,G13:G46)</f>
        <v>0.31804371783876451</v>
      </c>
      <c r="D3" s="141">
        <f>CORREL(D13:D46,G13:G46)</f>
        <v>-0.32027150982805719</v>
      </c>
      <c r="E3" s="141">
        <f>CORREL(E13:E46,G13:G46)</f>
        <v>-0.82795940682559732</v>
      </c>
      <c r="F3" s="141">
        <f>CORREL(F13:F46,G13:G46)</f>
        <v>0.91242467496227286</v>
      </c>
      <c r="G3" s="61"/>
      <c r="H3" s="61"/>
      <c r="M3"/>
    </row>
    <row r="4" spans="1:17" ht="15" customHeight="1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71" t="s">
        <v>413</v>
      </c>
      <c r="K4" s="71" t="s">
        <v>433</v>
      </c>
      <c r="L4" s="71" t="s">
        <v>434</v>
      </c>
      <c r="N4" s="71" t="s">
        <v>481</v>
      </c>
      <c r="O4" s="71" t="s">
        <v>480</v>
      </c>
    </row>
    <row r="5" spans="1:17" ht="15" customHeight="1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 t="s">
        <v>427</v>
      </c>
      <c r="K5" s="71" t="s">
        <v>427</v>
      </c>
      <c r="L5" s="71" t="s">
        <v>427</v>
      </c>
      <c r="N5" s="71" t="s">
        <v>483</v>
      </c>
      <c r="O5" s="71" t="s">
        <v>484</v>
      </c>
      <c r="P5" s="71" t="s">
        <v>482</v>
      </c>
      <c r="Q5" s="71" t="s">
        <v>436</v>
      </c>
    </row>
    <row r="6" spans="1:17" ht="15" customHeight="1" x14ac:dyDescent="0.25">
      <c r="A6" s="147" t="s">
        <v>476</v>
      </c>
      <c r="B6" s="144">
        <v>5.9</v>
      </c>
      <c r="C6" s="144">
        <v>525</v>
      </c>
      <c r="D6" s="145">
        <v>0.23</v>
      </c>
      <c r="E6" s="145">
        <v>0.45799999999999996</v>
      </c>
      <c r="F6" s="145">
        <v>0.312</v>
      </c>
      <c r="G6" s="145">
        <v>0.32600000000000001</v>
      </c>
      <c r="H6" s="146">
        <v>2.09</v>
      </c>
      <c r="J6" s="151">
        <f>D6</f>
        <v>0.23</v>
      </c>
      <c r="K6" s="151">
        <f>E6</f>
        <v>0.45799999999999996</v>
      </c>
      <c r="L6" s="151">
        <f>F6</f>
        <v>0.312</v>
      </c>
      <c r="M6" s="151" t="s">
        <v>492</v>
      </c>
      <c r="N6" s="68">
        <f>MIN(H6:H11)</f>
        <v>0.64100000000000001</v>
      </c>
      <c r="O6" s="68">
        <f>AVERAGE(H6:H11)</f>
        <v>1.5218333333333334</v>
      </c>
      <c r="P6" s="68">
        <f>MAX(H6:H11)</f>
        <v>2.09</v>
      </c>
    </row>
    <row r="7" spans="1:17" ht="15" customHeight="1" x14ac:dyDescent="0.25">
      <c r="A7" s="147" t="s">
        <v>476</v>
      </c>
      <c r="B7" s="144">
        <v>5.9</v>
      </c>
      <c r="C7" s="144">
        <v>525</v>
      </c>
      <c r="D7" s="145">
        <v>0.23</v>
      </c>
      <c r="E7" s="145">
        <v>0.45799999999999996</v>
      </c>
      <c r="F7" s="145">
        <v>0.312</v>
      </c>
      <c r="G7" s="145">
        <v>0.32600000000000001</v>
      </c>
      <c r="H7" s="146">
        <v>2.09</v>
      </c>
      <c r="J7" s="151">
        <f>D10</f>
        <v>0.23800000000000002</v>
      </c>
      <c r="K7" s="151">
        <f>E10</f>
        <v>0.47600000000000003</v>
      </c>
      <c r="L7" s="151">
        <f>F10</f>
        <v>0.28600000000000003</v>
      </c>
      <c r="M7" s="151" t="s">
        <v>493</v>
      </c>
      <c r="N7" s="68">
        <f>MIN(H12:H17)</f>
        <v>0.41</v>
      </c>
      <c r="O7" s="68">
        <f>AVERAGE(H12:H17)</f>
        <v>1.0166666666666668</v>
      </c>
      <c r="P7" s="68">
        <f>MAX(H12:H17)</f>
        <v>1.56</v>
      </c>
    </row>
    <row r="8" spans="1:17" ht="15" customHeight="1" x14ac:dyDescent="0.25">
      <c r="A8" s="136" t="s">
        <v>475</v>
      </c>
      <c r="B8" s="144">
        <v>7.7</v>
      </c>
      <c r="C8" s="144">
        <v>500</v>
      </c>
      <c r="D8" s="145">
        <v>0.222</v>
      </c>
      <c r="E8" s="145">
        <v>0.44400000000000001</v>
      </c>
      <c r="F8" s="145">
        <v>0.33399999999999996</v>
      </c>
      <c r="G8" s="145">
        <v>0.32400000000000001</v>
      </c>
      <c r="H8" s="146">
        <v>1.28</v>
      </c>
      <c r="J8" s="151">
        <f t="shared" ref="J8:L9" si="0">D12</f>
        <v>0.22</v>
      </c>
      <c r="K8" s="151">
        <f t="shared" si="0"/>
        <v>0.43799999999999994</v>
      </c>
      <c r="L8" s="151">
        <f t="shared" si="0"/>
        <v>0.34200000000000003</v>
      </c>
      <c r="M8" s="151" t="s">
        <v>494</v>
      </c>
      <c r="N8" s="68">
        <f>MIN(H18:H23)</f>
        <v>0.28000000000000003</v>
      </c>
      <c r="O8" s="68">
        <f>AVERAGE(H18:H23)</f>
        <v>0.92849999999999999</v>
      </c>
      <c r="P8" s="68">
        <f>MAX(H18:H23)</f>
        <v>1.6</v>
      </c>
    </row>
    <row r="9" spans="1:17" ht="15" customHeight="1" x14ac:dyDescent="0.25">
      <c r="A9" s="136" t="s">
        <v>127</v>
      </c>
      <c r="B9" s="144">
        <v>7.7</v>
      </c>
      <c r="C9" s="144">
        <v>500</v>
      </c>
      <c r="D9" s="145">
        <v>0.23800000000000002</v>
      </c>
      <c r="E9" s="145">
        <v>0.47600000000000003</v>
      </c>
      <c r="F9" s="145">
        <v>0.28600000000000003</v>
      </c>
      <c r="G9" s="145">
        <v>0.23</v>
      </c>
      <c r="H9" s="146">
        <v>0.64100000000000001</v>
      </c>
      <c r="J9" s="151">
        <f t="shared" si="0"/>
        <v>0.23</v>
      </c>
      <c r="K9" s="151">
        <f t="shared" si="0"/>
        <v>0.45799999999999996</v>
      </c>
      <c r="L9" s="151">
        <f t="shared" si="0"/>
        <v>0.312</v>
      </c>
      <c r="M9" s="151" t="s">
        <v>495</v>
      </c>
      <c r="N9" s="68">
        <f>MIN(H24:H33)</f>
        <v>0.40100000000000002</v>
      </c>
      <c r="O9" s="68">
        <f>AVERAGE(H24:H33)</f>
        <v>0.82110000000000005</v>
      </c>
      <c r="P9" s="68">
        <f>MAX(H24:H33)</f>
        <v>1.31</v>
      </c>
    </row>
    <row r="10" spans="1:17" ht="15" customHeight="1" x14ac:dyDescent="0.25">
      <c r="A10" s="136" t="s">
        <v>127</v>
      </c>
      <c r="B10" s="144">
        <v>8.1999999999999993</v>
      </c>
      <c r="C10" s="144">
        <v>550</v>
      </c>
      <c r="D10" s="145">
        <v>0.23800000000000002</v>
      </c>
      <c r="E10" s="145">
        <v>0.47600000000000003</v>
      </c>
      <c r="F10" s="145">
        <v>0.28600000000000003</v>
      </c>
      <c r="G10" s="145">
        <v>0.26100000000000001</v>
      </c>
      <c r="H10" s="146">
        <v>1.19</v>
      </c>
      <c r="J10" s="151">
        <f t="shared" ref="J10:L11" si="1">D28</f>
        <v>0.23800000000000002</v>
      </c>
      <c r="K10" s="151">
        <f t="shared" si="1"/>
        <v>0.47600000000000003</v>
      </c>
      <c r="L10" s="151">
        <f t="shared" si="1"/>
        <v>0.28600000000000003</v>
      </c>
      <c r="M10" s="151" t="s">
        <v>496</v>
      </c>
      <c r="N10" s="68">
        <f>MIN(H34:H36)</f>
        <v>0.111</v>
      </c>
      <c r="O10" s="68">
        <f>AVERAGE(H34:H36)</f>
        <v>0.26466666666666666</v>
      </c>
      <c r="P10" s="68">
        <f>MAX(H34:H36)</f>
        <v>0.56200000000000006</v>
      </c>
    </row>
    <row r="11" spans="1:17" ht="15" customHeight="1" x14ac:dyDescent="0.25">
      <c r="A11" s="136" t="s">
        <v>475</v>
      </c>
      <c r="B11" s="144">
        <v>8.3000000000000007</v>
      </c>
      <c r="C11" s="144">
        <v>550</v>
      </c>
      <c r="D11" s="145">
        <v>0.222</v>
      </c>
      <c r="E11" s="145">
        <v>0.44400000000000001</v>
      </c>
      <c r="F11" s="145">
        <v>0.33399999999999996</v>
      </c>
      <c r="G11" s="145">
        <v>0.314</v>
      </c>
      <c r="H11" s="146">
        <v>1.84</v>
      </c>
      <c r="J11" s="151">
        <f t="shared" si="1"/>
        <v>0.16</v>
      </c>
      <c r="K11" s="151">
        <f t="shared" si="1"/>
        <v>0.5</v>
      </c>
      <c r="L11" s="151">
        <f t="shared" si="1"/>
        <v>0.34</v>
      </c>
      <c r="N11" s="68"/>
      <c r="O11" s="68"/>
      <c r="P11" s="68"/>
    </row>
    <row r="12" spans="1:17" ht="15" customHeight="1" x14ac:dyDescent="0.25">
      <c r="A12" s="89" t="s">
        <v>475</v>
      </c>
      <c r="B12" s="96">
        <v>18.8</v>
      </c>
      <c r="C12" s="96">
        <v>525</v>
      </c>
      <c r="D12" s="100">
        <v>0.22</v>
      </c>
      <c r="E12" s="100">
        <v>0.43799999999999994</v>
      </c>
      <c r="F12" s="100">
        <v>0.34200000000000003</v>
      </c>
      <c r="G12" s="100">
        <v>0.312</v>
      </c>
      <c r="H12" s="97">
        <v>1.08</v>
      </c>
      <c r="J12" s="151"/>
      <c r="K12" s="151"/>
      <c r="L12" s="151"/>
      <c r="M12" s="157"/>
      <c r="N12" s="68"/>
      <c r="O12" s="68"/>
      <c r="P12" s="68"/>
    </row>
    <row r="13" spans="1:17" ht="15" customHeight="1" x14ac:dyDescent="0.25">
      <c r="A13" s="90" t="s">
        <v>476</v>
      </c>
      <c r="B13" s="96">
        <v>18.8</v>
      </c>
      <c r="C13" s="96">
        <v>525</v>
      </c>
      <c r="D13" s="100">
        <v>0.23</v>
      </c>
      <c r="E13" s="100">
        <v>0.45799999999999996</v>
      </c>
      <c r="F13" s="100">
        <v>0.312</v>
      </c>
      <c r="G13" s="100">
        <v>0.313</v>
      </c>
      <c r="H13" s="97">
        <v>1.56</v>
      </c>
      <c r="J13" s="151"/>
      <c r="K13" s="151"/>
      <c r="L13" s="151"/>
      <c r="M13" s="157"/>
      <c r="N13" s="68"/>
      <c r="O13" s="68"/>
      <c r="P13" s="68"/>
    </row>
    <row r="14" spans="1:17" ht="15" customHeight="1" x14ac:dyDescent="0.25">
      <c r="A14" s="90" t="s">
        <v>476</v>
      </c>
      <c r="B14" s="96">
        <v>18.8</v>
      </c>
      <c r="C14" s="96">
        <v>525</v>
      </c>
      <c r="D14" s="100">
        <v>0.23</v>
      </c>
      <c r="E14" s="100">
        <v>0.45799999999999996</v>
      </c>
      <c r="F14" s="100">
        <v>0.312</v>
      </c>
      <c r="G14" s="100">
        <v>0.3</v>
      </c>
      <c r="H14" s="97">
        <v>1.33</v>
      </c>
      <c r="I14" s="106"/>
      <c r="K14" s="151"/>
      <c r="L14" s="151"/>
      <c r="M14" s="151"/>
      <c r="N14" s="71" t="s">
        <v>483</v>
      </c>
      <c r="O14" s="71" t="s">
        <v>484</v>
      </c>
      <c r="P14" s="71" t="s">
        <v>482</v>
      </c>
    </row>
    <row r="15" spans="1:17" ht="15" customHeight="1" x14ac:dyDescent="0.25">
      <c r="A15" s="89" t="s">
        <v>127</v>
      </c>
      <c r="B15" s="96">
        <v>18.8</v>
      </c>
      <c r="C15" s="96">
        <v>525</v>
      </c>
      <c r="D15" s="100">
        <v>0.24</v>
      </c>
      <c r="E15" s="100">
        <v>0.48399999999999999</v>
      </c>
      <c r="F15" s="100">
        <v>0.27600000000000002</v>
      </c>
      <c r="G15" s="100">
        <v>0.23100000000000001</v>
      </c>
      <c r="H15" s="97">
        <v>1.1000000000000001</v>
      </c>
      <c r="I15" s="106"/>
      <c r="K15" s="151"/>
      <c r="L15" s="151"/>
      <c r="M15" s="151" t="s">
        <v>492</v>
      </c>
      <c r="N15" s="68">
        <f>N6</f>
        <v>0.64100000000000001</v>
      </c>
      <c r="O15" s="68">
        <f>O6-N6</f>
        <v>0.88083333333333336</v>
      </c>
      <c r="P15" s="68">
        <f>P6-O6</f>
        <v>0.56816666666666649</v>
      </c>
    </row>
    <row r="16" spans="1:17" ht="15" customHeight="1" x14ac:dyDescent="0.25">
      <c r="A16" s="90" t="s">
        <v>476</v>
      </c>
      <c r="B16" s="96">
        <v>19.399999999999999</v>
      </c>
      <c r="C16" s="96">
        <v>480</v>
      </c>
      <c r="D16" s="100">
        <v>0.23</v>
      </c>
      <c r="E16" s="100">
        <v>0.45799999999999996</v>
      </c>
      <c r="F16" s="100">
        <v>0.312</v>
      </c>
      <c r="G16" s="100">
        <v>0.27600000000000002</v>
      </c>
      <c r="H16" s="97">
        <v>0.41</v>
      </c>
      <c r="I16" s="106"/>
      <c r="K16" s="151"/>
      <c r="L16" s="151"/>
      <c r="M16" s="151" t="s">
        <v>493</v>
      </c>
      <c r="N16" s="68">
        <f t="shared" ref="M16:N22" si="2">N7</f>
        <v>0.41</v>
      </c>
      <c r="O16" s="68">
        <f t="shared" ref="O16:P22" si="3">O7-N7</f>
        <v>0.60666666666666691</v>
      </c>
      <c r="P16" s="68">
        <f t="shared" si="3"/>
        <v>0.54333333333333322</v>
      </c>
    </row>
    <row r="17" spans="1:16" ht="15" customHeight="1" x14ac:dyDescent="0.25">
      <c r="A17" s="90" t="s">
        <v>476</v>
      </c>
      <c r="B17" s="96">
        <v>20.399999999999999</v>
      </c>
      <c r="C17" s="96">
        <v>520</v>
      </c>
      <c r="D17" s="100">
        <v>0.23</v>
      </c>
      <c r="E17" s="100">
        <v>0.45799999999999996</v>
      </c>
      <c r="F17" s="100">
        <v>0.312</v>
      </c>
      <c r="G17" s="100">
        <v>0.26300000000000001</v>
      </c>
      <c r="H17" s="97">
        <v>0.62</v>
      </c>
      <c r="I17" s="106"/>
      <c r="K17" s="151"/>
      <c r="L17" s="151"/>
      <c r="M17" s="151" t="s">
        <v>494</v>
      </c>
      <c r="N17" s="68">
        <f t="shared" si="2"/>
        <v>0.28000000000000003</v>
      </c>
      <c r="O17" s="68">
        <f t="shared" si="3"/>
        <v>0.64849999999999997</v>
      </c>
      <c r="P17" s="68">
        <f t="shared" si="3"/>
        <v>0.6715000000000001</v>
      </c>
    </row>
    <row r="18" spans="1:16" ht="15" customHeight="1" x14ac:dyDescent="0.25">
      <c r="A18" s="108" t="s">
        <v>475</v>
      </c>
      <c r="B18" s="109">
        <v>26.3</v>
      </c>
      <c r="C18" s="109">
        <v>550</v>
      </c>
      <c r="D18" s="110">
        <v>0.222</v>
      </c>
      <c r="E18" s="110">
        <v>0.44400000000000001</v>
      </c>
      <c r="F18" s="110">
        <v>0.33399999999999996</v>
      </c>
      <c r="G18" s="110">
        <v>0.29699999999999999</v>
      </c>
      <c r="H18" s="111">
        <v>1.46</v>
      </c>
      <c r="I18" s="106"/>
      <c r="K18" s="151"/>
      <c r="L18" s="151"/>
      <c r="M18" s="151" t="s">
        <v>495</v>
      </c>
      <c r="N18" s="68">
        <f t="shared" si="2"/>
        <v>0.40100000000000002</v>
      </c>
      <c r="O18" s="68">
        <f t="shared" si="3"/>
        <v>0.42010000000000003</v>
      </c>
      <c r="P18" s="68">
        <f t="shared" si="3"/>
        <v>0.4889</v>
      </c>
    </row>
    <row r="19" spans="1:16" ht="15" customHeight="1" x14ac:dyDescent="0.25">
      <c r="A19" s="108" t="s">
        <v>127</v>
      </c>
      <c r="B19" s="109">
        <v>26.3</v>
      </c>
      <c r="C19" s="109">
        <v>550</v>
      </c>
      <c r="D19" s="110">
        <v>0.23800000000000002</v>
      </c>
      <c r="E19" s="110">
        <v>0.47600000000000003</v>
      </c>
      <c r="F19" s="110">
        <v>0.28600000000000003</v>
      </c>
      <c r="G19" s="110">
        <v>0.3</v>
      </c>
      <c r="H19" s="111">
        <v>1.6</v>
      </c>
      <c r="I19" s="106"/>
      <c r="K19" s="151"/>
      <c r="L19" s="151"/>
      <c r="M19" s="151" t="s">
        <v>496</v>
      </c>
      <c r="N19" s="68">
        <f t="shared" si="2"/>
        <v>0.111</v>
      </c>
      <c r="O19" s="68">
        <f t="shared" si="3"/>
        <v>0.15366666666666667</v>
      </c>
      <c r="P19" s="68">
        <f t="shared" si="3"/>
        <v>0.29733333333333339</v>
      </c>
    </row>
    <row r="20" spans="1:16" ht="15" customHeight="1" x14ac:dyDescent="0.25">
      <c r="A20" s="113" t="s">
        <v>476</v>
      </c>
      <c r="B20" s="114">
        <v>27.2</v>
      </c>
      <c r="C20" s="114">
        <v>550</v>
      </c>
      <c r="D20" s="115">
        <v>0.23</v>
      </c>
      <c r="E20" s="115">
        <v>0.45799999999999996</v>
      </c>
      <c r="F20" s="115">
        <v>0.312</v>
      </c>
      <c r="G20" s="115">
        <v>0.26800000000000002</v>
      </c>
      <c r="H20" s="112">
        <v>0.98199999999999998</v>
      </c>
      <c r="I20" s="106"/>
      <c r="K20" s="151"/>
      <c r="L20" s="151"/>
      <c r="M20" s="151">
        <f t="shared" si="2"/>
        <v>0</v>
      </c>
      <c r="N20" s="68">
        <f t="shared" si="2"/>
        <v>0</v>
      </c>
      <c r="O20" s="68">
        <f t="shared" si="3"/>
        <v>0</v>
      </c>
      <c r="P20" s="68">
        <f t="shared" si="3"/>
        <v>0</v>
      </c>
    </row>
    <row r="21" spans="1:16" ht="15" customHeight="1" x14ac:dyDescent="0.25">
      <c r="A21" s="113" t="s">
        <v>476</v>
      </c>
      <c r="B21" s="109">
        <v>27.5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0.188</v>
      </c>
      <c r="H21" s="111">
        <v>0.28000000000000003</v>
      </c>
      <c r="I21" s="106"/>
      <c r="K21" s="151"/>
      <c r="L21" s="151"/>
      <c r="M21" s="151">
        <f t="shared" si="2"/>
        <v>0</v>
      </c>
      <c r="N21" s="68">
        <f t="shared" si="2"/>
        <v>0</v>
      </c>
      <c r="O21" s="68">
        <f t="shared" si="3"/>
        <v>0</v>
      </c>
      <c r="P21" s="68">
        <f t="shared" si="3"/>
        <v>0</v>
      </c>
    </row>
    <row r="22" spans="1:16" ht="15" customHeight="1" x14ac:dyDescent="0.25">
      <c r="A22" s="108" t="s">
        <v>474</v>
      </c>
      <c r="B22" s="114">
        <v>27.8</v>
      </c>
      <c r="C22" s="114">
        <v>550</v>
      </c>
      <c r="D22" s="115">
        <v>0.16</v>
      </c>
      <c r="E22" s="115">
        <v>0.5</v>
      </c>
      <c r="F22" s="115">
        <v>0.34</v>
      </c>
      <c r="G22" s="115">
        <v>0.27400000000000002</v>
      </c>
      <c r="H22" s="112">
        <v>0.77100000000000002</v>
      </c>
      <c r="I22" s="106"/>
      <c r="K22" s="151"/>
      <c r="L22" s="151"/>
      <c r="M22" s="151">
        <f t="shared" si="2"/>
        <v>0</v>
      </c>
      <c r="N22" s="68">
        <f t="shared" si="2"/>
        <v>0</v>
      </c>
      <c r="O22" s="68">
        <f t="shared" si="3"/>
        <v>0</v>
      </c>
      <c r="P22" s="68">
        <f t="shared" si="3"/>
        <v>0</v>
      </c>
    </row>
    <row r="23" spans="1:16" ht="15" customHeight="1" x14ac:dyDescent="0.25">
      <c r="A23" s="108" t="s">
        <v>60</v>
      </c>
      <c r="B23" s="116">
        <v>27.8</v>
      </c>
      <c r="C23" s="114">
        <v>550</v>
      </c>
      <c r="D23" s="115">
        <v>0.182</v>
      </c>
      <c r="E23" s="115">
        <v>0.56799999999999995</v>
      </c>
      <c r="F23" s="115">
        <v>0.25</v>
      </c>
      <c r="G23" s="115">
        <v>0.16900000000000001</v>
      </c>
      <c r="H23" s="112">
        <v>0.47799999999999998</v>
      </c>
      <c r="I23" s="106"/>
      <c r="K23" s="151"/>
      <c r="L23" s="151"/>
      <c r="M23" s="151"/>
      <c r="N23" s="68"/>
      <c r="O23" s="68"/>
      <c r="P23" s="68"/>
    </row>
    <row r="24" spans="1:16" ht="15" customHeight="1" x14ac:dyDescent="0.25">
      <c r="A24" s="88" t="s">
        <v>60</v>
      </c>
      <c r="B24" s="91">
        <v>28.4</v>
      </c>
      <c r="C24" s="92">
        <v>550</v>
      </c>
      <c r="D24" s="102">
        <v>0.182</v>
      </c>
      <c r="E24" s="102">
        <v>0.56799999999999995</v>
      </c>
      <c r="F24" s="102">
        <v>0.25</v>
      </c>
      <c r="G24" s="102">
        <v>0.14299999999999999</v>
      </c>
      <c r="H24" s="99">
        <v>0.51100000000000001</v>
      </c>
      <c r="I24" s="106"/>
      <c r="K24" s="151"/>
      <c r="L24" s="151"/>
      <c r="M24" s="151"/>
      <c r="N24" s="68"/>
      <c r="O24" s="68"/>
      <c r="P24" s="68"/>
    </row>
    <row r="25" spans="1:16" ht="15" customHeight="1" x14ac:dyDescent="0.25">
      <c r="A25" s="148" t="s">
        <v>476</v>
      </c>
      <c r="B25" s="91">
        <v>28.4</v>
      </c>
      <c r="C25" s="92">
        <v>550</v>
      </c>
      <c r="D25" s="102">
        <v>0.23</v>
      </c>
      <c r="E25" s="102">
        <v>0.45799999999999996</v>
      </c>
      <c r="F25" s="102">
        <v>0.312</v>
      </c>
      <c r="G25" s="102">
        <v>0.30299999999999999</v>
      </c>
      <c r="H25" s="99">
        <v>1.2</v>
      </c>
      <c r="I25" s="106"/>
      <c r="K25" s="151"/>
      <c r="L25" s="151"/>
      <c r="M25" s="151"/>
      <c r="N25" s="68"/>
      <c r="O25" s="68"/>
      <c r="P25" s="68"/>
    </row>
    <row r="26" spans="1:16" ht="15.75" x14ac:dyDescent="0.25">
      <c r="A26" s="148" t="s">
        <v>476</v>
      </c>
      <c r="B26" s="91">
        <v>28.4</v>
      </c>
      <c r="C26" s="92">
        <v>550</v>
      </c>
      <c r="D26" s="102">
        <v>0.23</v>
      </c>
      <c r="E26" s="102">
        <v>0.45799999999999996</v>
      </c>
      <c r="F26" s="102">
        <v>0.312</v>
      </c>
      <c r="G26" s="102">
        <v>0.26500000000000001</v>
      </c>
      <c r="H26" s="99">
        <v>0.93200000000000005</v>
      </c>
      <c r="I26" s="106"/>
      <c r="K26" s="151"/>
      <c r="L26" s="151"/>
      <c r="M26" s="151"/>
      <c r="N26" s="68"/>
      <c r="O26" s="68"/>
      <c r="P26" s="68"/>
    </row>
    <row r="27" spans="1:16" ht="15.75" x14ac:dyDescent="0.25">
      <c r="A27" s="88" t="s">
        <v>475</v>
      </c>
      <c r="B27" s="117">
        <v>28.5</v>
      </c>
      <c r="C27" s="117">
        <v>500</v>
      </c>
      <c r="D27" s="118">
        <v>0.222</v>
      </c>
      <c r="E27" s="118">
        <v>0.44400000000000001</v>
      </c>
      <c r="F27" s="118">
        <v>0.33399999999999996</v>
      </c>
      <c r="G27" s="118">
        <v>0.27600000000000002</v>
      </c>
      <c r="H27" s="119">
        <v>1.1000000000000001</v>
      </c>
      <c r="I27" s="106"/>
      <c r="K27" s="151"/>
      <c r="L27" s="151"/>
      <c r="M27" s="151"/>
      <c r="N27" s="68"/>
      <c r="O27" s="68"/>
      <c r="P27" s="68"/>
    </row>
    <row r="28" spans="1:16" ht="15.75" x14ac:dyDescent="0.25">
      <c r="A28" s="88" t="s">
        <v>127</v>
      </c>
      <c r="B28" s="117">
        <v>28.5</v>
      </c>
      <c r="C28" s="117">
        <v>500</v>
      </c>
      <c r="D28" s="118">
        <v>0.23800000000000002</v>
      </c>
      <c r="E28" s="118">
        <v>0.47600000000000003</v>
      </c>
      <c r="F28" s="118">
        <v>0.28600000000000003</v>
      </c>
      <c r="G28" s="118">
        <v>0.22</v>
      </c>
      <c r="H28" s="119">
        <v>0.63200000000000001</v>
      </c>
    </row>
    <row r="29" spans="1:16" ht="15.75" x14ac:dyDescent="0.25">
      <c r="A29" s="88" t="s">
        <v>474</v>
      </c>
      <c r="B29" s="91">
        <v>28.7</v>
      </c>
      <c r="C29" s="92">
        <v>450</v>
      </c>
      <c r="D29" s="102">
        <v>0.16</v>
      </c>
      <c r="E29" s="102">
        <v>0.5</v>
      </c>
      <c r="F29" s="102">
        <v>0.34</v>
      </c>
      <c r="G29" s="102">
        <v>0.255</v>
      </c>
      <c r="H29" s="99">
        <v>0.72399999999999998</v>
      </c>
    </row>
    <row r="30" spans="1:16" ht="15.75" x14ac:dyDescent="0.25">
      <c r="A30" s="88" t="s">
        <v>477</v>
      </c>
      <c r="B30" s="91">
        <v>28.7</v>
      </c>
      <c r="C30" s="92">
        <v>450</v>
      </c>
      <c r="D30" s="102">
        <v>0.25800000000000001</v>
      </c>
      <c r="E30" s="102">
        <v>0.51600000000000001</v>
      </c>
      <c r="F30" s="102">
        <v>0.22600000000000001</v>
      </c>
      <c r="G30" s="102">
        <v>0.161</v>
      </c>
      <c r="H30" s="99">
        <v>0.45600000000000002</v>
      </c>
      <c r="I30" s="106"/>
      <c r="K30" s="151"/>
      <c r="L30" s="151"/>
      <c r="M30" s="151"/>
      <c r="N30" s="68"/>
      <c r="O30" s="68"/>
      <c r="P30" s="68"/>
    </row>
    <row r="31" spans="1:16" ht="15.75" x14ac:dyDescent="0.25">
      <c r="A31" s="88" t="s">
        <v>477</v>
      </c>
      <c r="B31" s="91">
        <v>28.7</v>
      </c>
      <c r="C31" s="92">
        <v>450</v>
      </c>
      <c r="D31" s="102">
        <v>0.25800000000000001</v>
      </c>
      <c r="E31" s="102">
        <v>0.51600000000000001</v>
      </c>
      <c r="F31" s="102">
        <v>0.22600000000000001</v>
      </c>
      <c r="G31" s="102">
        <v>0.14000000000000001</v>
      </c>
      <c r="H31" s="99">
        <v>0.40100000000000002</v>
      </c>
      <c r="I31" s="106"/>
      <c r="K31" s="151"/>
      <c r="L31" s="151"/>
      <c r="M31" s="151"/>
      <c r="N31" s="68"/>
      <c r="O31" s="68"/>
      <c r="P31" s="68"/>
    </row>
    <row r="32" spans="1:16" ht="15.75" x14ac:dyDescent="0.25">
      <c r="A32" s="88" t="s">
        <v>474</v>
      </c>
      <c r="B32" s="94">
        <v>29.3</v>
      </c>
      <c r="C32" s="92">
        <v>450</v>
      </c>
      <c r="D32" s="102">
        <v>0.16</v>
      </c>
      <c r="E32" s="102">
        <v>0.5</v>
      </c>
      <c r="F32" s="102">
        <v>0.34</v>
      </c>
      <c r="G32" s="102">
        <v>0.314</v>
      </c>
      <c r="H32" s="99">
        <v>0.94499999999999995</v>
      </c>
      <c r="I32" s="106"/>
      <c r="K32" s="151"/>
      <c r="L32" s="151"/>
      <c r="M32" s="151"/>
      <c r="N32" s="68"/>
      <c r="O32" s="68"/>
      <c r="P32" s="68"/>
    </row>
    <row r="33" spans="1:16" ht="15.75" x14ac:dyDescent="0.25">
      <c r="A33" s="88" t="s">
        <v>474</v>
      </c>
      <c r="B33" s="92">
        <v>29.6</v>
      </c>
      <c r="C33" s="92">
        <v>450</v>
      </c>
      <c r="D33" s="102">
        <v>0.16</v>
      </c>
      <c r="E33" s="102">
        <v>0.5</v>
      </c>
      <c r="F33" s="102">
        <v>0.34</v>
      </c>
      <c r="G33" s="102">
        <v>0.309</v>
      </c>
      <c r="H33" s="99">
        <v>1.31</v>
      </c>
      <c r="I33" s="106"/>
      <c r="K33" s="151"/>
      <c r="L33" s="151"/>
      <c r="M33" s="151"/>
      <c r="N33" s="68"/>
      <c r="O33" s="68"/>
      <c r="P33" s="68"/>
    </row>
    <row r="34" spans="1:16" ht="15.75" x14ac:dyDescent="0.25">
      <c r="A34" s="87" t="s">
        <v>158</v>
      </c>
      <c r="B34" s="95">
        <v>30.5</v>
      </c>
      <c r="C34" s="93">
        <v>450</v>
      </c>
      <c r="D34" s="101">
        <v>0.29399999999999998</v>
      </c>
      <c r="E34" s="101">
        <v>0.58799999999999997</v>
      </c>
      <c r="F34" s="101">
        <v>0.11800000000000001</v>
      </c>
      <c r="G34" s="101">
        <v>6.2E-2</v>
      </c>
      <c r="H34" s="98">
        <v>0.111</v>
      </c>
      <c r="I34" s="106"/>
      <c r="K34" s="151"/>
      <c r="L34" s="151"/>
      <c r="M34" s="151"/>
      <c r="N34" s="68"/>
      <c r="O34" s="68"/>
      <c r="P34" s="68"/>
    </row>
    <row r="35" spans="1:16" ht="15.75" x14ac:dyDescent="0.25">
      <c r="A35" s="87" t="s">
        <v>81</v>
      </c>
      <c r="B35" s="93">
        <v>30.6</v>
      </c>
      <c r="C35" s="93">
        <v>450</v>
      </c>
      <c r="D35" s="101">
        <v>0.21</v>
      </c>
      <c r="E35" s="101">
        <v>0.65799999999999992</v>
      </c>
      <c r="F35" s="101">
        <v>0.13200000000000001</v>
      </c>
      <c r="G35" s="101">
        <v>5.3999999999999999E-2</v>
      </c>
      <c r="H35" s="98">
        <v>0.121</v>
      </c>
    </row>
    <row r="36" spans="1:16" ht="15.75" x14ac:dyDescent="0.25">
      <c r="A36" s="87" t="s">
        <v>476</v>
      </c>
      <c r="B36" s="93">
        <v>31.6</v>
      </c>
      <c r="C36" s="93">
        <v>450</v>
      </c>
      <c r="D36" s="101">
        <v>0.23</v>
      </c>
      <c r="E36" s="101">
        <v>0.45799999999999996</v>
      </c>
      <c r="F36" s="101">
        <v>0.312</v>
      </c>
      <c r="G36" s="101">
        <v>0.27600000000000002</v>
      </c>
      <c r="H36" s="98">
        <v>0.56200000000000006</v>
      </c>
    </row>
    <row r="64" spans="2:8" x14ac:dyDescent="0.25">
      <c r="B64" s="61"/>
      <c r="C64" s="61" t="s">
        <v>441</v>
      </c>
      <c r="D64" s="61"/>
      <c r="E64" s="61"/>
      <c r="F64" s="61"/>
      <c r="G64" s="61"/>
      <c r="H64" s="61"/>
    </row>
    <row r="65" spans="3:11" x14ac:dyDescent="0.25">
      <c r="C65" t="s">
        <v>435</v>
      </c>
      <c r="D65" s="64">
        <f>AVERAGE(D14:D29)</f>
        <v>0.21587499999999998</v>
      </c>
      <c r="E65" s="64">
        <f>AVERAGE(E14:E29)</f>
        <v>0.47912499999999997</v>
      </c>
      <c r="F65" s="64">
        <f>AVERAGE(F14:F29)</f>
        <v>0.30499999999999994</v>
      </c>
      <c r="G65" s="64">
        <f>AVERAGE(G14:G29)</f>
        <v>0.25175000000000003</v>
      </c>
      <c r="H65" s="64">
        <f>AVERAGE(H14:H29)</f>
        <v>0.88312499999999994</v>
      </c>
    </row>
    <row r="66" spans="3:11" x14ac:dyDescent="0.25">
      <c r="C66" t="s">
        <v>436</v>
      </c>
      <c r="D66" s="41">
        <f>_xlfn.STDEV.P(D14:D29)</f>
        <v>2.6893017216370489E-2</v>
      </c>
      <c r="E66" s="41">
        <f>_xlfn.STDEV.P(E14:E29)</f>
        <v>3.733610015789008E-2</v>
      </c>
      <c r="F66" s="41">
        <f>_xlfn.STDEV.P(F14:F29)</f>
        <v>2.7486360253769496E-2</v>
      </c>
      <c r="G66" s="41">
        <f>_xlfn.STDEV.P(G14:G29)</f>
        <v>4.7272481424185733E-2</v>
      </c>
      <c r="H66" s="41">
        <f>_xlfn.STDEV.P(H14:H29)</f>
        <v>0.38024973290588926</v>
      </c>
      <c r="K66">
        <v>0.45946666666666669</v>
      </c>
    </row>
    <row r="67" spans="3:11" x14ac:dyDescent="0.25">
      <c r="C67" t="s">
        <v>437</v>
      </c>
      <c r="D67">
        <f>MIN(D14:D29)</f>
        <v>0.16</v>
      </c>
      <c r="E67">
        <f>MIN(E14:E29)</f>
        <v>0.44400000000000001</v>
      </c>
      <c r="F67">
        <f>MIN(F14:F29)</f>
        <v>0.25</v>
      </c>
      <c r="G67">
        <f>MIN(G14:G29)</f>
        <v>0.14299999999999999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0.24</v>
      </c>
      <c r="E68">
        <f>MAX(E14:E29)</f>
        <v>0.56799999999999995</v>
      </c>
      <c r="F68">
        <f>MAX(F14:F29)</f>
        <v>0.34</v>
      </c>
      <c r="G68">
        <f>MAX(G14:G29)</f>
        <v>0.30299999999999999</v>
      </c>
      <c r="H68">
        <f>MAX(H14:H29)</f>
        <v>1.6</v>
      </c>
      <c r="K68">
        <v>0.31053333333333327</v>
      </c>
    </row>
    <row r="69" spans="3:11" x14ac:dyDescent="0.25">
      <c r="C69" t="s">
        <v>439</v>
      </c>
      <c r="D69">
        <f>D68-D67</f>
        <v>7.9999999999999988E-2</v>
      </c>
      <c r="E69">
        <f t="shared" ref="E69:H69" si="4">E68-E67</f>
        <v>0.12399999999999994</v>
      </c>
      <c r="F69">
        <f t="shared" si="4"/>
        <v>9.0000000000000024E-2</v>
      </c>
      <c r="G69">
        <f t="shared" si="4"/>
        <v>0.16</v>
      </c>
      <c r="H69">
        <f t="shared" si="4"/>
        <v>1.32</v>
      </c>
    </row>
  </sheetData>
  <sortState ref="A6:H36">
    <sortCondition ref="B6:B36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32"/>
  <sheetViews>
    <sheetView topLeftCell="A4" workbookViewId="0">
      <selection activeCell="H13" sqref="H13"/>
    </sheetView>
  </sheetViews>
  <sheetFormatPr defaultRowHeight="15" x14ac:dyDescent="0.25"/>
  <cols>
    <col min="4" max="4" width="18.5703125" customWidth="1"/>
    <col min="5" max="5" width="18.28515625" customWidth="1"/>
  </cols>
  <sheetData>
    <row r="1" spans="2:34" x14ac:dyDescent="0.25">
      <c r="B1" t="s">
        <v>419</v>
      </c>
      <c r="H1">
        <f>H7/G7</f>
        <v>1083.7461138124875</v>
      </c>
    </row>
    <row r="2" spans="2:34" ht="15.75" x14ac:dyDescent="0.25">
      <c r="D2" s="44">
        <v>381.38</v>
      </c>
      <c r="E2" s="45">
        <v>212.13499999999999</v>
      </c>
      <c r="F2" s="46">
        <v>60.082000000000001</v>
      </c>
    </row>
    <row r="3" spans="2:34" ht="18.75" x14ac:dyDescent="0.35">
      <c r="D3" s="42" t="s">
        <v>421</v>
      </c>
      <c r="E3" s="42" t="s">
        <v>422</v>
      </c>
      <c r="F3" s="43" t="s">
        <v>423</v>
      </c>
      <c r="G3" t="s">
        <v>420</v>
      </c>
      <c r="AF3" s="38" t="s">
        <v>102</v>
      </c>
      <c r="AG3" t="s">
        <v>411</v>
      </c>
      <c r="AH3" t="s">
        <v>412</v>
      </c>
    </row>
    <row r="4" spans="2:34" ht="15.75" x14ac:dyDescent="0.25">
      <c r="D4" s="43" t="s">
        <v>413</v>
      </c>
      <c r="E4" s="43" t="s">
        <v>414</v>
      </c>
      <c r="F4" s="43" t="s">
        <v>415</v>
      </c>
      <c r="AE4" s="36">
        <v>5.9</v>
      </c>
      <c r="AF4" s="37">
        <v>0.32600000000000001</v>
      </c>
      <c r="AG4" s="37">
        <v>2.09</v>
      </c>
      <c r="AH4" s="37">
        <v>85</v>
      </c>
    </row>
    <row r="5" spans="2:34" x14ac:dyDescent="0.25">
      <c r="B5">
        <f>SUM(D5:F5)</f>
        <v>0.99999999999999989</v>
      </c>
      <c r="D5" s="70">
        <v>0.22999999999999998</v>
      </c>
      <c r="E5" s="70">
        <v>0.45929411764705885</v>
      </c>
      <c r="F5" s="70">
        <v>0.31070588235294105</v>
      </c>
      <c r="G5" t="s">
        <v>418</v>
      </c>
      <c r="H5" t="s">
        <v>418</v>
      </c>
      <c r="J5" t="s">
        <v>404</v>
      </c>
      <c r="AE5" s="23"/>
      <c r="AF5" s="23"/>
      <c r="AG5" s="23"/>
      <c r="AH5" s="23"/>
    </row>
    <row r="6" spans="2:34" x14ac:dyDescent="0.25">
      <c r="B6" t="s">
        <v>418</v>
      </c>
      <c r="C6" s="23"/>
      <c r="D6" s="23">
        <f>D5/D2</f>
        <v>6.0307305050081282E-4</v>
      </c>
      <c r="E6" s="23">
        <f>E5/E2</f>
        <v>2.1651029657862157E-3</v>
      </c>
      <c r="F6" s="23">
        <f>F5/F2</f>
        <v>5.1713638419649986E-3</v>
      </c>
      <c r="G6" s="23"/>
    </row>
    <row r="7" spans="2:34" ht="16.5" x14ac:dyDescent="0.3">
      <c r="B7" t="s">
        <v>416</v>
      </c>
      <c r="C7" s="23">
        <f>'Atomic masses'!H117*2+'Atomic masses'!H93</f>
        <v>61.978999999999999</v>
      </c>
      <c r="D7" s="23">
        <f>D6</f>
        <v>6.0307305050081282E-4</v>
      </c>
      <c r="E7" s="23">
        <f>E6</f>
        <v>2.1651029657862157E-3</v>
      </c>
      <c r="F7" s="23">
        <v>0</v>
      </c>
      <c r="G7" s="23">
        <f>SUM(D7:F7)</f>
        <v>2.7681760162870284E-3</v>
      </c>
      <c r="H7" s="39">
        <v>3</v>
      </c>
      <c r="I7" s="32">
        <f>G7/$G$8</f>
        <v>2.2950586284598846</v>
      </c>
      <c r="J7">
        <f>H7*C7</f>
        <v>185.93700000000001</v>
      </c>
      <c r="K7" s="40">
        <f>100*J7/$J$10</f>
        <v>24.639464543811805</v>
      </c>
      <c r="L7" s="23"/>
      <c r="M7" s="23">
        <f>6*I7/I9</f>
        <v>2.2639039380883133</v>
      </c>
    </row>
    <row r="8" spans="2:34" ht="16.5" x14ac:dyDescent="0.3">
      <c r="B8" t="s">
        <v>417</v>
      </c>
      <c r="C8" s="23">
        <f>2*'Atomic masses'!H35+3*'Atomic masses'!H93</f>
        <v>69.608999999999995</v>
      </c>
      <c r="D8" s="23">
        <f>2*D6</f>
        <v>1.2061461010016256E-3</v>
      </c>
      <c r="E8" s="23">
        <v>0</v>
      </c>
      <c r="F8" s="23">
        <v>0</v>
      </c>
      <c r="G8" s="23">
        <f t="shared" ref="G8:G9" si="0">SUM(D8:F8)</f>
        <v>1.2061461010016256E-3</v>
      </c>
      <c r="H8" s="39">
        <f>$H$1*G8</f>
        <v>1.3071561496505957</v>
      </c>
      <c r="I8" s="32">
        <f>G8/$G$8</f>
        <v>1</v>
      </c>
      <c r="J8">
        <f>H8*C8</f>
        <v>90.989832421028311</v>
      </c>
      <c r="K8" s="40">
        <f>100*J8/$J$10</f>
        <v>12.057528893040679</v>
      </c>
      <c r="L8" s="23"/>
      <c r="M8" s="23"/>
    </row>
    <row r="9" spans="2:34" ht="16.5" x14ac:dyDescent="0.3">
      <c r="B9" t="s">
        <v>397</v>
      </c>
      <c r="C9" s="23">
        <f>'Atomic masses'!H115+2*'Atomic masses'!H93</f>
        <v>60.082000000000001</v>
      </c>
      <c r="D9" s="23">
        <v>0</v>
      </c>
      <c r="E9" s="23">
        <f>E6</f>
        <v>2.1651029657862157E-3</v>
      </c>
      <c r="F9" s="23">
        <f>F6</f>
        <v>5.1713638419649986E-3</v>
      </c>
      <c r="G9" s="23">
        <f t="shared" si="0"/>
        <v>7.3364668077512147E-3</v>
      </c>
      <c r="H9" s="39">
        <f>$H$1*G9</f>
        <v>7.9508673920146844</v>
      </c>
      <c r="I9" s="32">
        <f>G9/$G$8</f>
        <v>6.0825689372612137</v>
      </c>
      <c r="J9">
        <f>H9*C9</f>
        <v>477.70401464702627</v>
      </c>
      <c r="K9" s="40">
        <f>100*J9/$J$10</f>
        <v>63.303006563147505</v>
      </c>
      <c r="L9" s="23"/>
      <c r="M9" s="23"/>
    </row>
    <row r="10" spans="2:34" x14ac:dyDescent="0.25">
      <c r="C10" s="23"/>
      <c r="D10" s="23"/>
      <c r="E10" s="23"/>
      <c r="F10" s="23"/>
      <c r="G10" s="23"/>
      <c r="J10">
        <f>SUM(J7:J9)</f>
        <v>754.63084706805466</v>
      </c>
      <c r="K10" s="23"/>
      <c r="L10" s="23"/>
      <c r="M10" s="23"/>
    </row>
    <row r="11" spans="2:34" x14ac:dyDescent="0.25">
      <c r="C11" s="23"/>
      <c r="D11" s="23"/>
      <c r="E11" s="23"/>
      <c r="F11" s="23"/>
      <c r="G11" s="23"/>
      <c r="J11" s="23"/>
      <c r="K11" s="23"/>
      <c r="L11" s="23"/>
      <c r="M11" s="23"/>
    </row>
    <row r="12" spans="2:34" ht="15.75" x14ac:dyDescent="0.25">
      <c r="C12" s="23"/>
      <c r="D12" s="44">
        <v>381.38</v>
      </c>
      <c r="E12" s="45">
        <v>212.13499999999999</v>
      </c>
      <c r="F12" s="46">
        <v>60.082000000000001</v>
      </c>
      <c r="G12" s="23"/>
      <c r="J12" s="23"/>
      <c r="K12" s="23"/>
      <c r="L12" s="23"/>
      <c r="M12" s="23"/>
    </row>
    <row r="13" spans="2:34" ht="18.75" x14ac:dyDescent="0.35">
      <c r="C13" s="23"/>
      <c r="D13" s="42" t="s">
        <v>421</v>
      </c>
      <c r="E13" s="42" t="s">
        <v>422</v>
      </c>
      <c r="F13" s="43" t="s">
        <v>423</v>
      </c>
      <c r="G13" s="23"/>
      <c r="J13" s="23"/>
      <c r="K13" s="23"/>
      <c r="L13" s="23"/>
      <c r="M13" s="23"/>
    </row>
    <row r="14" spans="2:34" ht="16.5" thickBot="1" x14ac:dyDescent="0.3">
      <c r="C14" s="23"/>
      <c r="D14" s="43" t="s">
        <v>413</v>
      </c>
      <c r="E14" s="43" t="s">
        <v>414</v>
      </c>
      <c r="F14" s="43" t="s">
        <v>415</v>
      </c>
      <c r="G14" s="23"/>
      <c r="J14" s="23"/>
      <c r="K14" s="23"/>
      <c r="L14" s="23"/>
      <c r="M14" s="23"/>
    </row>
    <row r="15" spans="2:34" ht="17.25" thickTop="1" thickBot="1" x14ac:dyDescent="0.3">
      <c r="C15" s="23"/>
      <c r="D15" s="49">
        <v>20.468201387053202</v>
      </c>
      <c r="E15" s="50">
        <v>56.962971083213013</v>
      </c>
      <c r="F15" s="51">
        <f>100-E15-D15</f>
        <v>22.568827529733785</v>
      </c>
      <c r="G15" s="23"/>
      <c r="J15" s="23"/>
      <c r="K15" s="23"/>
      <c r="L15" s="23"/>
      <c r="M15" s="48">
        <f>SUM(M17:M19)</f>
        <v>9.7941463340075688E-5</v>
      </c>
    </row>
    <row r="16" spans="2:34" ht="16.5" thickTop="1" x14ac:dyDescent="0.25">
      <c r="C16" s="23"/>
      <c r="D16" s="47">
        <f>D15/D12</f>
        <v>5.3668785429370189E-2</v>
      </c>
      <c r="E16" s="47">
        <f>E15/E12</f>
        <v>0.2685222668735146</v>
      </c>
      <c r="F16" s="47">
        <f>F15/F12</f>
        <v>0.3756337593577741</v>
      </c>
      <c r="G16" s="23"/>
      <c r="K16" s="23"/>
      <c r="L16" s="23"/>
      <c r="M16" s="23" t="s">
        <v>403</v>
      </c>
    </row>
    <row r="17" spans="2:14" ht="16.5" x14ac:dyDescent="0.3">
      <c r="B17" t="s">
        <v>416</v>
      </c>
      <c r="C17" s="23">
        <f>C7</f>
        <v>61.978999999999999</v>
      </c>
      <c r="D17" s="23">
        <f>D16</f>
        <v>5.3668785429370189E-2</v>
      </c>
      <c r="E17" s="23">
        <f>E16</f>
        <v>0.2685222668735146</v>
      </c>
      <c r="F17" s="23">
        <v>0</v>
      </c>
      <c r="G17" s="23">
        <f>SUM(D17:F17)</f>
        <v>0.32219105230288481</v>
      </c>
      <c r="H17" s="23">
        <f>G17/$G$20</f>
        <v>0.30007977899754745</v>
      </c>
      <c r="I17" s="23">
        <f>J17/$J$20</f>
        <v>0.3</v>
      </c>
      <c r="J17" s="23">
        <v>3</v>
      </c>
      <c r="K17" s="23">
        <f>J17*C17</f>
        <v>185.93700000000001</v>
      </c>
      <c r="L17" s="23">
        <f>100*K17/$K$20</f>
        <v>30.182716001285634</v>
      </c>
      <c r="M17" s="23">
        <f>10000*(H17-I17)^2</f>
        <v>6.3646884496782464E-5</v>
      </c>
      <c r="N17" s="23"/>
    </row>
    <row r="18" spans="2:14" ht="16.5" x14ac:dyDescent="0.3">
      <c r="B18" t="s">
        <v>417</v>
      </c>
      <c r="C18" s="23">
        <f t="shared" ref="C18:C19" si="1">C8</f>
        <v>69.608999999999995</v>
      </c>
      <c r="D18" s="23">
        <f>2*D16</f>
        <v>0.10733757085874038</v>
      </c>
      <c r="E18" s="23">
        <v>0</v>
      </c>
      <c r="F18" s="23">
        <v>0</v>
      </c>
      <c r="G18" s="23">
        <f t="shared" ref="G18:G19" si="2">SUM(D18:F18)</f>
        <v>0.10733757085874038</v>
      </c>
      <c r="H18" s="23">
        <f t="shared" ref="H18:H19" si="3">G18/$G$20</f>
        <v>9.9971226113208883E-2</v>
      </c>
      <c r="I18" s="23">
        <f t="shared" ref="I18:I19" si="4">J18/$J$20</f>
        <v>0.1</v>
      </c>
      <c r="J18" s="23">
        <v>1</v>
      </c>
      <c r="K18" s="23">
        <f>J18*C18</f>
        <v>69.608999999999995</v>
      </c>
      <c r="L18" s="23">
        <f>100*K18/$K$20</f>
        <v>11.299465292725447</v>
      </c>
      <c r="M18" s="23">
        <f t="shared" ref="M18:M19" si="5">10000*(H18-I18)^2</f>
        <v>8.2793656106833229E-6</v>
      </c>
      <c r="N18" s="23"/>
    </row>
    <row r="19" spans="2:14" ht="16.5" x14ac:dyDescent="0.3">
      <c r="B19" t="s">
        <v>397</v>
      </c>
      <c r="C19" s="23">
        <f t="shared" si="1"/>
        <v>60.082000000000001</v>
      </c>
      <c r="D19" s="23">
        <v>0</v>
      </c>
      <c r="E19" s="23">
        <f>E16</f>
        <v>0.2685222668735146</v>
      </c>
      <c r="F19" s="23">
        <f>F16</f>
        <v>0.3756337593577741</v>
      </c>
      <c r="G19" s="23">
        <f t="shared" si="2"/>
        <v>0.64415602623128865</v>
      </c>
      <c r="H19" s="23">
        <f t="shared" si="3"/>
        <v>0.59994899488924369</v>
      </c>
      <c r="I19" s="23">
        <f t="shared" si="4"/>
        <v>0.6</v>
      </c>
      <c r="J19" s="23">
        <v>6</v>
      </c>
      <c r="K19" s="23">
        <f>J19*C19</f>
        <v>360.49200000000002</v>
      </c>
      <c r="L19" s="23">
        <f>100*K19/$K$20</f>
        <v>58.517818705988923</v>
      </c>
      <c r="M19" s="23">
        <f t="shared" si="5"/>
        <v>2.6015213232609904E-5</v>
      </c>
      <c r="N19" s="23"/>
    </row>
    <row r="20" spans="2:14" x14ac:dyDescent="0.25">
      <c r="C20" s="23"/>
      <c r="D20" s="23"/>
      <c r="E20" s="23"/>
      <c r="F20" s="23"/>
      <c r="G20" s="23">
        <f>SUM(G17:G19)</f>
        <v>1.0736846493929137</v>
      </c>
      <c r="J20" s="23">
        <f>SUM(J17:J19)</f>
        <v>10</v>
      </c>
      <c r="K20" s="23">
        <f>SUM(K17:K19)</f>
        <v>616.03800000000001</v>
      </c>
      <c r="L20" s="23"/>
      <c r="M20" s="23"/>
      <c r="N20" s="23"/>
    </row>
    <row r="21" spans="2:14" x14ac:dyDescent="0.25">
      <c r="C21" s="23"/>
      <c r="D21" s="23"/>
      <c r="E21" s="23"/>
      <c r="F21" s="23"/>
      <c r="G21" s="23"/>
      <c r="J21" s="23"/>
      <c r="K21" s="23"/>
      <c r="L21" s="23"/>
      <c r="M21" s="23"/>
    </row>
    <row r="22" spans="2:14" x14ac:dyDescent="0.25">
      <c r="C22" s="23"/>
      <c r="D22" s="23"/>
      <c r="E22" s="23"/>
      <c r="F22" s="23"/>
      <c r="G22" s="23"/>
      <c r="J22" s="23"/>
      <c r="K22" s="23"/>
      <c r="L22" s="23"/>
      <c r="M22" s="23"/>
    </row>
    <row r="23" spans="2:14" x14ac:dyDescent="0.25">
      <c r="C23" s="23"/>
      <c r="D23" s="23"/>
      <c r="E23" s="23"/>
      <c r="F23" s="23"/>
      <c r="G23" s="23"/>
      <c r="J23" s="23"/>
      <c r="K23" s="23"/>
      <c r="L23" s="23"/>
      <c r="M23" s="23"/>
    </row>
    <row r="24" spans="2:14" x14ac:dyDescent="0.25">
      <c r="C24" s="23"/>
      <c r="D24" s="23"/>
      <c r="E24" s="23"/>
      <c r="F24" s="23"/>
      <c r="G24" s="23"/>
      <c r="J24" s="23"/>
      <c r="K24" s="23"/>
      <c r="L24" s="23"/>
      <c r="M24" s="23"/>
    </row>
    <row r="25" spans="2:14" x14ac:dyDescent="0.25">
      <c r="C25" s="23"/>
      <c r="D25" s="23"/>
      <c r="E25" s="23"/>
      <c r="F25" s="23"/>
      <c r="G25" s="23"/>
      <c r="J25" s="23"/>
      <c r="K25" s="23"/>
      <c r="L25" s="23"/>
      <c r="M25" s="23"/>
    </row>
    <row r="26" spans="2:14" x14ac:dyDescent="0.25">
      <c r="C26" s="23"/>
      <c r="D26" s="23"/>
      <c r="E26" s="23"/>
      <c r="F26" s="23"/>
      <c r="G26" s="23"/>
      <c r="J26" s="23"/>
      <c r="K26" s="23"/>
      <c r="L26" s="23"/>
      <c r="M26" s="23"/>
    </row>
    <row r="27" spans="2:14" x14ac:dyDescent="0.25">
      <c r="C27" s="23"/>
      <c r="D27" s="23"/>
      <c r="E27" s="23"/>
      <c r="F27" s="23"/>
      <c r="G27" s="23"/>
      <c r="J27" s="23"/>
      <c r="K27" s="23"/>
      <c r="L27" s="23"/>
      <c r="M27" s="23"/>
    </row>
    <row r="28" spans="2:14" x14ac:dyDescent="0.25">
      <c r="C28" s="23"/>
      <c r="D28" s="23"/>
      <c r="E28" s="23"/>
      <c r="F28" s="23"/>
      <c r="G28" s="23"/>
      <c r="J28" s="23"/>
      <c r="K28" s="23"/>
      <c r="L28" s="23"/>
      <c r="M28" s="23"/>
    </row>
    <row r="29" spans="2:14" x14ac:dyDescent="0.25">
      <c r="C29" s="23"/>
      <c r="D29" s="23"/>
      <c r="E29" s="23"/>
      <c r="F29" s="23"/>
      <c r="G29" s="23"/>
      <c r="J29" s="23"/>
      <c r="K29" s="23"/>
      <c r="L29" s="23"/>
      <c r="M29" s="23"/>
    </row>
    <row r="30" spans="2:14" x14ac:dyDescent="0.25">
      <c r="C30" s="23"/>
      <c r="D30" s="23"/>
      <c r="E30" s="23"/>
      <c r="F30" s="23"/>
      <c r="G30" s="23"/>
      <c r="J30" s="23"/>
      <c r="K30" s="23"/>
      <c r="L30" s="23"/>
      <c r="M30" s="23"/>
    </row>
    <row r="31" spans="2:14" x14ac:dyDescent="0.25">
      <c r="C31" s="23"/>
      <c r="D31" s="23"/>
      <c r="E31" s="23"/>
      <c r="F31" s="23"/>
      <c r="G31" s="23"/>
      <c r="J31" s="23"/>
      <c r="K31" s="23"/>
      <c r="L31" s="23"/>
      <c r="M31" s="23"/>
    </row>
    <row r="32" spans="2:14" x14ac:dyDescent="0.25">
      <c r="C32" s="23"/>
      <c r="D32" s="23"/>
      <c r="E32" s="23"/>
      <c r="F32" s="23"/>
      <c r="G32" s="23"/>
      <c r="J32" s="23"/>
      <c r="K32" s="23"/>
      <c r="L32" s="23"/>
      <c r="M32" s="23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zoomScale="75" zoomScaleNormal="75" workbookViewId="0">
      <selection activeCell="M27" sqref="M27"/>
    </sheetView>
  </sheetViews>
  <sheetFormatPr defaultRowHeight="15" x14ac:dyDescent="0.25"/>
  <cols>
    <col min="13" max="13" width="9.140625" style="23"/>
  </cols>
  <sheetData>
    <row r="1" spans="1:16" x14ac:dyDescent="0.25">
      <c r="A1" s="61"/>
      <c r="B1" s="61"/>
      <c r="C1" s="61"/>
      <c r="D1" s="61" t="s">
        <v>473</v>
      </c>
      <c r="E1" s="61"/>
      <c r="F1" s="141"/>
      <c r="G1" s="61"/>
      <c r="H1" s="61"/>
      <c r="M1"/>
    </row>
    <row r="2" spans="1:16" ht="15.75" x14ac:dyDescent="0.25">
      <c r="A2" s="142" t="s">
        <v>472</v>
      </c>
      <c r="B2" s="141">
        <f>CORREL(B13:B46,H13:H46)</f>
        <v>-0.59452472841859627</v>
      </c>
      <c r="C2" s="141">
        <f>CORREL(C13:C46,H13:H46)</f>
        <v>0.6418717976772873</v>
      </c>
      <c r="D2" s="141">
        <f>CORREL(D13:D46,H13:H46)</f>
        <v>-0.52392289978824935</v>
      </c>
      <c r="E2" s="141">
        <f>CORREL(E13:E46,H13:H46)</f>
        <v>-0.51892725666671824</v>
      </c>
      <c r="F2" s="141">
        <f>CORREL(F13:F46,H13:H46)</f>
        <v>0.52068010528701569</v>
      </c>
      <c r="G2" s="61"/>
      <c r="H2" s="61"/>
      <c r="M2"/>
    </row>
    <row r="3" spans="1:16" ht="18.75" x14ac:dyDescent="0.25">
      <c r="A3" s="142" t="s">
        <v>471</v>
      </c>
      <c r="B3" s="141">
        <f>CORREL(B13:B46,G13:G46)</f>
        <v>-0.49043751766272781</v>
      </c>
      <c r="C3" s="141">
        <f>CORREL(C13:C46,G13:G46)</f>
        <v>0.63232679520659563</v>
      </c>
      <c r="D3" s="141">
        <f>CORREL(D13:D46,G13:G46)</f>
        <v>-0.8790544708599638</v>
      </c>
      <c r="E3" s="141">
        <f>CORREL(E13:E46,G13:G46)</f>
        <v>-0.88088253580764775</v>
      </c>
      <c r="F3" s="141">
        <f>CORREL(F13:F46,G13:G46)</f>
        <v>0.88045475603994661</v>
      </c>
      <c r="G3" s="61"/>
      <c r="H3" s="61"/>
      <c r="M3"/>
    </row>
    <row r="4" spans="1:16" ht="18.75" x14ac:dyDescent="0.25">
      <c r="A4" s="143"/>
      <c r="B4" s="143" t="s">
        <v>478</v>
      </c>
      <c r="C4" s="143" t="s">
        <v>479</v>
      </c>
      <c r="D4" s="143" t="s">
        <v>413</v>
      </c>
      <c r="E4" s="143" t="s">
        <v>433</v>
      </c>
      <c r="F4" s="143" t="s">
        <v>434</v>
      </c>
      <c r="G4" s="142" t="s">
        <v>471</v>
      </c>
      <c r="H4" s="142" t="s">
        <v>472</v>
      </c>
      <c r="I4" s="103"/>
      <c r="J4" s="103"/>
      <c r="K4" s="103"/>
      <c r="L4" s="103"/>
      <c r="M4" s="103"/>
    </row>
    <row r="5" spans="1:16" ht="18" x14ac:dyDescent="0.25">
      <c r="A5" s="59" t="s">
        <v>470</v>
      </c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71"/>
      <c r="J5" s="71"/>
      <c r="K5" s="104"/>
      <c r="L5" s="151"/>
      <c r="M5" s="151"/>
    </row>
    <row r="6" spans="1:16" ht="15.75" x14ac:dyDescent="0.25">
      <c r="A6" s="87" t="s">
        <v>474</v>
      </c>
      <c r="B6" s="93">
        <v>27.8</v>
      </c>
      <c r="C6" s="93">
        <v>550</v>
      </c>
      <c r="D6" s="101">
        <v>0.16</v>
      </c>
      <c r="E6" s="101">
        <v>0.5</v>
      </c>
      <c r="F6" s="101">
        <v>0.34</v>
      </c>
      <c r="G6" s="101">
        <v>0.27400000000000002</v>
      </c>
      <c r="H6" s="98">
        <v>0.77100000000000002</v>
      </c>
      <c r="I6" s="105"/>
      <c r="J6" s="106"/>
      <c r="K6" s="104"/>
      <c r="L6" s="151"/>
      <c r="M6" s="152"/>
    </row>
    <row r="7" spans="1:16" ht="15.75" x14ac:dyDescent="0.25">
      <c r="A7" s="87" t="s">
        <v>474</v>
      </c>
      <c r="B7" s="125">
        <v>28.7</v>
      </c>
      <c r="C7" s="93">
        <v>450</v>
      </c>
      <c r="D7" s="101">
        <v>0.16</v>
      </c>
      <c r="E7" s="101">
        <v>0.5</v>
      </c>
      <c r="F7" s="101">
        <v>0.34</v>
      </c>
      <c r="G7" s="101">
        <v>0.255</v>
      </c>
      <c r="H7" s="98">
        <v>0.72399999999999998</v>
      </c>
      <c r="I7" s="105"/>
      <c r="J7" s="106"/>
      <c r="K7" s="104"/>
      <c r="L7" s="151"/>
      <c r="M7" s="152"/>
    </row>
    <row r="8" spans="1:16" ht="15.75" x14ac:dyDescent="0.25">
      <c r="A8" s="87" t="s">
        <v>474</v>
      </c>
      <c r="B8" s="126">
        <v>29.3</v>
      </c>
      <c r="C8" s="93">
        <v>450</v>
      </c>
      <c r="D8" s="101">
        <v>0.16</v>
      </c>
      <c r="E8" s="101">
        <v>0.5</v>
      </c>
      <c r="F8" s="101">
        <v>0.34</v>
      </c>
      <c r="G8" s="101">
        <v>0.314</v>
      </c>
      <c r="H8" s="98">
        <v>0.94499999999999995</v>
      </c>
      <c r="I8" s="105"/>
      <c r="J8" s="106"/>
      <c r="K8" s="104"/>
      <c r="L8" s="151"/>
      <c r="M8" s="152"/>
    </row>
    <row r="9" spans="1:16" ht="15.75" x14ac:dyDescent="0.25">
      <c r="A9" s="87" t="s">
        <v>474</v>
      </c>
      <c r="B9" s="93">
        <v>29.6</v>
      </c>
      <c r="C9" s="93">
        <v>450</v>
      </c>
      <c r="D9" s="101">
        <v>0.16</v>
      </c>
      <c r="E9" s="101">
        <v>0.5</v>
      </c>
      <c r="F9" s="101">
        <v>0.34</v>
      </c>
      <c r="G9" s="101">
        <v>0.309</v>
      </c>
      <c r="H9" s="98">
        <v>1.31</v>
      </c>
      <c r="I9" s="105"/>
      <c r="J9" s="106"/>
      <c r="K9" s="104"/>
      <c r="L9" s="151"/>
      <c r="M9" s="152"/>
    </row>
    <row r="10" spans="1:16" ht="15.75" x14ac:dyDescent="0.25">
      <c r="A10" s="136" t="s">
        <v>60</v>
      </c>
      <c r="B10" s="137">
        <v>27.8</v>
      </c>
      <c r="C10" s="138">
        <v>550</v>
      </c>
      <c r="D10" s="139">
        <v>0.182</v>
      </c>
      <c r="E10" s="139">
        <v>0.56799999999999995</v>
      </c>
      <c r="F10" s="139">
        <v>0.25</v>
      </c>
      <c r="G10" s="139">
        <v>0.16900000000000001</v>
      </c>
      <c r="H10" s="140">
        <v>0.47799999999999998</v>
      </c>
      <c r="I10" s="107"/>
      <c r="J10" s="107"/>
      <c r="K10" s="104"/>
      <c r="L10" s="151"/>
      <c r="M10" s="152"/>
    </row>
    <row r="11" spans="1:16" ht="15.75" x14ac:dyDescent="0.25">
      <c r="A11" s="136" t="s">
        <v>60</v>
      </c>
      <c r="B11" s="137">
        <v>28.4</v>
      </c>
      <c r="C11" s="138">
        <v>550</v>
      </c>
      <c r="D11" s="139">
        <v>0.182</v>
      </c>
      <c r="E11" s="139">
        <v>0.56799999999999995</v>
      </c>
      <c r="F11" s="139">
        <v>0.25</v>
      </c>
      <c r="G11" s="139">
        <v>0.14299999999999999</v>
      </c>
      <c r="H11" s="140">
        <v>0.51100000000000001</v>
      </c>
      <c r="I11" s="107"/>
      <c r="J11" s="107"/>
      <c r="K11" s="151"/>
      <c r="L11" s="151"/>
      <c r="M11" s="152"/>
    </row>
    <row r="12" spans="1:16" ht="15.75" x14ac:dyDescent="0.25">
      <c r="A12" s="132" t="s">
        <v>81</v>
      </c>
      <c r="B12" s="133">
        <v>30.6</v>
      </c>
      <c r="C12" s="133">
        <v>450</v>
      </c>
      <c r="D12" s="134">
        <v>0.21</v>
      </c>
      <c r="E12" s="134">
        <v>0.65799999999999992</v>
      </c>
      <c r="F12" s="134">
        <v>0.13200000000000001</v>
      </c>
      <c r="G12" s="134">
        <v>5.3999999999999999E-2</v>
      </c>
      <c r="H12" s="135">
        <v>0.121</v>
      </c>
      <c r="I12" s="105"/>
      <c r="J12" s="106"/>
      <c r="K12" s="104"/>
      <c r="L12" s="151"/>
      <c r="M12" s="152"/>
      <c r="N12" s="104"/>
      <c r="O12" s="104"/>
      <c r="P12" s="104"/>
    </row>
    <row r="13" spans="1:16" ht="15.75" x14ac:dyDescent="0.25">
      <c r="A13" s="89" t="s">
        <v>475</v>
      </c>
      <c r="B13" s="96">
        <v>18.8</v>
      </c>
      <c r="C13" s="96">
        <v>525</v>
      </c>
      <c r="D13" s="100">
        <v>0.22</v>
      </c>
      <c r="E13" s="100">
        <v>0.43799999999999994</v>
      </c>
      <c r="F13" s="100">
        <v>0.34200000000000003</v>
      </c>
      <c r="G13" s="100">
        <v>0.312</v>
      </c>
      <c r="H13" s="97">
        <v>1.08</v>
      </c>
      <c r="I13" s="107"/>
      <c r="J13" s="107"/>
      <c r="K13" s="104"/>
      <c r="L13" s="151"/>
      <c r="M13" s="152"/>
      <c r="N13" s="104"/>
      <c r="O13" s="104"/>
      <c r="P13" s="104"/>
    </row>
    <row r="14" spans="1:16" ht="15.75" x14ac:dyDescent="0.25">
      <c r="A14" s="89" t="s">
        <v>475</v>
      </c>
      <c r="B14" s="96">
        <v>7.7</v>
      </c>
      <c r="C14" s="96">
        <v>500</v>
      </c>
      <c r="D14" s="100">
        <v>0.222</v>
      </c>
      <c r="E14" s="100">
        <v>0.44400000000000001</v>
      </c>
      <c r="F14" s="100">
        <v>0.33399999999999996</v>
      </c>
      <c r="G14" s="100">
        <v>0.32400000000000001</v>
      </c>
      <c r="H14" s="97">
        <v>1.28</v>
      </c>
      <c r="I14" s="107"/>
      <c r="J14" s="107"/>
      <c r="K14" s="104"/>
      <c r="L14" s="151"/>
      <c r="M14" s="152"/>
      <c r="N14" s="104"/>
      <c r="O14" s="104"/>
      <c r="P14" s="104"/>
    </row>
    <row r="15" spans="1:16" ht="15.75" x14ac:dyDescent="0.25">
      <c r="A15" s="89" t="s">
        <v>475</v>
      </c>
      <c r="B15" s="96">
        <v>8.3000000000000007</v>
      </c>
      <c r="C15" s="96">
        <v>550</v>
      </c>
      <c r="D15" s="100">
        <v>0.222</v>
      </c>
      <c r="E15" s="100">
        <v>0.44400000000000001</v>
      </c>
      <c r="F15" s="100">
        <v>0.33399999999999996</v>
      </c>
      <c r="G15" s="100">
        <v>0.314</v>
      </c>
      <c r="H15" s="97">
        <v>1.84</v>
      </c>
      <c r="I15" s="107"/>
      <c r="J15" s="107"/>
      <c r="K15" s="104"/>
      <c r="L15" s="151"/>
      <c r="M15" s="152"/>
      <c r="N15" s="104"/>
      <c r="O15" s="104"/>
      <c r="P15" s="104"/>
    </row>
    <row r="16" spans="1:16" ht="15.75" x14ac:dyDescent="0.25">
      <c r="A16" s="89" t="s">
        <v>475</v>
      </c>
      <c r="B16" s="96">
        <v>26.3</v>
      </c>
      <c r="C16" s="96">
        <v>550</v>
      </c>
      <c r="D16" s="100">
        <v>0.222</v>
      </c>
      <c r="E16" s="100">
        <v>0.44400000000000001</v>
      </c>
      <c r="F16" s="100">
        <v>0.33399999999999996</v>
      </c>
      <c r="G16" s="100">
        <v>0.29699999999999999</v>
      </c>
      <c r="H16" s="97">
        <v>1.46</v>
      </c>
      <c r="I16" s="105"/>
      <c r="J16" s="106"/>
      <c r="K16" s="104"/>
      <c r="L16" s="151"/>
      <c r="M16" s="152"/>
      <c r="N16" s="104"/>
      <c r="O16" s="104"/>
      <c r="P16" s="104"/>
    </row>
    <row r="17" spans="1:16" ht="15.75" x14ac:dyDescent="0.25">
      <c r="A17" s="89" t="s">
        <v>475</v>
      </c>
      <c r="B17" s="96">
        <v>28.5</v>
      </c>
      <c r="C17" s="96">
        <v>500</v>
      </c>
      <c r="D17" s="100">
        <v>0.222</v>
      </c>
      <c r="E17" s="100">
        <v>0.44400000000000001</v>
      </c>
      <c r="F17" s="100">
        <v>0.33399999999999996</v>
      </c>
      <c r="G17" s="100">
        <v>0.27600000000000002</v>
      </c>
      <c r="H17" s="97">
        <v>1.1000000000000001</v>
      </c>
      <c r="I17" s="105"/>
      <c r="J17" s="106"/>
      <c r="K17" s="104"/>
      <c r="L17" s="151"/>
      <c r="M17" s="152"/>
      <c r="N17" s="104"/>
      <c r="O17" s="104"/>
      <c r="P17" s="104"/>
    </row>
    <row r="18" spans="1:16" ht="15.75" x14ac:dyDescent="0.25">
      <c r="A18" s="108" t="s">
        <v>476</v>
      </c>
      <c r="B18" s="114">
        <v>31.6</v>
      </c>
      <c r="C18" s="114">
        <v>450</v>
      </c>
      <c r="D18" s="115">
        <v>0.23</v>
      </c>
      <c r="E18" s="115">
        <v>0.45799999999999996</v>
      </c>
      <c r="F18" s="115">
        <v>0.312</v>
      </c>
      <c r="G18" s="115">
        <v>0.27600000000000002</v>
      </c>
      <c r="H18" s="112">
        <v>0.56200000000000006</v>
      </c>
      <c r="I18" s="107"/>
      <c r="J18" s="107"/>
      <c r="K18" s="104"/>
      <c r="L18" s="151"/>
      <c r="M18" s="152"/>
      <c r="N18" s="104"/>
      <c r="O18" s="104"/>
      <c r="P18" s="104"/>
    </row>
    <row r="19" spans="1:16" ht="15.75" x14ac:dyDescent="0.25">
      <c r="A19" s="113" t="s">
        <v>476</v>
      </c>
      <c r="B19" s="109">
        <v>19.399999999999999</v>
      </c>
      <c r="C19" s="109">
        <v>480</v>
      </c>
      <c r="D19" s="110">
        <v>0.23</v>
      </c>
      <c r="E19" s="110">
        <v>0.45799999999999996</v>
      </c>
      <c r="F19" s="110">
        <v>0.312</v>
      </c>
      <c r="G19" s="110">
        <v>0.27600000000000002</v>
      </c>
      <c r="H19" s="111">
        <v>0.41</v>
      </c>
      <c r="I19" s="107"/>
      <c r="J19" s="107"/>
      <c r="K19" s="104"/>
      <c r="L19" s="151"/>
      <c r="M19" s="152"/>
      <c r="N19" s="104"/>
      <c r="O19" s="104"/>
      <c r="P19" s="104"/>
    </row>
    <row r="20" spans="1:16" ht="15.75" x14ac:dyDescent="0.25">
      <c r="A20" s="113" t="s">
        <v>476</v>
      </c>
      <c r="B20" s="109">
        <v>20.399999999999999</v>
      </c>
      <c r="C20" s="109">
        <v>520</v>
      </c>
      <c r="D20" s="110">
        <v>0.23</v>
      </c>
      <c r="E20" s="110">
        <v>0.45799999999999996</v>
      </c>
      <c r="F20" s="110">
        <v>0.312</v>
      </c>
      <c r="G20" s="110">
        <v>0.26300000000000001</v>
      </c>
      <c r="H20" s="111">
        <v>0.62</v>
      </c>
      <c r="I20" s="107"/>
      <c r="J20" s="107"/>
      <c r="K20" s="104"/>
      <c r="L20" s="151"/>
      <c r="M20" s="152"/>
      <c r="N20" s="104"/>
      <c r="O20" s="104"/>
      <c r="P20" s="104"/>
    </row>
    <row r="21" spans="1:16" ht="15.75" x14ac:dyDescent="0.25">
      <c r="A21" s="113" t="s">
        <v>476</v>
      </c>
      <c r="B21" s="109">
        <v>5.9</v>
      </c>
      <c r="C21" s="109">
        <v>525</v>
      </c>
      <c r="D21" s="110">
        <v>0.23</v>
      </c>
      <c r="E21" s="110">
        <v>0.45799999999999996</v>
      </c>
      <c r="F21" s="110">
        <v>0.312</v>
      </c>
      <c r="G21" s="110">
        <v>0.32600000000000001</v>
      </c>
      <c r="H21" s="111">
        <v>2.09</v>
      </c>
      <c r="I21" s="107"/>
      <c r="J21" s="107"/>
      <c r="K21" s="104"/>
      <c r="L21" s="151"/>
      <c r="M21" s="152"/>
      <c r="N21" s="104"/>
      <c r="O21" s="104"/>
      <c r="P21" s="104"/>
    </row>
    <row r="22" spans="1:16" ht="15.75" x14ac:dyDescent="0.25">
      <c r="A22" s="113" t="s">
        <v>476</v>
      </c>
      <c r="B22" s="109">
        <v>5.9</v>
      </c>
      <c r="C22" s="109">
        <v>525</v>
      </c>
      <c r="D22" s="110">
        <v>0.23</v>
      </c>
      <c r="E22" s="110">
        <v>0.45799999999999996</v>
      </c>
      <c r="F22" s="110">
        <v>0.312</v>
      </c>
      <c r="G22" s="110">
        <v>0.32600000000000001</v>
      </c>
      <c r="H22" s="111">
        <v>2.09</v>
      </c>
      <c r="I22" s="107"/>
      <c r="J22" s="107"/>
      <c r="K22" s="104"/>
      <c r="L22" s="151"/>
      <c r="M22" s="152"/>
      <c r="N22" s="104"/>
      <c r="O22" s="104"/>
      <c r="P22" s="104"/>
    </row>
    <row r="23" spans="1:16" ht="15.75" x14ac:dyDescent="0.25">
      <c r="A23" s="113" t="s">
        <v>476</v>
      </c>
      <c r="B23" s="109">
        <v>18.8</v>
      </c>
      <c r="C23" s="109">
        <v>525</v>
      </c>
      <c r="D23" s="110">
        <v>0.23</v>
      </c>
      <c r="E23" s="110">
        <v>0.45799999999999996</v>
      </c>
      <c r="F23" s="110">
        <v>0.312</v>
      </c>
      <c r="G23" s="110">
        <v>0.313</v>
      </c>
      <c r="H23" s="111">
        <v>1.56</v>
      </c>
      <c r="I23" s="107"/>
      <c r="J23" s="107"/>
      <c r="K23" s="104"/>
      <c r="L23" s="151"/>
      <c r="M23" s="152"/>
      <c r="N23" s="104"/>
      <c r="O23" s="104"/>
      <c r="P23" s="104"/>
    </row>
    <row r="24" spans="1:16" ht="15.75" x14ac:dyDescent="0.25">
      <c r="A24" s="113" t="s">
        <v>476</v>
      </c>
      <c r="B24" s="109">
        <v>18.8</v>
      </c>
      <c r="C24" s="109">
        <v>525</v>
      </c>
      <c r="D24" s="110">
        <v>0.23</v>
      </c>
      <c r="E24" s="110">
        <v>0.45799999999999996</v>
      </c>
      <c r="F24" s="110">
        <v>0.312</v>
      </c>
      <c r="G24" s="110">
        <v>0.3</v>
      </c>
      <c r="H24" s="111">
        <v>1.33</v>
      </c>
      <c r="I24" s="107"/>
      <c r="J24" s="107"/>
      <c r="K24" s="104"/>
      <c r="L24" s="151"/>
      <c r="M24" s="152"/>
      <c r="N24" s="104"/>
      <c r="O24" s="104"/>
      <c r="P24" s="104"/>
    </row>
    <row r="25" spans="1:16" ht="15.75" x14ac:dyDescent="0.25">
      <c r="A25" s="113" t="s">
        <v>476</v>
      </c>
      <c r="B25" s="109">
        <v>27.5</v>
      </c>
      <c r="C25" s="109">
        <v>525</v>
      </c>
      <c r="D25" s="110">
        <v>0.23</v>
      </c>
      <c r="E25" s="110">
        <v>0.45799999999999996</v>
      </c>
      <c r="F25" s="110">
        <v>0.312</v>
      </c>
      <c r="G25" s="110">
        <v>0.188</v>
      </c>
      <c r="H25" s="111">
        <v>0.28000000000000003</v>
      </c>
      <c r="I25" s="107"/>
      <c r="J25" s="107"/>
      <c r="K25" s="104"/>
      <c r="L25" s="151"/>
      <c r="M25" s="152"/>
      <c r="N25" s="104"/>
      <c r="O25" s="104"/>
      <c r="P25" s="104"/>
    </row>
    <row r="26" spans="1:16" ht="15.75" x14ac:dyDescent="0.25">
      <c r="A26" s="113" t="s">
        <v>476</v>
      </c>
      <c r="B26" s="114">
        <v>27.2</v>
      </c>
      <c r="C26" s="114">
        <v>550</v>
      </c>
      <c r="D26" s="115">
        <v>0.23</v>
      </c>
      <c r="E26" s="115">
        <v>0.45799999999999996</v>
      </c>
      <c r="F26" s="115">
        <v>0.312</v>
      </c>
      <c r="G26" s="115">
        <v>0.26800000000000002</v>
      </c>
      <c r="H26" s="112">
        <v>0.98199999999999998</v>
      </c>
      <c r="I26" s="107"/>
      <c r="J26" s="107"/>
      <c r="K26" s="104"/>
      <c r="L26" s="151"/>
      <c r="M26" s="152"/>
      <c r="N26" s="104"/>
      <c r="O26" s="104"/>
      <c r="P26" s="104"/>
    </row>
    <row r="27" spans="1:16" ht="15.75" x14ac:dyDescent="0.25">
      <c r="A27" s="113" t="s">
        <v>476</v>
      </c>
      <c r="B27" s="116">
        <v>28.4</v>
      </c>
      <c r="C27" s="114">
        <v>550</v>
      </c>
      <c r="D27" s="115">
        <v>0.23</v>
      </c>
      <c r="E27" s="115">
        <v>0.45799999999999996</v>
      </c>
      <c r="F27" s="115">
        <v>0.312</v>
      </c>
      <c r="G27" s="115">
        <v>0.30299999999999999</v>
      </c>
      <c r="H27" s="112">
        <v>1.2</v>
      </c>
      <c r="I27" s="105"/>
      <c r="J27" s="106"/>
      <c r="K27" s="104"/>
      <c r="L27" s="151"/>
      <c r="M27" s="152"/>
      <c r="N27" s="104"/>
      <c r="O27" s="104"/>
      <c r="P27" s="104"/>
    </row>
    <row r="28" spans="1:16" ht="15.75" x14ac:dyDescent="0.25">
      <c r="A28" s="113" t="s">
        <v>476</v>
      </c>
      <c r="B28" s="116">
        <v>28.4</v>
      </c>
      <c r="C28" s="114">
        <v>550</v>
      </c>
      <c r="D28" s="115">
        <v>0.23</v>
      </c>
      <c r="E28" s="115">
        <v>0.45799999999999996</v>
      </c>
      <c r="F28" s="115">
        <v>0.312</v>
      </c>
      <c r="G28" s="115">
        <v>0.26500000000000001</v>
      </c>
      <c r="H28" s="112">
        <v>0.93200000000000005</v>
      </c>
      <c r="I28" s="105"/>
      <c r="J28" s="106"/>
      <c r="K28" s="104"/>
      <c r="L28" s="151"/>
      <c r="M28" s="152"/>
      <c r="N28" s="104"/>
      <c r="O28" s="104"/>
      <c r="P28" s="104"/>
    </row>
    <row r="29" spans="1:16" ht="15.75" x14ac:dyDescent="0.25">
      <c r="A29" s="88" t="s">
        <v>127</v>
      </c>
      <c r="B29" s="117">
        <v>7.7</v>
      </c>
      <c r="C29" s="117">
        <v>500</v>
      </c>
      <c r="D29" s="118">
        <v>0.23800000000000002</v>
      </c>
      <c r="E29" s="118">
        <v>0.47600000000000003</v>
      </c>
      <c r="F29" s="118">
        <v>0.28600000000000003</v>
      </c>
      <c r="G29" s="118">
        <v>0.23</v>
      </c>
      <c r="H29" s="119">
        <v>0.64100000000000001</v>
      </c>
      <c r="I29" s="105"/>
      <c r="J29" s="106"/>
      <c r="K29" s="104"/>
      <c r="L29" s="151"/>
      <c r="M29" s="152"/>
      <c r="N29" s="104"/>
      <c r="O29" s="104"/>
      <c r="P29" s="104"/>
    </row>
    <row r="30" spans="1:16" ht="15.75" x14ac:dyDescent="0.25">
      <c r="A30" s="88" t="s">
        <v>127</v>
      </c>
      <c r="B30" s="117">
        <v>8.1999999999999993</v>
      </c>
      <c r="C30" s="117">
        <v>550</v>
      </c>
      <c r="D30" s="118">
        <v>0.23800000000000002</v>
      </c>
      <c r="E30" s="118">
        <v>0.47600000000000003</v>
      </c>
      <c r="F30" s="118">
        <v>0.28600000000000003</v>
      </c>
      <c r="G30" s="118">
        <v>0.26100000000000001</v>
      </c>
      <c r="H30" s="119">
        <v>1.19</v>
      </c>
      <c r="I30" s="105"/>
      <c r="J30" s="106"/>
      <c r="K30" s="104"/>
      <c r="L30" s="151"/>
      <c r="M30" s="152"/>
      <c r="N30" s="104"/>
      <c r="O30" s="104"/>
      <c r="P30" s="104"/>
    </row>
    <row r="31" spans="1:16" ht="15.75" x14ac:dyDescent="0.25">
      <c r="A31" s="88" t="s">
        <v>127</v>
      </c>
      <c r="B31" s="117">
        <v>26.3</v>
      </c>
      <c r="C31" s="117">
        <v>550</v>
      </c>
      <c r="D31" s="118">
        <v>0.23800000000000002</v>
      </c>
      <c r="E31" s="118">
        <v>0.47600000000000003</v>
      </c>
      <c r="F31" s="118">
        <v>0.28600000000000003</v>
      </c>
      <c r="G31" s="118">
        <v>0.3</v>
      </c>
      <c r="H31" s="119">
        <v>1.6</v>
      </c>
      <c r="I31" s="105"/>
      <c r="J31" s="106"/>
      <c r="K31" s="104"/>
      <c r="L31" s="151"/>
      <c r="M31" s="152"/>
      <c r="N31" s="104"/>
      <c r="O31" s="104"/>
      <c r="P31" s="104"/>
    </row>
    <row r="32" spans="1:16" ht="15.75" x14ac:dyDescent="0.25">
      <c r="A32" s="88" t="s">
        <v>127</v>
      </c>
      <c r="B32" s="117">
        <v>28.5</v>
      </c>
      <c r="C32" s="117">
        <v>500</v>
      </c>
      <c r="D32" s="118">
        <v>0.23800000000000002</v>
      </c>
      <c r="E32" s="118">
        <v>0.47600000000000003</v>
      </c>
      <c r="F32" s="118">
        <v>0.28600000000000003</v>
      </c>
      <c r="G32" s="118">
        <v>0.22</v>
      </c>
      <c r="H32" s="119">
        <v>0.63200000000000001</v>
      </c>
      <c r="I32" s="105"/>
      <c r="J32" s="106"/>
      <c r="K32" s="104"/>
      <c r="L32" s="151"/>
      <c r="M32" s="152"/>
      <c r="N32" s="104"/>
      <c r="O32" s="104"/>
      <c r="P32" s="104"/>
    </row>
    <row r="33" spans="1:16" ht="15.75" x14ac:dyDescent="0.25">
      <c r="A33" s="88" t="s">
        <v>127</v>
      </c>
      <c r="B33" s="117">
        <v>18.8</v>
      </c>
      <c r="C33" s="117">
        <v>525</v>
      </c>
      <c r="D33" s="118">
        <v>0.24</v>
      </c>
      <c r="E33" s="118">
        <v>0.48399999999999999</v>
      </c>
      <c r="F33" s="118">
        <v>0.27600000000000002</v>
      </c>
      <c r="G33" s="118">
        <v>0.23100000000000001</v>
      </c>
      <c r="H33" s="119">
        <v>1.1000000000000001</v>
      </c>
      <c r="I33" s="105"/>
      <c r="J33" s="106"/>
      <c r="K33" s="104"/>
      <c r="L33" s="151"/>
      <c r="M33" s="152"/>
      <c r="N33" s="104"/>
      <c r="O33" s="104"/>
      <c r="P33" s="104"/>
    </row>
    <row r="34" spans="1:16" ht="15.75" x14ac:dyDescent="0.25">
      <c r="A34" s="120" t="s">
        <v>477</v>
      </c>
      <c r="B34" s="124">
        <v>28.7</v>
      </c>
      <c r="C34" s="121">
        <v>450</v>
      </c>
      <c r="D34" s="122">
        <v>0.25800000000000001</v>
      </c>
      <c r="E34" s="122">
        <v>0.51600000000000001</v>
      </c>
      <c r="F34" s="122">
        <v>0.22600000000000001</v>
      </c>
      <c r="G34" s="122">
        <v>0.161</v>
      </c>
      <c r="H34" s="123">
        <v>0.45600000000000002</v>
      </c>
      <c r="I34" s="105"/>
      <c r="J34" s="106"/>
      <c r="K34" s="104"/>
      <c r="L34" s="151"/>
      <c r="M34" s="152"/>
      <c r="N34" s="104"/>
      <c r="O34" s="104"/>
      <c r="P34" s="104"/>
    </row>
    <row r="35" spans="1:16" ht="15.75" x14ac:dyDescent="0.25">
      <c r="A35" s="120" t="s">
        <v>477</v>
      </c>
      <c r="B35" s="124">
        <v>28.7</v>
      </c>
      <c r="C35" s="121">
        <v>450</v>
      </c>
      <c r="D35" s="122">
        <v>0.25800000000000001</v>
      </c>
      <c r="E35" s="122">
        <v>0.51600000000000001</v>
      </c>
      <c r="F35" s="122">
        <v>0.22600000000000001</v>
      </c>
      <c r="G35" s="122">
        <v>0.14000000000000001</v>
      </c>
      <c r="H35" s="123">
        <v>0.40100000000000002</v>
      </c>
      <c r="I35" s="105"/>
      <c r="J35" s="106"/>
      <c r="K35" s="104"/>
      <c r="L35" s="151"/>
      <c r="M35" s="152"/>
      <c r="N35" s="104"/>
      <c r="O35" s="104"/>
      <c r="P35" s="104"/>
    </row>
    <row r="36" spans="1:16" ht="15.75" x14ac:dyDescent="0.25">
      <c r="A36" s="127" t="s">
        <v>158</v>
      </c>
      <c r="B36" s="128">
        <v>30.5</v>
      </c>
      <c r="C36" s="129">
        <v>450</v>
      </c>
      <c r="D36" s="130">
        <v>0.29399999999999998</v>
      </c>
      <c r="E36" s="130">
        <v>0.58799999999999997</v>
      </c>
      <c r="F36" s="130">
        <v>0.11800000000000001</v>
      </c>
      <c r="G36" s="130">
        <v>6.2E-2</v>
      </c>
      <c r="H36" s="131">
        <v>0.111</v>
      </c>
      <c r="I36" s="149"/>
      <c r="J36" s="106"/>
      <c r="K36" s="104"/>
      <c r="L36" s="151"/>
      <c r="M36" s="152"/>
      <c r="N36" s="104"/>
      <c r="O36" s="104"/>
      <c r="P36" s="104"/>
    </row>
    <row r="64" spans="2:9" x14ac:dyDescent="0.25">
      <c r="B64" s="61"/>
      <c r="C64" s="61" t="s">
        <v>441</v>
      </c>
      <c r="D64" s="61"/>
      <c r="E64" s="61"/>
      <c r="F64" s="61"/>
      <c r="G64" s="61"/>
      <c r="H64" s="61"/>
      <c r="I64" s="61"/>
    </row>
    <row r="65" spans="3:11" x14ac:dyDescent="0.25">
      <c r="C65" t="s">
        <v>435</v>
      </c>
      <c r="D65" s="64">
        <f>AVERAGE(D14:D29)</f>
        <v>0.22850000000000001</v>
      </c>
      <c r="E65" s="64">
        <f>AVERAGE(E14:E29)</f>
        <v>0.45562500000000011</v>
      </c>
      <c r="F65" s="64">
        <f>AVERAGE(F14:F29)</f>
        <v>0.31587500000000002</v>
      </c>
      <c r="G65" s="64">
        <f>AVERAGE(G14:G29)</f>
        <v>0.28406250000000005</v>
      </c>
      <c r="H65" s="64">
        <f>AVERAGE(H14:H29)</f>
        <v>1.1485624999999997</v>
      </c>
    </row>
    <row r="66" spans="3:11" x14ac:dyDescent="0.25">
      <c r="C66" t="s">
        <v>436</v>
      </c>
      <c r="D66" s="41">
        <f>_xlfn.STDEV.P(D14:D29)</f>
        <v>4.2130748865881829E-3</v>
      </c>
      <c r="E66" s="41">
        <f>_xlfn.STDEV.P(E14:E29)</f>
        <v>7.97554857047463E-3</v>
      </c>
      <c r="F66" s="41">
        <f>_xlfn.STDEV.P(F14:F29)</f>
        <v>1.2175154003132753E-2</v>
      </c>
      <c r="G66" s="41">
        <f>_xlfn.STDEV.P(G14:G29)</f>
        <v>3.6260289487950598E-2</v>
      </c>
      <c r="H66" s="41">
        <f>_xlfn.STDEV.P(H14:H29)</f>
        <v>0.54930296384941379</v>
      </c>
      <c r="K66">
        <v>0.45946666666666669</v>
      </c>
    </row>
    <row r="67" spans="3:11" x14ac:dyDescent="0.25">
      <c r="C67" t="s">
        <v>437</v>
      </c>
      <c r="D67">
        <f>MIN(D14:D29)</f>
        <v>0.222</v>
      </c>
      <c r="E67">
        <f>MIN(E14:E29)</f>
        <v>0.44400000000000001</v>
      </c>
      <c r="F67">
        <f>MIN(F14:F29)</f>
        <v>0.28600000000000003</v>
      </c>
      <c r="G67">
        <f>MIN(G14:G29)</f>
        <v>0.188</v>
      </c>
      <c r="H67">
        <f>MIN(H14:H29)</f>
        <v>0.28000000000000003</v>
      </c>
      <c r="K67">
        <v>0.23</v>
      </c>
    </row>
    <row r="68" spans="3:11" x14ac:dyDescent="0.25">
      <c r="C68" t="s">
        <v>438</v>
      </c>
      <c r="D68">
        <f>MAX(D14:D29)</f>
        <v>0.23800000000000002</v>
      </c>
      <c r="E68">
        <f>MAX(E14:E29)</f>
        <v>0.47600000000000003</v>
      </c>
      <c r="F68">
        <f>MAX(F14:F29)</f>
        <v>0.33399999999999996</v>
      </c>
      <c r="G68">
        <f>MAX(G14:G29)</f>
        <v>0.32600000000000001</v>
      </c>
      <c r="H68">
        <f>MAX(H14:H29)</f>
        <v>2.09</v>
      </c>
      <c r="K68">
        <v>0.31053333333333327</v>
      </c>
    </row>
    <row r="69" spans="3:11" x14ac:dyDescent="0.25">
      <c r="C69" t="s">
        <v>439</v>
      </c>
      <c r="D69">
        <f>D68-D67</f>
        <v>1.6000000000000014E-2</v>
      </c>
      <c r="E69">
        <f t="shared" ref="E69:H69" si="0">E68-E67</f>
        <v>3.2000000000000028E-2</v>
      </c>
      <c r="F69">
        <f t="shared" si="0"/>
        <v>4.7999999999999932E-2</v>
      </c>
      <c r="G69">
        <f t="shared" si="0"/>
        <v>0.13800000000000001</v>
      </c>
      <c r="H69">
        <f t="shared" si="0"/>
        <v>1.8099999999999998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"/>
  <sheetViews>
    <sheetView workbookViewId="0">
      <selection activeCell="C3" sqref="C3"/>
    </sheetView>
  </sheetViews>
  <sheetFormatPr defaultRowHeight="15" x14ac:dyDescent="0.25"/>
  <cols>
    <col min="4" max="4" width="9.28515625" bestFit="1" customWidth="1"/>
    <col min="5" max="5" width="10.140625" bestFit="1" customWidth="1"/>
    <col min="7" max="7" width="10.5703125" bestFit="1" customWidth="1"/>
  </cols>
  <sheetData>
    <row r="1" spans="2:19" ht="18.75" x14ac:dyDescent="0.25">
      <c r="B1" s="28" t="s">
        <v>409</v>
      </c>
    </row>
    <row r="3" spans="2:19" ht="18.75" x14ac:dyDescent="0.25">
      <c r="C3" s="28" t="s">
        <v>498</v>
      </c>
    </row>
    <row r="4" spans="2:19" x14ac:dyDescent="0.25">
      <c r="G4" s="23" t="s">
        <v>400</v>
      </c>
      <c r="H4" t="s">
        <v>497</v>
      </c>
      <c r="Q4" s="23" t="s">
        <v>400</v>
      </c>
      <c r="R4" t="s">
        <v>497</v>
      </c>
    </row>
    <row r="5" spans="2:19" x14ac:dyDescent="0.25">
      <c r="D5" s="23" t="s">
        <v>406</v>
      </c>
      <c r="E5" s="23" t="s">
        <v>405</v>
      </c>
      <c r="F5" s="23" t="s">
        <v>404</v>
      </c>
      <c r="G5" t="s">
        <v>401</v>
      </c>
      <c r="H5" s="23" t="s">
        <v>402</v>
      </c>
      <c r="I5" t="s">
        <v>403</v>
      </c>
      <c r="N5" s="23" t="s">
        <v>406</v>
      </c>
      <c r="O5" s="23" t="s">
        <v>405</v>
      </c>
      <c r="P5" s="23" t="s">
        <v>404</v>
      </c>
      <c r="Q5" t="s">
        <v>401</v>
      </c>
      <c r="R5" s="23" t="s">
        <v>402</v>
      </c>
      <c r="S5" t="s">
        <v>403</v>
      </c>
    </row>
    <row r="6" spans="2:19" ht="16.5" x14ac:dyDescent="0.3">
      <c r="C6" t="s">
        <v>399</v>
      </c>
      <c r="D6" s="23">
        <f>('Atomic masses'!H115+2*'Atomic masses'!H93)</f>
        <v>60.082000000000001</v>
      </c>
      <c r="E6" s="23">
        <v>2</v>
      </c>
      <c r="F6" s="23">
        <f>E6*D6</f>
        <v>120.164</v>
      </c>
      <c r="G6" s="23">
        <f>100*F6/F8</f>
        <v>86.598319310292922</v>
      </c>
      <c r="H6" s="23">
        <f>83.0131488908468/0.9586</f>
        <v>86.598319310292922</v>
      </c>
      <c r="I6" s="30">
        <f>10000*(H6-G6)^2</f>
        <v>0</v>
      </c>
      <c r="M6" t="s">
        <v>399</v>
      </c>
      <c r="N6" s="23">
        <f>D6</f>
        <v>60.082000000000001</v>
      </c>
      <c r="O6" s="23">
        <v>2</v>
      </c>
      <c r="P6" s="23">
        <f>O6*N6</f>
        <v>120.164</v>
      </c>
      <c r="Q6" s="23">
        <f>100*P6/P8</f>
        <v>84.711772289787248</v>
      </c>
      <c r="R6">
        <f>88.3703028268175*0.9586</f>
        <v>84.711772289787248</v>
      </c>
      <c r="S6" s="30">
        <f>10000*(R6-Q6)^2</f>
        <v>0</v>
      </c>
    </row>
    <row r="7" spans="2:19" ht="18" x14ac:dyDescent="0.35">
      <c r="C7" s="24" t="s">
        <v>398</v>
      </c>
      <c r="D7" s="23">
        <f>2*'Atomic masses'!H67+'Atomic masses'!H93</f>
        <v>18.014600000000002</v>
      </c>
      <c r="E7" s="29">
        <v>1.0322848557592923</v>
      </c>
      <c r="F7" s="23">
        <f>E7*D7</f>
        <v>18.59619876256135</v>
      </c>
      <c r="G7" s="23"/>
      <c r="H7" s="23"/>
      <c r="M7" s="24" t="s">
        <v>398</v>
      </c>
      <c r="N7" s="23">
        <f>D7</f>
        <v>18.014600000000002</v>
      </c>
      <c r="O7" s="29">
        <v>1.2038243621494535</v>
      </c>
      <c r="P7" s="23">
        <f>O7*N7</f>
        <v>21.686414354377547</v>
      </c>
      <c r="Q7" s="23"/>
      <c r="R7" s="23"/>
    </row>
    <row r="8" spans="2:19" x14ac:dyDescent="0.25">
      <c r="D8" s="23"/>
      <c r="E8" s="23"/>
      <c r="F8" s="23">
        <f>SUM(F6:F7)</f>
        <v>138.76019876256134</v>
      </c>
      <c r="G8" s="23"/>
      <c r="H8" s="23"/>
      <c r="I8" s="72" t="s">
        <v>500</v>
      </c>
      <c r="J8" s="32">
        <f>O7</f>
        <v>1.2038243621494535</v>
      </c>
      <c r="N8" s="23"/>
      <c r="O8" s="23"/>
      <c r="P8" s="23">
        <f>SUM(P6:P7)</f>
        <v>141.85041435437756</v>
      </c>
      <c r="Q8" s="23"/>
      <c r="R8" s="23"/>
    </row>
    <row r="9" spans="2:19" x14ac:dyDescent="0.25">
      <c r="D9" s="23"/>
      <c r="E9" s="23"/>
      <c r="F9" s="23"/>
      <c r="G9" s="23"/>
      <c r="H9" s="23"/>
      <c r="I9" s="72" t="s">
        <v>499</v>
      </c>
      <c r="J9" s="32">
        <f>O7-E7</f>
        <v>0.17153950639016124</v>
      </c>
      <c r="N9" s="23"/>
      <c r="O9" s="23"/>
      <c r="P9" s="23"/>
      <c r="Q9" s="23"/>
      <c r="R9" s="23"/>
    </row>
    <row r="10" spans="2:19" x14ac:dyDescent="0.25">
      <c r="D10" s="23"/>
      <c r="E10" s="32"/>
      <c r="F10" s="23"/>
      <c r="G10" s="23"/>
      <c r="H10" s="23"/>
      <c r="I10" s="72" t="s">
        <v>501</v>
      </c>
      <c r="J10" s="32">
        <f>J8-J9</f>
        <v>1.0322848557592923</v>
      </c>
      <c r="N10" s="23"/>
      <c r="O10" s="23"/>
      <c r="P10" s="23"/>
      <c r="Q10" s="23"/>
      <c r="R10" s="23"/>
    </row>
    <row r="11" spans="2:19" x14ac:dyDescent="0.25">
      <c r="D11" s="23"/>
      <c r="E11" s="23"/>
      <c r="F11" s="23"/>
      <c r="G11" s="23"/>
      <c r="H11" s="23"/>
      <c r="O11" s="23"/>
      <c r="P11" s="23"/>
      <c r="Q11" s="23"/>
      <c r="R11" s="23"/>
    </row>
    <row r="12" spans="2:19" ht="15.75" x14ac:dyDescent="0.25">
      <c r="C12" t="s">
        <v>407</v>
      </c>
      <c r="M12" s="28"/>
    </row>
    <row r="14" spans="2:19" ht="18.75" x14ac:dyDescent="0.3">
      <c r="C14" s="28" t="s">
        <v>408</v>
      </c>
      <c r="G14" s="34">
        <v>0.95860000000000001</v>
      </c>
      <c r="H14" s="34" t="s">
        <v>410</v>
      </c>
      <c r="I14" s="34"/>
    </row>
    <row r="15" spans="2:19" ht="16.5" x14ac:dyDescent="0.3">
      <c r="C15" t="s">
        <v>397</v>
      </c>
      <c r="D15" s="23">
        <f>D6</f>
        <v>60.082000000000001</v>
      </c>
      <c r="E15" s="29">
        <v>3.8748994307950042</v>
      </c>
      <c r="F15" s="23">
        <f>E15*D15</f>
        <v>232.81170760102543</v>
      </c>
      <c r="G15" s="23">
        <f>G14*100*F15/F17</f>
        <v>83.01314889084675</v>
      </c>
      <c r="H15" s="23">
        <v>83.01314889084675</v>
      </c>
      <c r="I15" s="33">
        <f>10000*(H15-G15)^2</f>
        <v>0</v>
      </c>
    </row>
    <row r="16" spans="2:19" ht="18" x14ac:dyDescent="0.35">
      <c r="C16" s="24" t="s">
        <v>398</v>
      </c>
      <c r="D16" s="23">
        <f>D7</f>
        <v>18.014600000000002</v>
      </c>
      <c r="E16" s="31">
        <v>2</v>
      </c>
      <c r="F16" s="23">
        <f>E16*D16</f>
        <v>36.029200000000003</v>
      </c>
      <c r="G16" s="23"/>
      <c r="H16" s="23"/>
    </row>
    <row r="17" spans="4:8" x14ac:dyDescent="0.25">
      <c r="D17" s="23"/>
      <c r="E17" s="23"/>
      <c r="F17" s="23">
        <f>SUM(F15:F16)</f>
        <v>268.84090760102544</v>
      </c>
      <c r="G17" s="23"/>
      <c r="H17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2"/>
  <sheetViews>
    <sheetView workbookViewId="0">
      <selection activeCell="G14" sqref="G14"/>
    </sheetView>
  </sheetViews>
  <sheetFormatPr defaultRowHeight="15" x14ac:dyDescent="0.25"/>
  <cols>
    <col min="3" max="5" width="10.7109375" customWidth="1"/>
  </cols>
  <sheetData>
    <row r="4" spans="2:5" ht="21" x14ac:dyDescent="0.25">
      <c r="C4" s="155" t="s">
        <v>485</v>
      </c>
      <c r="D4" s="155" t="s">
        <v>433</v>
      </c>
      <c r="E4" s="155" t="s">
        <v>434</v>
      </c>
    </row>
    <row r="5" spans="2:5" ht="21" x14ac:dyDescent="0.35">
      <c r="B5" s="154" t="s">
        <v>474</v>
      </c>
      <c r="C5" s="156">
        <v>0.16</v>
      </c>
      <c r="D5" s="156">
        <v>0.5</v>
      </c>
      <c r="E5" s="156">
        <v>0.34</v>
      </c>
    </row>
    <row r="6" spans="2:5" ht="21" x14ac:dyDescent="0.35">
      <c r="B6" s="154" t="s">
        <v>60</v>
      </c>
      <c r="C6" s="156">
        <v>0.182</v>
      </c>
      <c r="D6" s="156">
        <v>0.56799999999999995</v>
      </c>
      <c r="E6" s="156">
        <v>0.25</v>
      </c>
    </row>
    <row r="7" spans="2:5" ht="21" x14ac:dyDescent="0.35">
      <c r="B7" s="154" t="s">
        <v>81</v>
      </c>
      <c r="C7" s="156">
        <v>0.21</v>
      </c>
      <c r="D7" s="156">
        <v>0.65800000000000003</v>
      </c>
      <c r="E7" s="156">
        <v>0.13200000000000001</v>
      </c>
    </row>
    <row r="8" spans="2:5" ht="21" x14ac:dyDescent="0.35">
      <c r="B8" s="154" t="s">
        <v>475</v>
      </c>
      <c r="C8" s="156">
        <v>0.22</v>
      </c>
      <c r="D8" s="156">
        <v>0.438</v>
      </c>
      <c r="E8" s="156">
        <v>0.34200000000000003</v>
      </c>
    </row>
    <row r="9" spans="2:5" ht="21" x14ac:dyDescent="0.35">
      <c r="B9" s="154" t="s">
        <v>476</v>
      </c>
      <c r="C9" s="156">
        <v>0.23</v>
      </c>
      <c r="D9" s="156">
        <v>0.45800000000000002</v>
      </c>
      <c r="E9" s="156">
        <v>0.312</v>
      </c>
    </row>
    <row r="10" spans="2:5" ht="21" x14ac:dyDescent="0.35">
      <c r="B10" s="154" t="s">
        <v>127</v>
      </c>
      <c r="C10" s="156">
        <v>0.23799999999999999</v>
      </c>
      <c r="D10" s="156">
        <v>0.47599999999999998</v>
      </c>
      <c r="E10" s="156">
        <v>0.28599999999999998</v>
      </c>
    </row>
    <row r="11" spans="2:5" ht="21" x14ac:dyDescent="0.35">
      <c r="B11" s="154" t="s">
        <v>477</v>
      </c>
      <c r="C11" s="156">
        <v>0.25800000000000001</v>
      </c>
      <c r="D11" s="156">
        <v>0.51600000000000001</v>
      </c>
      <c r="E11" s="156">
        <v>0.22600000000000001</v>
      </c>
    </row>
    <row r="12" spans="2:5" ht="21" x14ac:dyDescent="0.35">
      <c r="B12" s="154" t="s">
        <v>158</v>
      </c>
      <c r="C12" s="156">
        <v>0.29399999999999998</v>
      </c>
      <c r="D12" s="156">
        <v>0.58799999999999997</v>
      </c>
      <c r="E12" s="156">
        <v>0.11799999999999999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"/>
  <sheetViews>
    <sheetView workbookViewId="0">
      <selection activeCell="O6" sqref="O6"/>
    </sheetView>
  </sheetViews>
  <sheetFormatPr defaultRowHeight="15" x14ac:dyDescent="0.25"/>
  <sheetData>
    <row r="2" spans="2:13" ht="15.75" thickBot="1" x14ac:dyDescent="0.3"/>
    <row r="3" spans="2:13" ht="48" thickTop="1" x14ac:dyDescent="0.25">
      <c r="B3" s="74" t="s">
        <v>448</v>
      </c>
      <c r="C3" s="62" t="s">
        <v>449</v>
      </c>
      <c r="D3" s="62" t="s">
        <v>450</v>
      </c>
      <c r="E3" s="62" t="s">
        <v>451</v>
      </c>
      <c r="F3" s="62" t="s">
        <v>452</v>
      </c>
      <c r="G3" s="75" t="s">
        <v>453</v>
      </c>
      <c r="H3" s="76" t="s">
        <v>454</v>
      </c>
      <c r="I3" s="76" t="s">
        <v>455</v>
      </c>
      <c r="J3" s="77" t="s">
        <v>456</v>
      </c>
      <c r="K3" s="62" t="s">
        <v>431</v>
      </c>
      <c r="L3" s="62" t="s">
        <v>432</v>
      </c>
      <c r="M3" s="62" t="s">
        <v>466</v>
      </c>
    </row>
    <row r="4" spans="2:13" ht="18.75" thickBot="1" x14ac:dyDescent="0.3">
      <c r="B4" s="78" t="s">
        <v>426</v>
      </c>
      <c r="C4" s="79" t="s">
        <v>426</v>
      </c>
      <c r="D4" s="79" t="s">
        <v>457</v>
      </c>
      <c r="E4" s="79" t="s">
        <v>458</v>
      </c>
      <c r="F4" s="52" t="s">
        <v>425</v>
      </c>
      <c r="G4" s="53" t="s">
        <v>425</v>
      </c>
      <c r="H4" s="79" t="s">
        <v>427</v>
      </c>
      <c r="I4" s="79" t="s">
        <v>427</v>
      </c>
      <c r="J4" s="80" t="s">
        <v>427</v>
      </c>
      <c r="K4" s="52" t="s">
        <v>428</v>
      </c>
      <c r="L4" s="52" t="s">
        <v>429</v>
      </c>
      <c r="M4" s="52" t="s">
        <v>424</v>
      </c>
    </row>
    <row r="5" spans="2:13" ht="15.75" x14ac:dyDescent="0.25">
      <c r="B5" s="81">
        <v>20</v>
      </c>
      <c r="C5" s="82">
        <v>450</v>
      </c>
      <c r="D5" s="82" t="s">
        <v>459</v>
      </c>
      <c r="E5" s="82">
        <v>15</v>
      </c>
      <c r="F5" s="54">
        <v>0.5</v>
      </c>
      <c r="G5" s="55">
        <v>0.2</v>
      </c>
      <c r="H5" s="82">
        <v>29.4</v>
      </c>
      <c r="I5" s="82">
        <v>58.8</v>
      </c>
      <c r="J5" s="83">
        <v>11.8</v>
      </c>
      <c r="K5" s="54">
        <v>6.2E-2</v>
      </c>
      <c r="L5" s="54">
        <v>0.111</v>
      </c>
      <c r="M5" s="54">
        <v>30.5</v>
      </c>
    </row>
    <row r="6" spans="2:13" ht="15.75" x14ac:dyDescent="0.25">
      <c r="B6" s="81">
        <v>20</v>
      </c>
      <c r="C6" s="82">
        <v>450</v>
      </c>
      <c r="D6" s="82" t="s">
        <v>459</v>
      </c>
      <c r="E6" s="82">
        <v>30</v>
      </c>
      <c r="F6" s="54">
        <v>0.32</v>
      </c>
      <c r="G6" s="55">
        <v>0.68</v>
      </c>
      <c r="H6" s="82">
        <v>16</v>
      </c>
      <c r="I6" s="82">
        <v>50</v>
      </c>
      <c r="J6" s="83">
        <v>34</v>
      </c>
      <c r="K6" s="35">
        <v>0.309</v>
      </c>
      <c r="L6" s="35">
        <v>1.31</v>
      </c>
      <c r="M6" s="35">
        <v>29.6</v>
      </c>
    </row>
    <row r="7" spans="2:13" ht="15.75" x14ac:dyDescent="0.25">
      <c r="B7" s="81">
        <v>20</v>
      </c>
      <c r="C7" s="82">
        <v>550</v>
      </c>
      <c r="D7" s="82" t="s">
        <v>460</v>
      </c>
      <c r="E7" s="82">
        <v>15</v>
      </c>
      <c r="F7" s="54">
        <v>0.5</v>
      </c>
      <c r="G7" s="55">
        <v>0.68</v>
      </c>
      <c r="H7" s="82">
        <v>23</v>
      </c>
      <c r="I7" s="82">
        <v>45.8</v>
      </c>
      <c r="J7" s="83">
        <v>31.2</v>
      </c>
      <c r="K7" s="54">
        <v>0.26800000000000002</v>
      </c>
      <c r="L7" s="54">
        <v>0.98199999999999998</v>
      </c>
      <c r="M7" s="54">
        <v>27.2</v>
      </c>
    </row>
    <row r="8" spans="2:13" ht="15.75" x14ac:dyDescent="0.25">
      <c r="B8" s="81">
        <v>20</v>
      </c>
      <c r="C8" s="82">
        <v>550</v>
      </c>
      <c r="D8" s="82" t="s">
        <v>460</v>
      </c>
      <c r="E8" s="82">
        <v>30</v>
      </c>
      <c r="F8" s="54">
        <v>0.32</v>
      </c>
      <c r="G8" s="55">
        <v>0.2</v>
      </c>
      <c r="H8" s="82">
        <v>21</v>
      </c>
      <c r="I8" s="82">
        <v>65.8</v>
      </c>
      <c r="J8" s="83">
        <v>13.2</v>
      </c>
      <c r="K8" s="54">
        <v>0.01</v>
      </c>
      <c r="L8" s="54" t="s">
        <v>461</v>
      </c>
      <c r="M8" s="54">
        <v>33.4</v>
      </c>
    </row>
    <row r="9" spans="2:13" ht="15.75" x14ac:dyDescent="0.25">
      <c r="B9" s="81">
        <v>120</v>
      </c>
      <c r="C9" s="82">
        <v>450</v>
      </c>
      <c r="D9" s="82" t="s">
        <v>460</v>
      </c>
      <c r="E9" s="82">
        <v>15</v>
      </c>
      <c r="F9" s="54">
        <v>0.32</v>
      </c>
      <c r="G9" s="55">
        <v>0.2</v>
      </c>
      <c r="H9" s="82">
        <v>21</v>
      </c>
      <c r="I9" s="82">
        <v>65.8</v>
      </c>
      <c r="J9" s="83">
        <v>13.2</v>
      </c>
      <c r="K9" s="54">
        <v>5.3999999999999999E-2</v>
      </c>
      <c r="L9" s="54">
        <v>0.121</v>
      </c>
      <c r="M9" s="54">
        <v>30.6</v>
      </c>
    </row>
    <row r="10" spans="2:13" ht="15.75" x14ac:dyDescent="0.25">
      <c r="B10" s="81">
        <v>120</v>
      </c>
      <c r="C10" s="82">
        <v>450</v>
      </c>
      <c r="D10" s="82" t="s">
        <v>460</v>
      </c>
      <c r="E10" s="82">
        <v>30</v>
      </c>
      <c r="F10" s="54">
        <v>0.5</v>
      </c>
      <c r="G10" s="55">
        <v>0.68</v>
      </c>
      <c r="H10" s="82">
        <v>23</v>
      </c>
      <c r="I10" s="82">
        <v>45.8</v>
      </c>
      <c r="J10" s="83">
        <v>31.2</v>
      </c>
      <c r="K10" s="54">
        <v>0.27600000000000002</v>
      </c>
      <c r="L10" s="54">
        <v>0.56200000000000006</v>
      </c>
      <c r="M10" s="54">
        <v>31.6</v>
      </c>
    </row>
    <row r="11" spans="2:13" ht="15.75" x14ac:dyDescent="0.25">
      <c r="B11" s="81">
        <v>120</v>
      </c>
      <c r="C11" s="82">
        <v>550</v>
      </c>
      <c r="D11" s="82" t="s">
        <v>459</v>
      </c>
      <c r="E11" s="82">
        <v>15</v>
      </c>
      <c r="F11" s="54">
        <v>0.32</v>
      </c>
      <c r="G11" s="55">
        <v>0.68</v>
      </c>
      <c r="H11" s="82">
        <v>16</v>
      </c>
      <c r="I11" s="82">
        <v>50</v>
      </c>
      <c r="J11" s="83">
        <v>34</v>
      </c>
      <c r="K11" s="54">
        <v>0.27400000000000002</v>
      </c>
      <c r="L11" s="54">
        <v>0.77100000000000002</v>
      </c>
      <c r="M11" s="54">
        <v>27.8</v>
      </c>
    </row>
    <row r="12" spans="2:13" ht="16.5" thickBot="1" x14ac:dyDescent="0.3">
      <c r="B12" s="84">
        <v>120</v>
      </c>
      <c r="C12" s="85">
        <v>550</v>
      </c>
      <c r="D12" s="85" t="s">
        <v>459</v>
      </c>
      <c r="E12" s="85">
        <v>30</v>
      </c>
      <c r="F12" s="56">
        <v>0.5</v>
      </c>
      <c r="G12" s="57">
        <v>0.2</v>
      </c>
      <c r="H12" s="85">
        <v>29.4</v>
      </c>
      <c r="I12" s="85">
        <v>58.8</v>
      </c>
      <c r="J12" s="86">
        <v>11.8</v>
      </c>
      <c r="K12" s="56">
        <v>9.9000000000000005E-2</v>
      </c>
      <c r="L12" s="56" t="s">
        <v>461</v>
      </c>
      <c r="M12" s="56">
        <v>33.5</v>
      </c>
    </row>
    <row r="13" spans="2:13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zoomScale="75" zoomScaleNormal="75" workbookViewId="0">
      <selection activeCell="L5" sqref="L5:L12"/>
    </sheetView>
  </sheetViews>
  <sheetFormatPr defaultRowHeight="15" x14ac:dyDescent="0.25"/>
  <sheetData>
    <row r="2" spans="2:12" ht="15.75" thickBot="1" x14ac:dyDescent="0.3"/>
    <row r="3" spans="2:12" ht="48" thickTop="1" x14ac:dyDescent="0.25">
      <c r="B3" s="74" t="s">
        <v>450</v>
      </c>
      <c r="C3" s="62" t="s">
        <v>463</v>
      </c>
      <c r="D3" s="62" t="s">
        <v>451</v>
      </c>
      <c r="E3" s="62" t="s">
        <v>449</v>
      </c>
      <c r="F3" s="75" t="s">
        <v>464</v>
      </c>
      <c r="G3" s="76" t="s">
        <v>454</v>
      </c>
      <c r="H3" s="76" t="s">
        <v>465</v>
      </c>
      <c r="I3" s="77" t="s">
        <v>456</v>
      </c>
      <c r="J3" s="62" t="s">
        <v>431</v>
      </c>
      <c r="K3" s="62" t="s">
        <v>432</v>
      </c>
      <c r="L3" s="62" t="s">
        <v>466</v>
      </c>
    </row>
    <row r="4" spans="2:12" ht="18.75" thickBot="1" x14ac:dyDescent="0.3">
      <c r="B4" s="78" t="s">
        <v>457</v>
      </c>
      <c r="C4" s="52" t="s">
        <v>467</v>
      </c>
      <c r="D4" s="79" t="s">
        <v>458</v>
      </c>
      <c r="E4" s="52" t="s">
        <v>426</v>
      </c>
      <c r="F4" s="53" t="s">
        <v>425</v>
      </c>
      <c r="G4" s="79" t="s">
        <v>427</v>
      </c>
      <c r="H4" s="79" t="s">
        <v>427</v>
      </c>
      <c r="I4" s="80" t="s">
        <v>427</v>
      </c>
      <c r="J4" s="52" t="s">
        <v>428</v>
      </c>
      <c r="K4" s="52" t="s">
        <v>429</v>
      </c>
      <c r="L4" s="52" t="s">
        <v>424</v>
      </c>
    </row>
    <row r="5" spans="2:12" ht="15.75" x14ac:dyDescent="0.25">
      <c r="B5" s="81" t="s">
        <v>459</v>
      </c>
      <c r="C5" s="54">
        <v>0.5</v>
      </c>
      <c r="D5" s="82">
        <v>15</v>
      </c>
      <c r="E5" s="54">
        <v>450</v>
      </c>
      <c r="F5" s="55">
        <v>0.44</v>
      </c>
      <c r="G5" s="82">
        <v>25.8</v>
      </c>
      <c r="H5" s="82">
        <v>51.6</v>
      </c>
      <c r="I5" s="83">
        <v>22.6</v>
      </c>
      <c r="J5" s="54">
        <v>0.14000000000000001</v>
      </c>
      <c r="K5" s="54">
        <v>0.40100000000000002</v>
      </c>
      <c r="L5" s="54">
        <v>28.7</v>
      </c>
    </row>
    <row r="6" spans="2:12" ht="15.75" x14ac:dyDescent="0.25">
      <c r="B6" s="81" t="s">
        <v>459</v>
      </c>
      <c r="C6" s="54">
        <v>0.5</v>
      </c>
      <c r="D6" s="82">
        <v>30</v>
      </c>
      <c r="E6" s="54">
        <v>550</v>
      </c>
      <c r="F6" s="55">
        <v>0.68</v>
      </c>
      <c r="G6" s="82">
        <v>23</v>
      </c>
      <c r="H6" s="82">
        <v>45.8</v>
      </c>
      <c r="I6" s="83">
        <v>31.2</v>
      </c>
      <c r="J6" s="54">
        <v>0.26500000000000001</v>
      </c>
      <c r="K6" s="54">
        <v>0.93200000000000005</v>
      </c>
      <c r="L6" s="54">
        <v>28.4</v>
      </c>
    </row>
    <row r="7" spans="2:12" ht="15.75" x14ac:dyDescent="0.25">
      <c r="B7" s="81" t="s">
        <v>459</v>
      </c>
      <c r="C7" s="54">
        <v>0.32</v>
      </c>
      <c r="D7" s="82">
        <v>15</v>
      </c>
      <c r="E7" s="54">
        <v>450</v>
      </c>
      <c r="F7" s="55">
        <v>0.68</v>
      </c>
      <c r="G7" s="82">
        <v>16</v>
      </c>
      <c r="H7" s="82">
        <v>50</v>
      </c>
      <c r="I7" s="83">
        <v>34</v>
      </c>
      <c r="J7" s="54">
        <v>0.255</v>
      </c>
      <c r="K7" s="54">
        <v>0.72399999999999998</v>
      </c>
      <c r="L7" s="54">
        <v>28.7</v>
      </c>
    </row>
    <row r="8" spans="2:12" ht="15.75" x14ac:dyDescent="0.25">
      <c r="B8" s="81" t="s">
        <v>459</v>
      </c>
      <c r="C8" s="54">
        <v>0.32</v>
      </c>
      <c r="D8" s="82">
        <v>30</v>
      </c>
      <c r="E8" s="54">
        <v>550</v>
      </c>
      <c r="F8" s="55">
        <v>0.44</v>
      </c>
      <c r="G8" s="82">
        <v>18.2</v>
      </c>
      <c r="H8" s="82">
        <v>56.8</v>
      </c>
      <c r="I8" s="83">
        <v>25</v>
      </c>
      <c r="J8" s="54">
        <v>0.14299999999999999</v>
      </c>
      <c r="K8" s="54">
        <v>0.51100000000000001</v>
      </c>
      <c r="L8" s="54">
        <v>28.4</v>
      </c>
    </row>
    <row r="9" spans="2:12" ht="15.75" x14ac:dyDescent="0.25">
      <c r="B9" s="81" t="s">
        <v>460</v>
      </c>
      <c r="C9" s="54">
        <v>0.5</v>
      </c>
      <c r="D9" s="82">
        <v>15</v>
      </c>
      <c r="E9" s="54">
        <v>550</v>
      </c>
      <c r="F9" s="55">
        <v>0.68</v>
      </c>
      <c r="G9" s="82">
        <v>23</v>
      </c>
      <c r="H9" s="82">
        <v>45.8</v>
      </c>
      <c r="I9" s="83">
        <v>31.2</v>
      </c>
      <c r="J9" s="35">
        <v>0.30299999999999999</v>
      </c>
      <c r="K9" s="35">
        <v>1.2</v>
      </c>
      <c r="L9" s="35">
        <v>28.4</v>
      </c>
    </row>
    <row r="10" spans="2:12" ht="15.75" x14ac:dyDescent="0.25">
      <c r="B10" s="81" t="s">
        <v>460</v>
      </c>
      <c r="C10" s="54">
        <v>0.5</v>
      </c>
      <c r="D10" s="82">
        <v>30</v>
      </c>
      <c r="E10" s="54">
        <v>450</v>
      </c>
      <c r="F10" s="55">
        <v>0.44</v>
      </c>
      <c r="G10" s="82">
        <v>25.8</v>
      </c>
      <c r="H10" s="82">
        <v>51.6</v>
      </c>
      <c r="I10" s="83">
        <v>22.6</v>
      </c>
      <c r="J10" s="54">
        <v>0.161</v>
      </c>
      <c r="K10" s="54">
        <v>0.45600000000000002</v>
      </c>
      <c r="L10" s="54">
        <v>28.7</v>
      </c>
    </row>
    <row r="11" spans="2:12" ht="15.75" x14ac:dyDescent="0.25">
      <c r="B11" s="81" t="s">
        <v>460</v>
      </c>
      <c r="C11" s="54">
        <v>0.32</v>
      </c>
      <c r="D11" s="82">
        <v>15</v>
      </c>
      <c r="E11" s="54">
        <v>550</v>
      </c>
      <c r="F11" s="55">
        <v>0.44</v>
      </c>
      <c r="G11" s="82">
        <v>18.2</v>
      </c>
      <c r="H11" s="82">
        <v>56.8</v>
      </c>
      <c r="I11" s="83">
        <v>25</v>
      </c>
      <c r="J11" s="54">
        <v>0.16900000000000001</v>
      </c>
      <c r="K11" s="54">
        <v>0.47799999999999998</v>
      </c>
      <c r="L11" s="54">
        <v>27.8</v>
      </c>
    </row>
    <row r="12" spans="2:12" ht="16.5" thickBot="1" x14ac:dyDescent="0.3">
      <c r="B12" s="84" t="s">
        <v>460</v>
      </c>
      <c r="C12" s="56">
        <v>0.32</v>
      </c>
      <c r="D12" s="85">
        <v>30</v>
      </c>
      <c r="E12" s="56">
        <v>450</v>
      </c>
      <c r="F12" s="57">
        <v>0.68</v>
      </c>
      <c r="G12" s="85">
        <v>16</v>
      </c>
      <c r="H12" s="85">
        <v>50</v>
      </c>
      <c r="I12" s="86">
        <v>34</v>
      </c>
      <c r="J12" s="56">
        <v>0.314</v>
      </c>
      <c r="K12" s="56">
        <v>0.94499999999999995</v>
      </c>
      <c r="L12" s="56">
        <v>29.3</v>
      </c>
    </row>
    <row r="13" spans="2:12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75" zoomScaleNormal="75" workbookViewId="0">
      <selection activeCell="G3" sqref="G3:H19"/>
    </sheetView>
  </sheetViews>
  <sheetFormatPr defaultRowHeight="15" x14ac:dyDescent="0.25"/>
  <cols>
    <col min="13" max="13" width="9.140625" style="23"/>
  </cols>
  <sheetData>
    <row r="1" spans="1:13" ht="19.5" thickTop="1" x14ac:dyDescent="0.25">
      <c r="A1" s="65"/>
      <c r="B1" s="65"/>
      <c r="C1" s="65"/>
      <c r="D1" s="65" t="s">
        <v>413</v>
      </c>
      <c r="E1" s="65" t="s">
        <v>433</v>
      </c>
      <c r="F1" s="65" t="s">
        <v>434</v>
      </c>
      <c r="G1" s="62" t="s">
        <v>431</v>
      </c>
      <c r="H1" s="62" t="s">
        <v>432</v>
      </c>
      <c r="I1" s="63" t="s">
        <v>442</v>
      </c>
      <c r="J1" s="66" t="s">
        <v>443</v>
      </c>
      <c r="K1" s="66" t="s">
        <v>440</v>
      </c>
      <c r="L1" s="67" t="s">
        <v>102</v>
      </c>
    </row>
    <row r="2" spans="1:13" ht="18" x14ac:dyDescent="0.25">
      <c r="A2" s="59"/>
      <c r="B2" s="59" t="s">
        <v>424</v>
      </c>
      <c r="C2" s="59" t="s">
        <v>426</v>
      </c>
      <c r="D2" s="59" t="s">
        <v>427</v>
      </c>
      <c r="E2" s="59" t="s">
        <v>427</v>
      </c>
      <c r="F2" s="59" t="s">
        <v>427</v>
      </c>
      <c r="G2" s="59" t="s">
        <v>428</v>
      </c>
      <c r="H2" s="59" t="s">
        <v>429</v>
      </c>
      <c r="I2" s="59" t="s">
        <v>430</v>
      </c>
      <c r="M2" s="69">
        <f>K20/J20</f>
        <v>4.3968739631558469</v>
      </c>
    </row>
    <row r="3" spans="1:13" ht="15.75" x14ac:dyDescent="0.25">
      <c r="A3" s="58"/>
      <c r="B3" s="58">
        <v>19.399999999999999</v>
      </c>
      <c r="C3" s="58">
        <v>480</v>
      </c>
      <c r="D3" s="58">
        <v>0.23</v>
      </c>
      <c r="E3" s="58">
        <v>0.45799999999999996</v>
      </c>
      <c r="F3" s="58">
        <v>0.312</v>
      </c>
      <c r="G3" s="58">
        <v>0.27600000000000002</v>
      </c>
      <c r="H3" s="58">
        <v>0.41</v>
      </c>
      <c r="I3" s="58">
        <v>76.7</v>
      </c>
      <c r="J3" s="23">
        <f>G3*G3</f>
        <v>7.6176000000000008E-2</v>
      </c>
      <c r="K3" s="23">
        <f>G3*H3</f>
        <v>0.11316</v>
      </c>
      <c r="L3" s="23">
        <f>G3/(1-I3/100)</f>
        <v>1.1845493562231761</v>
      </c>
      <c r="M3" s="23">
        <f>G3*$M$2</f>
        <v>1.2135372138310139</v>
      </c>
    </row>
    <row r="4" spans="1:13" ht="15.75" x14ac:dyDescent="0.25">
      <c r="A4" s="58"/>
      <c r="B4" s="58">
        <v>7.7</v>
      </c>
      <c r="C4" s="58">
        <v>500</v>
      </c>
      <c r="D4" s="58">
        <v>0.23800000000000002</v>
      </c>
      <c r="E4" s="58">
        <v>0.47600000000000003</v>
      </c>
      <c r="F4" s="58">
        <v>0.28600000000000003</v>
      </c>
      <c r="G4" s="58">
        <v>0.23</v>
      </c>
      <c r="H4" s="58">
        <v>0.64100000000000001</v>
      </c>
      <c r="I4" s="58">
        <v>77.8</v>
      </c>
      <c r="J4" s="23">
        <f t="shared" ref="J4:J19" si="0">G4*G4</f>
        <v>5.2900000000000003E-2</v>
      </c>
      <c r="K4" s="23">
        <f t="shared" ref="K4:K19" si="1">G4*H4</f>
        <v>0.14743000000000001</v>
      </c>
      <c r="L4" s="23">
        <f t="shared" ref="L4:L19" si="2">G4/(1-I4/100)</f>
        <v>1.0360360360360361</v>
      </c>
      <c r="M4" s="23">
        <f t="shared" ref="M4:M19" si="3">G4*$M$2</f>
        <v>1.0112810115258448</v>
      </c>
    </row>
    <row r="5" spans="1:13" ht="15.75" x14ac:dyDescent="0.25">
      <c r="A5" s="58"/>
      <c r="B5" s="58">
        <v>7.7</v>
      </c>
      <c r="C5" s="58">
        <v>500</v>
      </c>
      <c r="D5" s="58">
        <v>0.222</v>
      </c>
      <c r="E5" s="58">
        <v>0.44400000000000001</v>
      </c>
      <c r="F5" s="58">
        <v>0.33399999999999996</v>
      </c>
      <c r="G5" s="58">
        <v>0.32400000000000001</v>
      </c>
      <c r="H5" s="58">
        <v>1.28</v>
      </c>
      <c r="I5" s="58">
        <v>75.2</v>
      </c>
      <c r="J5" s="23">
        <f t="shared" si="0"/>
        <v>0.104976</v>
      </c>
      <c r="K5" s="23">
        <f t="shared" si="1"/>
        <v>0.41472000000000003</v>
      </c>
      <c r="L5" s="23">
        <f t="shared" si="2"/>
        <v>1.3064516129032258</v>
      </c>
      <c r="M5" s="23">
        <f t="shared" si="3"/>
        <v>1.4245871640624945</v>
      </c>
    </row>
    <row r="6" spans="1:13" ht="15.75" x14ac:dyDescent="0.25">
      <c r="A6" s="58"/>
      <c r="B6" s="58">
        <v>28.5</v>
      </c>
      <c r="C6" s="58">
        <v>500</v>
      </c>
      <c r="D6" s="58">
        <v>0.23800000000000002</v>
      </c>
      <c r="E6" s="58">
        <v>0.47600000000000003</v>
      </c>
      <c r="F6" s="58">
        <v>0.28600000000000003</v>
      </c>
      <c r="G6" s="58">
        <v>0.22</v>
      </c>
      <c r="H6" s="58">
        <v>0.63200000000000001</v>
      </c>
      <c r="I6" s="58">
        <v>79.099999999999994</v>
      </c>
      <c r="J6" s="23">
        <f t="shared" si="0"/>
        <v>4.8399999999999999E-2</v>
      </c>
      <c r="K6" s="23">
        <f t="shared" si="1"/>
        <v>0.13904</v>
      </c>
      <c r="L6" s="23">
        <f t="shared" si="2"/>
        <v>1.0526315789473681</v>
      </c>
      <c r="M6" s="23">
        <f t="shared" si="3"/>
        <v>0.96731227189428637</v>
      </c>
    </row>
    <row r="7" spans="1:13" ht="15.75" x14ac:dyDescent="0.25">
      <c r="A7" s="58"/>
      <c r="B7" s="58">
        <v>28.5</v>
      </c>
      <c r="C7" s="58">
        <v>500</v>
      </c>
      <c r="D7" s="58">
        <v>0.222</v>
      </c>
      <c r="E7" s="58">
        <v>0.44400000000000001</v>
      </c>
      <c r="F7" s="58">
        <v>0.33399999999999996</v>
      </c>
      <c r="G7" s="58">
        <v>0.27600000000000002</v>
      </c>
      <c r="H7" s="58">
        <v>1.1000000000000001</v>
      </c>
      <c r="I7" s="58">
        <v>76.900000000000006</v>
      </c>
      <c r="J7" s="23">
        <f t="shared" si="0"/>
        <v>7.6176000000000008E-2</v>
      </c>
      <c r="K7" s="23">
        <f t="shared" si="1"/>
        <v>0.30360000000000004</v>
      </c>
      <c r="L7" s="23">
        <f t="shared" si="2"/>
        <v>1.194805194805195</v>
      </c>
      <c r="M7" s="23">
        <f t="shared" si="3"/>
        <v>1.2135372138310139</v>
      </c>
    </row>
    <row r="8" spans="1:13" ht="15.75" x14ac:dyDescent="0.25">
      <c r="A8" s="58"/>
      <c r="B8" s="58">
        <v>20.399999999999999</v>
      </c>
      <c r="C8" s="58">
        <v>520</v>
      </c>
      <c r="D8" s="58">
        <v>0.23</v>
      </c>
      <c r="E8" s="58">
        <v>0.45799999999999996</v>
      </c>
      <c r="F8" s="58">
        <v>0.312</v>
      </c>
      <c r="G8" s="58">
        <v>0.26300000000000001</v>
      </c>
      <c r="H8" s="58">
        <v>0.62</v>
      </c>
      <c r="I8" s="58">
        <v>80.099999999999994</v>
      </c>
      <c r="J8" s="23">
        <f t="shared" si="0"/>
        <v>6.9169000000000008E-2</v>
      </c>
      <c r="K8" s="23">
        <f t="shared" si="1"/>
        <v>0.16306000000000001</v>
      </c>
      <c r="L8" s="23">
        <f t="shared" si="2"/>
        <v>1.3216080402010046</v>
      </c>
      <c r="M8" s="23">
        <f t="shared" si="3"/>
        <v>1.1563778523099877</v>
      </c>
    </row>
    <row r="9" spans="1:13" ht="15.75" x14ac:dyDescent="0.25">
      <c r="A9" s="58"/>
      <c r="B9" s="60">
        <v>5.9</v>
      </c>
      <c r="C9" s="58">
        <v>525</v>
      </c>
      <c r="D9" s="58">
        <v>0.23</v>
      </c>
      <c r="E9" s="58">
        <v>0.45799999999999996</v>
      </c>
      <c r="F9" s="58">
        <v>0.312</v>
      </c>
      <c r="G9" s="60">
        <v>0.32600000000000001</v>
      </c>
      <c r="H9" s="60">
        <v>2.09</v>
      </c>
      <c r="I9" s="60">
        <v>85</v>
      </c>
      <c r="J9" s="23">
        <f t="shared" si="0"/>
        <v>0.10627600000000001</v>
      </c>
      <c r="K9" s="23">
        <f t="shared" si="1"/>
        <v>0.68133999999999995</v>
      </c>
      <c r="L9" s="23">
        <f t="shared" si="2"/>
        <v>2.1733333333333329</v>
      </c>
      <c r="M9" s="23">
        <f t="shared" si="3"/>
        <v>1.4333809119888061</v>
      </c>
    </row>
    <row r="10" spans="1:13" ht="15.75" x14ac:dyDescent="0.25">
      <c r="A10" s="58"/>
      <c r="B10" s="58">
        <v>5.9</v>
      </c>
      <c r="C10" s="58">
        <v>525</v>
      </c>
      <c r="D10" s="58">
        <v>0.23</v>
      </c>
      <c r="E10" s="58">
        <v>0.45799999999999996</v>
      </c>
      <c r="F10" s="58">
        <v>0.312</v>
      </c>
      <c r="G10" s="58">
        <v>0.32600000000000001</v>
      </c>
      <c r="H10" s="58">
        <v>2.09</v>
      </c>
      <c r="I10" s="58">
        <v>76.900000000000006</v>
      </c>
      <c r="J10" s="23">
        <f t="shared" si="0"/>
        <v>0.10627600000000001</v>
      </c>
      <c r="K10" s="23">
        <f t="shared" si="1"/>
        <v>0.68133999999999995</v>
      </c>
      <c r="L10" s="23">
        <f t="shared" si="2"/>
        <v>1.4112554112554114</v>
      </c>
      <c r="M10" s="23">
        <f t="shared" si="3"/>
        <v>1.4333809119888061</v>
      </c>
    </row>
    <row r="11" spans="1:13" ht="15.75" x14ac:dyDescent="0.25">
      <c r="A11" s="58"/>
      <c r="B11" s="58">
        <v>18.8</v>
      </c>
      <c r="C11" s="58">
        <v>525</v>
      </c>
      <c r="D11" s="58">
        <v>0.22</v>
      </c>
      <c r="E11" s="58">
        <v>0.43799999999999994</v>
      </c>
      <c r="F11" s="58">
        <v>0.34200000000000003</v>
      </c>
      <c r="G11" s="58">
        <v>0.312</v>
      </c>
      <c r="H11" s="58">
        <v>1.08</v>
      </c>
      <c r="I11" s="58">
        <v>77.900000000000006</v>
      </c>
      <c r="J11" s="23">
        <f t="shared" si="0"/>
        <v>9.7344E-2</v>
      </c>
      <c r="K11" s="23">
        <f t="shared" si="1"/>
        <v>0.33696000000000004</v>
      </c>
      <c r="L11" s="23">
        <f t="shared" si="2"/>
        <v>1.411764705882353</v>
      </c>
      <c r="M11" s="23">
        <f t="shared" si="3"/>
        <v>1.3718246765046243</v>
      </c>
    </row>
    <row r="12" spans="1:13" ht="15.75" x14ac:dyDescent="0.25">
      <c r="A12" s="58"/>
      <c r="B12" s="58">
        <v>18.8</v>
      </c>
      <c r="C12" s="58">
        <v>525</v>
      </c>
      <c r="D12" s="58">
        <v>0.24</v>
      </c>
      <c r="E12" s="58">
        <v>0.48399999999999999</v>
      </c>
      <c r="F12" s="58">
        <v>0.27600000000000002</v>
      </c>
      <c r="G12" s="58">
        <v>0.23100000000000001</v>
      </c>
      <c r="H12" s="58">
        <v>1.1000000000000001</v>
      </c>
      <c r="I12" s="58">
        <v>80.400000000000006</v>
      </c>
      <c r="J12" s="23">
        <f t="shared" si="0"/>
        <v>5.3361000000000006E-2</v>
      </c>
      <c r="K12" s="23">
        <f t="shared" si="1"/>
        <v>0.25410000000000005</v>
      </c>
      <c r="L12" s="23">
        <f t="shared" si="2"/>
        <v>1.1785714285714288</v>
      </c>
      <c r="M12" s="23">
        <f t="shared" si="3"/>
        <v>1.0156778854890007</v>
      </c>
    </row>
    <row r="13" spans="1:13" ht="15.75" x14ac:dyDescent="0.25">
      <c r="A13" s="58"/>
      <c r="B13" s="58">
        <v>18.8</v>
      </c>
      <c r="C13" s="58">
        <v>525</v>
      </c>
      <c r="D13" s="58">
        <v>0.23</v>
      </c>
      <c r="E13" s="58">
        <v>0.45799999999999996</v>
      </c>
      <c r="F13" s="58">
        <v>0.312</v>
      </c>
      <c r="G13" s="58">
        <v>0.3</v>
      </c>
      <c r="H13" s="58">
        <v>1.33</v>
      </c>
      <c r="I13" s="58">
        <v>78.599999999999994</v>
      </c>
      <c r="J13" s="23">
        <f t="shared" si="0"/>
        <v>0.09</v>
      </c>
      <c r="K13" s="23">
        <f t="shared" si="1"/>
        <v>0.39900000000000002</v>
      </c>
      <c r="L13" s="23">
        <f t="shared" si="2"/>
        <v>1.4018691588785042</v>
      </c>
      <c r="M13" s="23">
        <f t="shared" si="3"/>
        <v>1.319062188946754</v>
      </c>
    </row>
    <row r="14" spans="1:13" ht="15.75" x14ac:dyDescent="0.25">
      <c r="A14" s="58"/>
      <c r="B14" s="58">
        <v>18.8</v>
      </c>
      <c r="C14" s="58">
        <v>525</v>
      </c>
      <c r="D14" s="58">
        <v>0.23</v>
      </c>
      <c r="E14" s="58">
        <v>0.45799999999999996</v>
      </c>
      <c r="F14" s="58">
        <v>0.312</v>
      </c>
      <c r="G14" s="58">
        <v>0.313</v>
      </c>
      <c r="H14" s="58">
        <v>1.56</v>
      </c>
      <c r="I14" s="58">
        <v>76.900000000000006</v>
      </c>
      <c r="J14" s="23">
        <f t="shared" si="0"/>
        <v>9.7969000000000001E-2</v>
      </c>
      <c r="K14" s="23">
        <f t="shared" si="1"/>
        <v>0.48827999999999999</v>
      </c>
      <c r="L14" s="23">
        <f t="shared" si="2"/>
        <v>1.3549783549783552</v>
      </c>
      <c r="M14" s="23">
        <f t="shared" si="3"/>
        <v>1.3762215504677802</v>
      </c>
    </row>
    <row r="15" spans="1:13" ht="15.75" x14ac:dyDescent="0.25">
      <c r="A15" s="58"/>
      <c r="B15" s="60">
        <v>27.5</v>
      </c>
      <c r="C15" s="58">
        <v>525</v>
      </c>
      <c r="D15" s="58">
        <v>0.23</v>
      </c>
      <c r="E15" s="58">
        <v>0.45799999999999996</v>
      </c>
      <c r="F15" s="58">
        <v>0.312</v>
      </c>
      <c r="G15" s="60">
        <v>0.188</v>
      </c>
      <c r="H15" s="60">
        <v>0.28000000000000003</v>
      </c>
      <c r="I15" s="60">
        <v>84</v>
      </c>
      <c r="J15" s="23">
        <f t="shared" si="0"/>
        <v>3.5344E-2</v>
      </c>
      <c r="K15" s="23">
        <f t="shared" si="1"/>
        <v>5.2640000000000006E-2</v>
      </c>
      <c r="L15" s="23">
        <f t="shared" si="2"/>
        <v>1.1749999999999998</v>
      </c>
      <c r="M15" s="23">
        <f t="shared" si="3"/>
        <v>0.82661230507329919</v>
      </c>
    </row>
    <row r="16" spans="1:13" ht="15.75" x14ac:dyDescent="0.25">
      <c r="A16" s="58"/>
      <c r="B16" s="58">
        <v>8.1999999999999993</v>
      </c>
      <c r="C16" s="58">
        <v>550</v>
      </c>
      <c r="D16" s="58">
        <v>0.23800000000000002</v>
      </c>
      <c r="E16" s="58">
        <v>0.47600000000000003</v>
      </c>
      <c r="F16" s="58">
        <v>0.28600000000000003</v>
      </c>
      <c r="G16" s="58">
        <v>0.26100000000000001</v>
      </c>
      <c r="H16" s="58">
        <v>1.19</v>
      </c>
      <c r="I16" s="58">
        <v>77.900000000000006</v>
      </c>
      <c r="J16" s="23">
        <f t="shared" si="0"/>
        <v>6.8121000000000001E-2</v>
      </c>
      <c r="K16" s="23">
        <f t="shared" si="1"/>
        <v>0.31058999999999998</v>
      </c>
      <c r="L16" s="23">
        <f t="shared" si="2"/>
        <v>1.1809954751131224</v>
      </c>
      <c r="M16" s="23">
        <f t="shared" si="3"/>
        <v>1.1475841043836761</v>
      </c>
    </row>
    <row r="17" spans="1:13" ht="15.75" x14ac:dyDescent="0.25">
      <c r="A17" s="58"/>
      <c r="B17" s="58">
        <v>8.3000000000000007</v>
      </c>
      <c r="C17" s="58">
        <v>550</v>
      </c>
      <c r="D17" s="58">
        <v>0.222</v>
      </c>
      <c r="E17" s="58">
        <v>0.44400000000000001</v>
      </c>
      <c r="F17" s="58">
        <v>0.33399999999999996</v>
      </c>
      <c r="G17" s="58">
        <v>0.314</v>
      </c>
      <c r="H17" s="58">
        <v>1.84</v>
      </c>
      <c r="I17" s="58">
        <v>83.4</v>
      </c>
      <c r="J17" s="23">
        <f t="shared" si="0"/>
        <v>9.8596000000000003E-2</v>
      </c>
      <c r="K17" s="23">
        <f t="shared" si="1"/>
        <v>0.57776000000000005</v>
      </c>
      <c r="L17" s="23">
        <f t="shared" si="2"/>
        <v>1.8915662650602418</v>
      </c>
      <c r="M17" s="23">
        <f t="shared" si="3"/>
        <v>1.3806184244309359</v>
      </c>
    </row>
    <row r="18" spans="1:13" ht="15.75" x14ac:dyDescent="0.25">
      <c r="A18" s="58"/>
      <c r="B18" s="60">
        <v>26.3</v>
      </c>
      <c r="C18" s="58">
        <v>550</v>
      </c>
      <c r="D18" s="58">
        <v>0.222</v>
      </c>
      <c r="E18" s="58">
        <v>0.44400000000000001</v>
      </c>
      <c r="F18" s="58">
        <v>0.33399999999999996</v>
      </c>
      <c r="G18" s="60">
        <v>0.29699999999999999</v>
      </c>
      <c r="H18" s="60">
        <v>1.46</v>
      </c>
      <c r="I18" s="60">
        <v>77</v>
      </c>
      <c r="J18" s="23">
        <f t="shared" si="0"/>
        <v>8.8208999999999996E-2</v>
      </c>
      <c r="K18" s="23">
        <f t="shared" si="1"/>
        <v>0.43361999999999995</v>
      </c>
      <c r="L18" s="23">
        <f t="shared" si="2"/>
        <v>1.2913043478260871</v>
      </c>
      <c r="M18" s="23">
        <f t="shared" si="3"/>
        <v>1.3058715670572865</v>
      </c>
    </row>
    <row r="19" spans="1:13" ht="15.75" x14ac:dyDescent="0.25">
      <c r="A19" s="58"/>
      <c r="B19" s="58">
        <v>26.3</v>
      </c>
      <c r="C19" s="58">
        <v>550</v>
      </c>
      <c r="D19" s="58">
        <v>0.23800000000000002</v>
      </c>
      <c r="E19" s="58">
        <v>0.47600000000000003</v>
      </c>
      <c r="F19" s="58">
        <v>0.28600000000000003</v>
      </c>
      <c r="G19" s="58">
        <v>0.3</v>
      </c>
      <c r="H19" s="58">
        <v>1.6</v>
      </c>
      <c r="I19" s="58">
        <v>77.7</v>
      </c>
      <c r="J19" s="23">
        <f t="shared" si="0"/>
        <v>0.09</v>
      </c>
      <c r="K19" s="23">
        <f t="shared" si="1"/>
        <v>0.48</v>
      </c>
      <c r="L19" s="23">
        <f t="shared" si="2"/>
        <v>1.3452914798206279</v>
      </c>
      <c r="M19" s="23">
        <f t="shared" si="3"/>
        <v>1.319062188946754</v>
      </c>
    </row>
    <row r="20" spans="1:13" x14ac:dyDescent="0.25">
      <c r="A20" s="61"/>
      <c r="B20" s="61"/>
      <c r="C20" s="61" t="s">
        <v>441</v>
      </c>
      <c r="D20" s="61"/>
      <c r="E20" s="61"/>
      <c r="F20" s="61"/>
      <c r="G20" s="61"/>
      <c r="H20" s="61"/>
      <c r="I20" s="61"/>
      <c r="J20" s="69">
        <f>SUM(J3:J19)</f>
        <v>1.3592930000000001</v>
      </c>
      <c r="K20" s="69">
        <f>SUM(K3:K19)</f>
        <v>5.9766400000000015</v>
      </c>
    </row>
    <row r="21" spans="1:13" x14ac:dyDescent="0.25">
      <c r="C21" t="s">
        <v>435</v>
      </c>
      <c r="D21" s="64">
        <f>AVERAGE(D3:D19)</f>
        <v>0.22999999999999998</v>
      </c>
      <c r="E21" s="64">
        <f t="shared" ref="E21:F21" si="4">AVERAGE(E3:E19)</f>
        <v>0.45929411764705885</v>
      </c>
      <c r="F21" s="64">
        <f t="shared" si="4"/>
        <v>0.31070588235294105</v>
      </c>
      <c r="G21" s="64">
        <f t="shared" ref="G21:H21" si="5">AVERAGE(G3:G19)</f>
        <v>0.27982352941176469</v>
      </c>
      <c r="H21" s="64">
        <f t="shared" si="5"/>
        <v>1.194294117647059</v>
      </c>
    </row>
    <row r="22" spans="1:13" x14ac:dyDescent="0.25">
      <c r="C22" t="s">
        <v>436</v>
      </c>
      <c r="D22" s="41">
        <f>_xlfn.STDEV.P(D3:D19)</f>
        <v>6.4716576656353294E-3</v>
      </c>
      <c r="E22" s="41">
        <f t="shared" ref="E22:F22" si="6">_xlfn.STDEV.P(E3:E19)</f>
        <v>1.35636395683128E-2</v>
      </c>
      <c r="F22" s="41">
        <f t="shared" si="6"/>
        <v>2.0011069600958206E-2</v>
      </c>
      <c r="G22" s="41">
        <f t="shared" ref="G22:H22" si="7">_xlfn.STDEV.P(G3:G19)</f>
        <v>4.0708772423755896E-2</v>
      </c>
      <c r="H22" s="41">
        <f t="shared" si="7"/>
        <v>0.53414315824019476</v>
      </c>
    </row>
    <row r="23" spans="1:13" x14ac:dyDescent="0.25">
      <c r="C23" t="s">
        <v>437</v>
      </c>
      <c r="D23">
        <f>MIN(D3:D19)</f>
        <v>0.22</v>
      </c>
      <c r="E23">
        <f t="shared" ref="E23:F23" si="8">MIN(E3:E19)</f>
        <v>0.43799999999999994</v>
      </c>
      <c r="F23">
        <f t="shared" si="8"/>
        <v>0.27600000000000002</v>
      </c>
      <c r="G23">
        <f t="shared" ref="G23:H23" si="9">MIN(G3:G19)</f>
        <v>0.188</v>
      </c>
      <c r="H23">
        <f t="shared" si="9"/>
        <v>0.28000000000000003</v>
      </c>
    </row>
    <row r="24" spans="1:13" x14ac:dyDescent="0.25">
      <c r="C24" t="s">
        <v>438</v>
      </c>
      <c r="D24">
        <f>MAX(D3:D19)</f>
        <v>0.24</v>
      </c>
      <c r="E24">
        <f t="shared" ref="E24:F24" si="10">MAX(E3:E19)</f>
        <v>0.48399999999999999</v>
      </c>
      <c r="F24">
        <f t="shared" si="10"/>
        <v>0.34200000000000003</v>
      </c>
      <c r="G24">
        <f t="shared" ref="G24:H24" si="11">MAX(G3:G19)</f>
        <v>0.32600000000000001</v>
      </c>
      <c r="H24">
        <f t="shared" si="11"/>
        <v>2.09</v>
      </c>
    </row>
    <row r="25" spans="1:13" x14ac:dyDescent="0.25">
      <c r="C25" t="s">
        <v>439</v>
      </c>
      <c r="D25">
        <f>D24-D23</f>
        <v>1.999999999999999E-2</v>
      </c>
      <c r="E25">
        <f t="shared" ref="E25:F25" si="12">E24-E23</f>
        <v>4.6000000000000041E-2</v>
      </c>
      <c r="F25">
        <f t="shared" si="12"/>
        <v>6.6000000000000003E-2</v>
      </c>
      <c r="G25">
        <f t="shared" ref="G25" si="13">G24-G23</f>
        <v>0.13800000000000001</v>
      </c>
      <c r="H25">
        <f t="shared" ref="H25" si="14">H24-H23</f>
        <v>1.8099999999999998</v>
      </c>
    </row>
  </sheetData>
  <sortState ref="B3:I19">
    <sortCondition ref="C3:C19"/>
    <sortCondition ref="B3:B19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75" zoomScaleNormal="75" workbookViewId="0">
      <selection activeCell="V1" sqref="A1:V1048576"/>
    </sheetView>
  </sheetViews>
  <sheetFormatPr defaultRowHeight="15" x14ac:dyDescent="0.25"/>
  <cols>
    <col min="13" max="13" width="9.140625" style="23"/>
  </cols>
  <sheetData>
    <row r="1" spans="1:12" x14ac:dyDescent="0.25">
      <c r="I1" s="72" t="s">
        <v>444</v>
      </c>
      <c r="J1" s="73">
        <f>SLOPE(H6:H20,G6:G20)</f>
        <v>10.08577051252586</v>
      </c>
    </row>
    <row r="2" spans="1:12" x14ac:dyDescent="0.25">
      <c r="I2" s="72" t="s">
        <v>445</v>
      </c>
      <c r="J2" s="73">
        <f>INTERCEPT(H6:H20,G6:G20)</f>
        <v>-1.5512520014556057</v>
      </c>
    </row>
    <row r="3" spans="1:12" ht="15.75" thickBot="1" x14ac:dyDescent="0.3">
      <c r="I3" s="72" t="s">
        <v>447</v>
      </c>
      <c r="J3" s="73">
        <f>CORREL(H6:H20,G6:G20)</f>
        <v>0.86540093903389226</v>
      </c>
    </row>
    <row r="4" spans="1:12" ht="15" customHeight="1" thickTop="1" x14ac:dyDescent="0.25">
      <c r="A4" s="65"/>
      <c r="B4" s="65"/>
      <c r="C4" s="65"/>
      <c r="D4" s="65" t="s">
        <v>413</v>
      </c>
      <c r="E4" s="65" t="s">
        <v>433</v>
      </c>
      <c r="F4" s="65" t="s">
        <v>434</v>
      </c>
      <c r="G4" s="62" t="s">
        <v>431</v>
      </c>
      <c r="H4" s="62" t="s">
        <v>432</v>
      </c>
      <c r="I4" s="63" t="s">
        <v>442</v>
      </c>
      <c r="J4" s="62" t="s">
        <v>446</v>
      </c>
    </row>
    <row r="5" spans="1:12" ht="15" customHeight="1" x14ac:dyDescent="0.25">
      <c r="A5" s="59"/>
      <c r="B5" s="59" t="s">
        <v>424</v>
      </c>
      <c r="C5" s="59" t="s">
        <v>426</v>
      </c>
      <c r="D5" s="59" t="s">
        <v>427</v>
      </c>
      <c r="E5" s="59" t="s">
        <v>427</v>
      </c>
      <c r="F5" s="59" t="s">
        <v>427</v>
      </c>
      <c r="G5" s="59" t="s">
        <v>428</v>
      </c>
      <c r="H5" s="59" t="s">
        <v>429</v>
      </c>
      <c r="I5" s="59" t="s">
        <v>430</v>
      </c>
      <c r="J5" s="71" t="s">
        <v>429</v>
      </c>
    </row>
    <row r="6" spans="1:12" ht="15" customHeight="1" x14ac:dyDescent="0.25">
      <c r="A6" s="58"/>
      <c r="B6" s="58">
        <v>7.7</v>
      </c>
      <c r="C6" s="58">
        <v>500</v>
      </c>
      <c r="D6" s="58">
        <v>0.23800000000000002</v>
      </c>
      <c r="E6" s="58">
        <v>0.47600000000000003</v>
      </c>
      <c r="F6" s="58">
        <v>0.28600000000000003</v>
      </c>
      <c r="G6" s="58">
        <v>0.23</v>
      </c>
      <c r="H6" s="58">
        <v>0.64100000000000001</v>
      </c>
      <c r="I6" s="58">
        <v>77.8</v>
      </c>
      <c r="J6" s="23">
        <f>$J$2+$J$1*G6</f>
        <v>0.76847521642534211</v>
      </c>
      <c r="K6" s="60">
        <v>0.188</v>
      </c>
      <c r="L6" s="23">
        <f>$J$2+$J$1*K6</f>
        <v>0.3448728548992559</v>
      </c>
    </row>
    <row r="7" spans="1:12" ht="15" customHeight="1" x14ac:dyDescent="0.25">
      <c r="A7" s="58"/>
      <c r="B7" s="58">
        <v>7.7</v>
      </c>
      <c r="C7" s="58">
        <v>500</v>
      </c>
      <c r="D7" s="58">
        <v>0.222</v>
      </c>
      <c r="E7" s="58">
        <v>0.44400000000000001</v>
      </c>
      <c r="F7" s="58">
        <v>0.33399999999999996</v>
      </c>
      <c r="G7" s="58">
        <v>0.32400000000000001</v>
      </c>
      <c r="H7" s="58">
        <v>1.28</v>
      </c>
      <c r="I7" s="58">
        <v>75.2</v>
      </c>
      <c r="J7" s="23">
        <f t="shared" ref="J7:J20" si="0">$J$2+$J$1*G7</f>
        <v>1.7165376446027731</v>
      </c>
      <c r="K7" s="60">
        <v>0.32600000000000001</v>
      </c>
      <c r="L7" s="23">
        <f>$J$2+$J$1*K7</f>
        <v>1.7367091856278249</v>
      </c>
    </row>
    <row r="8" spans="1:12" ht="15" customHeight="1" x14ac:dyDescent="0.25">
      <c r="A8" s="58"/>
      <c r="B8" s="58">
        <v>28.5</v>
      </c>
      <c r="C8" s="58">
        <v>500</v>
      </c>
      <c r="D8" s="58">
        <v>0.23800000000000002</v>
      </c>
      <c r="E8" s="58">
        <v>0.47600000000000003</v>
      </c>
      <c r="F8" s="58">
        <v>0.28600000000000003</v>
      </c>
      <c r="G8" s="58">
        <v>0.22</v>
      </c>
      <c r="H8" s="58">
        <v>0.63200000000000001</v>
      </c>
      <c r="I8" s="58">
        <v>79.099999999999994</v>
      </c>
      <c r="J8" s="23">
        <f t="shared" si="0"/>
        <v>0.66761751130008351</v>
      </c>
    </row>
    <row r="9" spans="1:12" ht="15" customHeight="1" x14ac:dyDescent="0.25">
      <c r="A9" s="58"/>
      <c r="B9" s="58">
        <v>28.5</v>
      </c>
      <c r="C9" s="58">
        <v>500</v>
      </c>
      <c r="D9" s="58">
        <v>0.222</v>
      </c>
      <c r="E9" s="58">
        <v>0.44400000000000001</v>
      </c>
      <c r="F9" s="58">
        <v>0.33399999999999996</v>
      </c>
      <c r="G9" s="58">
        <v>0.27600000000000002</v>
      </c>
      <c r="H9" s="58">
        <v>1.1000000000000001</v>
      </c>
      <c r="I9" s="58">
        <v>76.900000000000006</v>
      </c>
      <c r="J9" s="23">
        <f t="shared" si="0"/>
        <v>1.2324206600015319</v>
      </c>
    </row>
    <row r="10" spans="1:12" ht="15" customHeight="1" x14ac:dyDescent="0.25">
      <c r="A10" s="58"/>
      <c r="B10" s="60">
        <v>5.9</v>
      </c>
      <c r="C10" s="58">
        <v>525</v>
      </c>
      <c r="D10" s="58">
        <v>0.23</v>
      </c>
      <c r="E10" s="58">
        <v>0.45799999999999996</v>
      </c>
      <c r="F10" s="58">
        <v>0.312</v>
      </c>
      <c r="G10" s="60">
        <v>0.32600000000000001</v>
      </c>
      <c r="H10" s="60">
        <v>2.09</v>
      </c>
      <c r="I10" s="60">
        <v>85</v>
      </c>
      <c r="J10" s="23">
        <f t="shared" si="0"/>
        <v>1.7367091856278249</v>
      </c>
    </row>
    <row r="11" spans="1:12" ht="15" customHeight="1" x14ac:dyDescent="0.25">
      <c r="A11" s="58"/>
      <c r="B11" s="58">
        <v>5.9</v>
      </c>
      <c r="C11" s="58">
        <v>525</v>
      </c>
      <c r="D11" s="58">
        <v>0.23</v>
      </c>
      <c r="E11" s="58">
        <v>0.45799999999999996</v>
      </c>
      <c r="F11" s="58">
        <v>0.312</v>
      </c>
      <c r="G11" s="58">
        <v>0.32600000000000001</v>
      </c>
      <c r="H11" s="58">
        <v>2.09</v>
      </c>
      <c r="I11" s="58">
        <v>76.900000000000006</v>
      </c>
      <c r="J11" s="23">
        <f t="shared" si="0"/>
        <v>1.7367091856278249</v>
      </c>
    </row>
    <row r="12" spans="1:12" ht="15" customHeight="1" x14ac:dyDescent="0.25">
      <c r="A12" s="58"/>
      <c r="B12" s="58">
        <v>18.8</v>
      </c>
      <c r="C12" s="58">
        <v>525</v>
      </c>
      <c r="D12" s="58">
        <v>0.22</v>
      </c>
      <c r="E12" s="58">
        <v>0.43799999999999994</v>
      </c>
      <c r="F12" s="58">
        <v>0.34200000000000003</v>
      </c>
      <c r="G12" s="58">
        <v>0.312</v>
      </c>
      <c r="H12" s="58">
        <v>1.08</v>
      </c>
      <c r="I12" s="58">
        <v>77.900000000000006</v>
      </c>
      <c r="J12" s="23">
        <f t="shared" si="0"/>
        <v>1.5955083984524627</v>
      </c>
    </row>
    <row r="13" spans="1:12" ht="15" customHeight="1" x14ac:dyDescent="0.25">
      <c r="A13" s="58"/>
      <c r="B13" s="58">
        <v>18.8</v>
      </c>
      <c r="C13" s="58">
        <v>525</v>
      </c>
      <c r="D13" s="58">
        <v>0.24</v>
      </c>
      <c r="E13" s="58">
        <v>0.48399999999999999</v>
      </c>
      <c r="F13" s="58">
        <v>0.27600000000000002</v>
      </c>
      <c r="G13" s="58">
        <v>0.23100000000000001</v>
      </c>
      <c r="H13" s="58">
        <v>1.1000000000000001</v>
      </c>
      <c r="I13" s="58">
        <v>80.400000000000006</v>
      </c>
      <c r="J13" s="23">
        <f t="shared" si="0"/>
        <v>0.77856098693786802</v>
      </c>
    </row>
    <row r="14" spans="1:12" ht="15" customHeight="1" x14ac:dyDescent="0.25">
      <c r="A14" s="58"/>
      <c r="B14" s="58">
        <v>18.8</v>
      </c>
      <c r="C14" s="58">
        <v>525</v>
      </c>
      <c r="D14" s="58">
        <v>0.23</v>
      </c>
      <c r="E14" s="58">
        <v>0.45799999999999996</v>
      </c>
      <c r="F14" s="58">
        <v>0.312</v>
      </c>
      <c r="G14" s="58">
        <v>0.3</v>
      </c>
      <c r="H14" s="58">
        <v>1.33</v>
      </c>
      <c r="I14" s="58">
        <v>78.599999999999994</v>
      </c>
      <c r="J14" s="23">
        <f t="shared" si="0"/>
        <v>1.4744791523021523</v>
      </c>
    </row>
    <row r="15" spans="1:12" ht="15" customHeight="1" x14ac:dyDescent="0.25">
      <c r="A15" s="58"/>
      <c r="B15" s="58">
        <v>18.8</v>
      </c>
      <c r="C15" s="58">
        <v>525</v>
      </c>
      <c r="D15" s="58">
        <v>0.23</v>
      </c>
      <c r="E15" s="58">
        <v>0.45799999999999996</v>
      </c>
      <c r="F15" s="58">
        <v>0.312</v>
      </c>
      <c r="G15" s="58">
        <v>0.313</v>
      </c>
      <c r="H15" s="58">
        <v>1.56</v>
      </c>
      <c r="I15" s="58">
        <v>76.900000000000006</v>
      </c>
      <c r="J15" s="23">
        <f t="shared" si="0"/>
        <v>1.6055941689649886</v>
      </c>
    </row>
    <row r="16" spans="1:12" ht="15" customHeight="1" x14ac:dyDescent="0.25">
      <c r="A16" s="58"/>
      <c r="B16" s="60">
        <v>27.5</v>
      </c>
      <c r="C16" s="58">
        <v>525</v>
      </c>
      <c r="D16" s="58">
        <v>0.23</v>
      </c>
      <c r="E16" s="58">
        <v>0.45799999999999996</v>
      </c>
      <c r="F16" s="58">
        <v>0.312</v>
      </c>
      <c r="G16" s="60">
        <v>0.188</v>
      </c>
      <c r="H16" s="60">
        <v>0.28000000000000003</v>
      </c>
      <c r="I16" s="60">
        <v>84</v>
      </c>
      <c r="J16" s="23">
        <f t="shared" si="0"/>
        <v>0.3448728548992559</v>
      </c>
    </row>
    <row r="17" spans="1:11" ht="15" customHeight="1" x14ac:dyDescent="0.25">
      <c r="A17" s="58"/>
      <c r="B17" s="58">
        <v>8.1999999999999993</v>
      </c>
      <c r="C17" s="58">
        <v>550</v>
      </c>
      <c r="D17" s="58">
        <v>0.23800000000000002</v>
      </c>
      <c r="E17" s="58">
        <v>0.47600000000000003</v>
      </c>
      <c r="F17" s="58">
        <v>0.28600000000000003</v>
      </c>
      <c r="G17" s="58">
        <v>0.26100000000000001</v>
      </c>
      <c r="H17" s="58">
        <v>1.19</v>
      </c>
      <c r="I17" s="58">
        <v>77.900000000000006</v>
      </c>
      <c r="J17" s="23">
        <f t="shared" si="0"/>
        <v>1.0811341023136438</v>
      </c>
    </row>
    <row r="18" spans="1:11" ht="15" customHeight="1" x14ac:dyDescent="0.25">
      <c r="A18" s="58"/>
      <c r="B18" s="58">
        <v>8.3000000000000007</v>
      </c>
      <c r="C18" s="58">
        <v>550</v>
      </c>
      <c r="D18" s="58">
        <v>0.222</v>
      </c>
      <c r="E18" s="58">
        <v>0.44400000000000001</v>
      </c>
      <c r="F18" s="58">
        <v>0.33399999999999996</v>
      </c>
      <c r="G18" s="58">
        <v>0.314</v>
      </c>
      <c r="H18" s="58">
        <v>1.84</v>
      </c>
      <c r="I18" s="58">
        <v>83.4</v>
      </c>
      <c r="J18" s="23">
        <f t="shared" si="0"/>
        <v>1.6156799394775145</v>
      </c>
    </row>
    <row r="19" spans="1:11" ht="15" customHeight="1" x14ac:dyDescent="0.25">
      <c r="A19" s="58"/>
      <c r="B19" s="60">
        <v>26.3</v>
      </c>
      <c r="C19" s="58">
        <v>550</v>
      </c>
      <c r="D19" s="58">
        <v>0.222</v>
      </c>
      <c r="E19" s="58">
        <v>0.44400000000000001</v>
      </c>
      <c r="F19" s="58">
        <v>0.33399999999999996</v>
      </c>
      <c r="G19" s="60">
        <v>0.29699999999999999</v>
      </c>
      <c r="H19" s="60">
        <v>1.46</v>
      </c>
      <c r="I19" s="60">
        <v>77</v>
      </c>
      <c r="J19" s="23">
        <f t="shared" si="0"/>
        <v>1.4442218407645746</v>
      </c>
    </row>
    <row r="20" spans="1:11" ht="15" customHeight="1" x14ac:dyDescent="0.25">
      <c r="A20" s="58"/>
      <c r="B20" s="58">
        <v>26.3</v>
      </c>
      <c r="C20" s="58">
        <v>550</v>
      </c>
      <c r="D20" s="58">
        <v>0.23800000000000002</v>
      </c>
      <c r="E20" s="58">
        <v>0.47600000000000003</v>
      </c>
      <c r="F20" s="58">
        <v>0.28600000000000003</v>
      </c>
      <c r="G20" s="58">
        <v>0.3</v>
      </c>
      <c r="H20" s="58">
        <v>1.6</v>
      </c>
      <c r="I20" s="58">
        <v>77.7</v>
      </c>
      <c r="J20" s="23">
        <f t="shared" si="0"/>
        <v>1.4744791523021523</v>
      </c>
    </row>
    <row r="21" spans="1:11" ht="15" customHeight="1" x14ac:dyDescent="0.25">
      <c r="A21" s="61"/>
      <c r="B21" s="61"/>
      <c r="C21" s="61" t="s">
        <v>441</v>
      </c>
      <c r="D21" s="61"/>
      <c r="E21" s="61"/>
      <c r="F21" s="61"/>
      <c r="G21" s="61"/>
      <c r="H21" s="61"/>
      <c r="I21" s="61"/>
    </row>
    <row r="22" spans="1:11" ht="15" customHeight="1" x14ac:dyDescent="0.25">
      <c r="C22" t="s">
        <v>435</v>
      </c>
      <c r="D22" s="64">
        <f>AVERAGE(D6:D20)</f>
        <v>0.23</v>
      </c>
      <c r="E22" s="64">
        <f>AVERAGE(E6:E20)</f>
        <v>0.45946666666666669</v>
      </c>
      <c r="F22" s="64">
        <f>AVERAGE(F6:F20)</f>
        <v>0.31053333333333327</v>
      </c>
      <c r="G22" s="64">
        <f>AVERAGE(G6:G20)</f>
        <v>0.28120000000000006</v>
      </c>
      <c r="H22" s="64">
        <f>AVERAGE(H6:H20)</f>
        <v>1.2848666666666668</v>
      </c>
    </row>
    <row r="23" spans="1:11" ht="15" customHeight="1" x14ac:dyDescent="0.25">
      <c r="C23" t="s">
        <v>436</v>
      </c>
      <c r="D23" s="41">
        <f>_xlfn.STDEV.P(D6:D20)</f>
        <v>6.8896056974740378E-3</v>
      </c>
      <c r="E23" s="41">
        <f>_xlfn.STDEV.P(E6:E20)</f>
        <v>1.4430831191892216E-2</v>
      </c>
      <c r="F23" s="41">
        <f>_xlfn.STDEV.P(F6:F20)</f>
        <v>2.1297469854943366E-2</v>
      </c>
      <c r="G23" s="41">
        <f>_xlfn.STDEV.P(G6:G20)</f>
        <v>4.3086270048202688E-2</v>
      </c>
      <c r="H23" s="41">
        <f>_xlfn.STDEV.P(H6:H20)</f>
        <v>0.50214670720373644</v>
      </c>
    </row>
    <row r="24" spans="1:11" ht="15" customHeight="1" x14ac:dyDescent="0.25">
      <c r="C24" t="s">
        <v>437</v>
      </c>
      <c r="D24">
        <f>MIN(D6:D20)</f>
        <v>0.22</v>
      </c>
      <c r="E24">
        <f>MIN(E6:E20)</f>
        <v>0.43799999999999994</v>
      </c>
      <c r="F24">
        <f>MIN(F6:F20)</f>
        <v>0.27600000000000002</v>
      </c>
      <c r="G24">
        <f>MIN(G6:G20)</f>
        <v>0.188</v>
      </c>
      <c r="H24">
        <f>MIN(H6:H20)</f>
        <v>0.28000000000000003</v>
      </c>
      <c r="K24">
        <v>0.45946666666666669</v>
      </c>
    </row>
    <row r="25" spans="1:11" ht="15" customHeight="1" x14ac:dyDescent="0.25">
      <c r="C25" t="s">
        <v>438</v>
      </c>
      <c r="D25">
        <f>MAX(D6:D20)</f>
        <v>0.24</v>
      </c>
      <c r="E25">
        <f>MAX(E6:E20)</f>
        <v>0.48399999999999999</v>
      </c>
      <c r="F25">
        <f>MAX(F6:F20)</f>
        <v>0.34200000000000003</v>
      </c>
      <c r="G25">
        <f>MAX(G6:G20)</f>
        <v>0.32600000000000001</v>
      </c>
      <c r="H25">
        <f>MAX(H6:H20)</f>
        <v>2.09</v>
      </c>
      <c r="K25">
        <v>0.23</v>
      </c>
    </row>
    <row r="26" spans="1:11" ht="15" customHeight="1" x14ac:dyDescent="0.25">
      <c r="C26" t="s">
        <v>439</v>
      </c>
      <c r="D26">
        <f>D25-D24</f>
        <v>1.999999999999999E-2</v>
      </c>
      <c r="E26">
        <f t="shared" ref="E26:H26" si="1">E25-E24</f>
        <v>4.6000000000000041E-2</v>
      </c>
      <c r="F26">
        <f t="shared" si="1"/>
        <v>6.6000000000000003E-2</v>
      </c>
      <c r="G26">
        <f t="shared" si="1"/>
        <v>0.13800000000000001</v>
      </c>
      <c r="H26">
        <f t="shared" si="1"/>
        <v>1.8099999999999998</v>
      </c>
      <c r="K26">
        <v>0.31053333333333327</v>
      </c>
    </row>
    <row r="27" spans="1:11" ht="15" customHeight="1" x14ac:dyDescent="0.25"/>
    <row r="28" spans="1:11" ht="15" customHeight="1" x14ac:dyDescent="0.25"/>
    <row r="29" spans="1:11" ht="15" customHeight="1" x14ac:dyDescent="0.25"/>
    <row r="30" spans="1:11" ht="15" customHeight="1" x14ac:dyDescent="0.25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Atomic masses</vt:lpstr>
      <vt:lpstr>Calcs</vt:lpstr>
      <vt:lpstr>HxSi2O4+x2</vt:lpstr>
      <vt:lpstr>Formulations</vt:lpstr>
      <vt:lpstr>C1</vt:lpstr>
      <vt:lpstr>C2</vt:lpstr>
      <vt:lpstr>C3</vt:lpstr>
      <vt:lpstr>C3r</vt:lpstr>
      <vt:lpstr>Sheet12</vt:lpstr>
      <vt:lpstr>Strength vs Density</vt:lpstr>
      <vt:lpstr>Qu data</vt:lpstr>
      <vt:lpstr>Density vs composition</vt:lpstr>
      <vt:lpstr>Heating rate</vt:lpstr>
      <vt:lpstr>Density = f(composition)</vt:lpstr>
      <vt:lpstr>Strength = f(composition)</vt:lpstr>
      <vt:lpstr>Density vs Ts</vt:lpstr>
      <vt:lpstr>Density vs HR</vt:lpstr>
      <vt:lpstr>Strength vs Ts</vt:lpstr>
      <vt:lpstr>Strength vs HR</vt:lpstr>
      <vt:lpstr>Composition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Prof. WW Focke</cp:lastModifiedBy>
  <dcterms:created xsi:type="dcterms:W3CDTF">2015-07-05T12:46:25Z</dcterms:created>
  <dcterms:modified xsi:type="dcterms:W3CDTF">2020-06-09T07:03:36Z</dcterms:modified>
</cp:coreProperties>
</file>