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4.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5.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6.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7.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Laptop\Documents\Research docs for upload\"/>
    </mc:Choice>
  </mc:AlternateContent>
  <xr:revisionPtr revIDLastSave="0" documentId="8_{E9000FC6-571C-4BBD-837B-2D1A3B4822FA}" xr6:coauthVersionLast="47" xr6:coauthVersionMax="47" xr10:uidLastSave="{00000000-0000-0000-0000-000000000000}"/>
  <bookViews>
    <workbookView xWindow="28680" yWindow="-120" windowWidth="20730" windowHeight="11160" firstSheet="28" activeTab="31" xr2:uid="{00000000-000D-0000-FFFF-FFFF00000000}"/>
  </bookViews>
  <sheets>
    <sheet name="Wilcoxon" sheetId="83" r:id="rId1"/>
    <sheet name="S-Ambiguity" sheetId="1" r:id="rId2"/>
    <sheet name="Amb.Trend" sheetId="13" r:id="rId3"/>
    <sheet name="Wilcoxon-Frag" sheetId="80" r:id="rId4"/>
    <sheet name="Fragmentation" sheetId="2" r:id="rId5"/>
    <sheet name="Frag. Trend" sheetId="14" r:id="rId6"/>
    <sheet name="Wilcoxon-uncert" sheetId="96" r:id="rId7"/>
    <sheet name="Shared uncertainty" sheetId="3" r:id="rId8"/>
    <sheet name="Uncert. Trend" sheetId="15" r:id="rId9"/>
    <sheet name="Wilcoxon-Contruct" sheetId="100" r:id="rId10"/>
    <sheet name="S-Group Construct" sheetId="4" r:id="rId11"/>
    <sheet name="Constr. Trend" sheetId="16" r:id="rId12"/>
    <sheet name="Wilcoxon-Dialogue" sheetId="99" r:id="rId13"/>
    <sheet name="S-Group Dialogue" sheetId="5" r:id="rId14"/>
    <sheet name="Engage Trend" sheetId="17" r:id="rId15"/>
    <sheet name="Wilcoxon-ConMean" sheetId="98" r:id="rId16"/>
    <sheet name="S-Shared meaning" sheetId="6" r:id="rId17"/>
    <sheet name="Share Trend" sheetId="19" r:id="rId18"/>
    <sheet name="Wilcoxon-Diversity" sheetId="101" r:id="rId19"/>
    <sheet name="S-Group diversity" sheetId="7" r:id="rId20"/>
    <sheet name="Diversity Trend" sheetId="20" r:id="rId21"/>
    <sheet name="Wilcoxon-Ref integory" sheetId="81" r:id="rId22"/>
    <sheet name="S-Ref integrity" sheetId="8" r:id="rId23"/>
    <sheet name="Ref. int. Trend" sheetId="21" r:id="rId24"/>
    <sheet name="Wilcoxon-Relintegrity" sheetId="102" r:id="rId25"/>
    <sheet name="S-Rel integrity" sheetId="9" r:id="rId26"/>
    <sheet name="Rel. int. Trend" sheetId="22" r:id="rId27"/>
    <sheet name="Wilcoxon -hypothesis 1" sheetId="85" r:id="rId28"/>
    <sheet name="Wilcoxon-hypothesis 2" sheetId="95" r:id="rId29"/>
    <sheet name="Baseline Demographics" sheetId="10" r:id="rId30"/>
    <sheet name="Debriefing" sheetId="11" r:id="rId31"/>
    <sheet name="Debriefing (2)" sheetId="103" r:id="rId32"/>
  </sheets>
  <definedNames>
    <definedName name="_xlnm._FilterDatabase" localSheetId="1" hidden="1">'S-Ambiguity'!$B$2:$C$16</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17" i="103" l="1"/>
  <c r="E13" i="103"/>
  <c r="E14" i="103"/>
  <c r="E15" i="103"/>
  <c r="E16" i="103"/>
  <c r="E12" i="103"/>
  <c r="E20" i="103"/>
  <c r="E18" i="103"/>
  <c r="C17" i="103"/>
  <c r="D16" i="103"/>
  <c r="B16" i="103"/>
  <c r="D15" i="103"/>
  <c r="B15" i="103"/>
  <c r="D14" i="103"/>
  <c r="C14" i="103"/>
  <c r="B14" i="103"/>
  <c r="D13" i="103"/>
  <c r="C13" i="103"/>
  <c r="B13" i="103"/>
  <c r="D12" i="103"/>
  <c r="B12" i="103"/>
  <c r="B17" i="103" s="1"/>
  <c r="E19" i="103" l="1"/>
  <c r="E21" i="103" s="1"/>
  <c r="D17" i="103"/>
  <c r="H27" i="95" l="1"/>
  <c r="H26" i="95"/>
  <c r="H23" i="85"/>
  <c r="E16" i="95"/>
  <c r="E17" i="95"/>
  <c r="E18" i="95"/>
  <c r="E19" i="95"/>
  <c r="E20" i="95"/>
  <c r="E21" i="95"/>
  <c r="E22" i="95"/>
  <c r="E23" i="95"/>
  <c r="E24" i="95"/>
  <c r="E15" i="95"/>
  <c r="D16" i="95"/>
  <c r="D17" i="95"/>
  <c r="D18" i="95"/>
  <c r="D19" i="95"/>
  <c r="D20" i="95"/>
  <c r="D21" i="95"/>
  <c r="D22" i="95"/>
  <c r="D23" i="95"/>
  <c r="D24" i="95"/>
  <c r="D15" i="95"/>
  <c r="H11" i="95"/>
  <c r="G11" i="95"/>
  <c r="F11" i="95"/>
  <c r="E3" i="95"/>
  <c r="E4" i="95"/>
  <c r="E5" i="95"/>
  <c r="E6" i="95"/>
  <c r="E7" i="95"/>
  <c r="E8" i="95"/>
  <c r="E9" i="95"/>
  <c r="E10" i="95"/>
  <c r="E11" i="95"/>
  <c r="E2" i="95"/>
  <c r="D3" i="95"/>
  <c r="D4" i="95"/>
  <c r="D5" i="95"/>
  <c r="D6" i="95"/>
  <c r="D7" i="95"/>
  <c r="D8" i="95"/>
  <c r="D9" i="95"/>
  <c r="D10" i="95"/>
  <c r="D11" i="95"/>
  <c r="D2" i="95"/>
  <c r="E3" i="85"/>
  <c r="E4" i="85"/>
  <c r="E5" i="85"/>
  <c r="E6" i="85"/>
  <c r="E7" i="85"/>
  <c r="E8" i="85"/>
  <c r="E9" i="85"/>
  <c r="E10" i="85"/>
  <c r="E11" i="85"/>
  <c r="E2" i="85"/>
  <c r="D3" i="85"/>
  <c r="D4" i="85"/>
  <c r="D5" i="85"/>
  <c r="D6" i="85"/>
  <c r="D7" i="85"/>
  <c r="D8" i="85"/>
  <c r="D9" i="85"/>
  <c r="D10" i="85"/>
  <c r="D11" i="85"/>
  <c r="D2" i="85"/>
  <c r="C17" i="11"/>
  <c r="D17" i="11"/>
  <c r="B17" i="11"/>
  <c r="B12" i="11"/>
  <c r="B13" i="11"/>
  <c r="E20" i="11"/>
  <c r="E19" i="11"/>
  <c r="E18" i="11"/>
  <c r="D16" i="11"/>
  <c r="D15" i="11"/>
  <c r="D14" i="11"/>
  <c r="D13" i="11"/>
  <c r="D12" i="11"/>
  <c r="C13" i="11"/>
  <c r="C14" i="11"/>
  <c r="B16" i="11"/>
  <c r="B15" i="11"/>
  <c r="B14" i="11"/>
  <c r="E15" i="85"/>
  <c r="E16" i="85"/>
  <c r="E17" i="85"/>
  <c r="E18" i="85"/>
  <c r="E19" i="85"/>
  <c r="E20" i="85"/>
  <c r="E21" i="85"/>
  <c r="E22" i="85"/>
  <c r="E23" i="85"/>
  <c r="E14" i="85"/>
  <c r="D15" i="85"/>
  <c r="D16" i="85"/>
  <c r="D17" i="85"/>
  <c r="D18" i="85"/>
  <c r="D19" i="85"/>
  <c r="D20" i="85"/>
  <c r="D21" i="85"/>
  <c r="D22" i="85"/>
  <c r="D23" i="85"/>
  <c r="D14" i="85"/>
  <c r="C13" i="14"/>
  <c r="C14" i="14"/>
  <c r="C16" i="14"/>
  <c r="C17" i="14"/>
  <c r="B13" i="14"/>
  <c r="B14" i="14"/>
  <c r="B16" i="14"/>
  <c r="B17" i="14"/>
  <c r="B15" i="2"/>
  <c r="D3" i="2"/>
  <c r="D4" i="2"/>
  <c r="D5" i="2"/>
  <c r="D6" i="2"/>
  <c r="D7" i="2"/>
  <c r="D8" i="2"/>
  <c r="D9" i="2"/>
  <c r="D10" i="2"/>
  <c r="D11" i="2"/>
  <c r="E21" i="11" l="1"/>
  <c r="F24" i="95"/>
  <c r="G24" i="95" s="1"/>
  <c r="H24" i="95" s="1"/>
  <c r="F23" i="85"/>
  <c r="G23" i="85" s="1"/>
  <c r="F11" i="85"/>
  <c r="G11" i="85" s="1"/>
  <c r="H11" i="85" s="1"/>
  <c r="B15" i="8"/>
  <c r="B14" i="9"/>
  <c r="B14" i="8"/>
  <c r="B14" i="7"/>
  <c r="B14" i="6"/>
  <c r="C16" i="1"/>
  <c r="B18" i="1" s="1"/>
  <c r="H25" i="85" l="1"/>
  <c r="H26" i="85"/>
  <c r="G12" i="1"/>
  <c r="B18" i="13"/>
  <c r="C12" i="1"/>
  <c r="B12" i="1"/>
  <c r="C20" i="2"/>
  <c r="P6" i="1"/>
  <c r="P9" i="1"/>
  <c r="C13" i="1"/>
  <c r="P3" i="1" s="1"/>
  <c r="B14" i="5"/>
  <c r="B13" i="1"/>
  <c r="N2" i="1" s="1"/>
  <c r="P5" i="1" l="1"/>
  <c r="P10" i="1"/>
  <c r="P2" i="1"/>
  <c r="P8" i="1"/>
  <c r="P4" i="1"/>
  <c r="P11" i="1"/>
  <c r="P7" i="1"/>
  <c r="B15" i="9" l="1"/>
  <c r="B15" i="7"/>
  <c r="B15" i="6"/>
  <c r="B15" i="5"/>
  <c r="B15" i="4"/>
  <c r="B15" i="3"/>
  <c r="C13" i="2"/>
  <c r="B13" i="2"/>
  <c r="B15" i="1" l="1"/>
  <c r="C18" i="20" l="1"/>
  <c r="B18" i="20"/>
  <c r="D18" i="19"/>
  <c r="C18" i="19"/>
  <c r="C18" i="16"/>
  <c r="B18" i="16"/>
  <c r="C18" i="15"/>
  <c r="B18" i="15"/>
  <c r="C18" i="14"/>
  <c r="B18" i="14"/>
  <c r="R11" i="9"/>
  <c r="R10" i="9"/>
  <c r="R9" i="9"/>
  <c r="R8" i="9"/>
  <c r="R7" i="9"/>
  <c r="R6" i="9"/>
  <c r="R5" i="9"/>
  <c r="R4" i="9"/>
  <c r="R3" i="9"/>
  <c r="R2" i="9"/>
  <c r="C12" i="9"/>
  <c r="B12" i="9"/>
  <c r="N2" i="9" s="1"/>
  <c r="O2" i="9" s="1"/>
  <c r="R11" i="8"/>
  <c r="R10" i="8"/>
  <c r="R9" i="8"/>
  <c r="R8" i="8"/>
  <c r="R7" i="8"/>
  <c r="R6" i="8"/>
  <c r="R5" i="8"/>
  <c r="R4" i="8"/>
  <c r="R3" i="8"/>
  <c r="R2" i="8"/>
  <c r="C12" i="8"/>
  <c r="B12" i="8"/>
  <c r="R11" i="7"/>
  <c r="R10" i="7"/>
  <c r="R9" i="7"/>
  <c r="R8" i="7"/>
  <c r="R7" i="7"/>
  <c r="R6" i="7"/>
  <c r="R5" i="7"/>
  <c r="R4" i="7"/>
  <c r="R3" i="7"/>
  <c r="R2" i="7"/>
  <c r="C12" i="7"/>
  <c r="B12" i="7"/>
  <c r="R11" i="6"/>
  <c r="R10" i="6"/>
  <c r="R9" i="6"/>
  <c r="R8" i="6"/>
  <c r="R7" i="6"/>
  <c r="R6" i="6"/>
  <c r="R5" i="6"/>
  <c r="R4" i="6"/>
  <c r="R3" i="6"/>
  <c r="R2" i="6"/>
  <c r="C12" i="6"/>
  <c r="B12" i="6"/>
  <c r="R11" i="5"/>
  <c r="R10" i="5"/>
  <c r="R9" i="5"/>
  <c r="R8" i="5"/>
  <c r="R7" i="5"/>
  <c r="R6" i="5"/>
  <c r="R5" i="5"/>
  <c r="R4" i="5"/>
  <c r="R3" i="5"/>
  <c r="R2" i="5"/>
  <c r="C12" i="5"/>
  <c r="B12" i="5"/>
  <c r="R11" i="4"/>
  <c r="R10" i="4"/>
  <c r="R9" i="4"/>
  <c r="R8" i="4"/>
  <c r="R7" i="4"/>
  <c r="R6" i="4"/>
  <c r="R5" i="4"/>
  <c r="R4" i="4"/>
  <c r="R3" i="4"/>
  <c r="R2" i="4"/>
  <c r="C12" i="4"/>
  <c r="B12" i="4"/>
  <c r="R11" i="3"/>
  <c r="R10" i="3"/>
  <c r="R9" i="3"/>
  <c r="R8" i="3"/>
  <c r="R7" i="3"/>
  <c r="R6" i="3"/>
  <c r="R5" i="3"/>
  <c r="R4" i="3"/>
  <c r="R3" i="3"/>
  <c r="R2" i="3"/>
  <c r="C12" i="3"/>
  <c r="B12" i="3"/>
  <c r="C12" i="2"/>
  <c r="B12" i="2"/>
  <c r="B21" i="2" s="1"/>
  <c r="R11" i="2"/>
  <c r="R10" i="2"/>
  <c r="R9" i="2"/>
  <c r="R8" i="2"/>
  <c r="R7" i="2"/>
  <c r="R6" i="2"/>
  <c r="R5" i="2"/>
  <c r="R4" i="2"/>
  <c r="R3" i="2"/>
  <c r="R2" i="2"/>
  <c r="R3" i="1"/>
  <c r="R4" i="1"/>
  <c r="R5" i="1"/>
  <c r="R6" i="1"/>
  <c r="R7" i="1"/>
  <c r="R8" i="1"/>
  <c r="R9" i="1"/>
  <c r="R10" i="1"/>
  <c r="R11" i="1"/>
  <c r="R2" i="1"/>
  <c r="S12" i="8" l="1"/>
  <c r="S12" i="3"/>
  <c r="S12" i="1"/>
  <c r="R12" i="1"/>
  <c r="S12" i="9"/>
  <c r="R12" i="9"/>
  <c r="R12" i="8"/>
  <c r="S12" i="7"/>
  <c r="R12" i="7"/>
  <c r="S12" i="6"/>
  <c r="R12" i="6"/>
  <c r="R12" i="5"/>
  <c r="S12" i="5"/>
  <c r="S12" i="4"/>
  <c r="R12" i="4"/>
  <c r="R12" i="3"/>
  <c r="R12" i="2"/>
  <c r="S12" i="2"/>
  <c r="B14" i="4"/>
  <c r="B14" i="3"/>
  <c r="K22" i="10"/>
  <c r="K21" i="10"/>
  <c r="K20" i="10"/>
  <c r="I21" i="10"/>
  <c r="I20" i="10"/>
  <c r="F26" i="10"/>
  <c r="F25" i="10"/>
  <c r="F24" i="10"/>
  <c r="F23" i="10"/>
  <c r="F22" i="10"/>
  <c r="F21" i="10"/>
  <c r="F20" i="10"/>
  <c r="D22" i="10"/>
  <c r="D21" i="10"/>
  <c r="D20" i="10"/>
  <c r="B22" i="10"/>
  <c r="B21" i="10"/>
  <c r="B20" i="10"/>
  <c r="E3" i="9"/>
  <c r="E4" i="9"/>
  <c r="E5" i="9"/>
  <c r="E6" i="9"/>
  <c r="E7" i="9"/>
  <c r="E8" i="9"/>
  <c r="E9" i="9"/>
  <c r="E10" i="9"/>
  <c r="E11" i="9"/>
  <c r="E2" i="9"/>
  <c r="D3" i="9"/>
  <c r="D4" i="9"/>
  <c r="D5" i="9"/>
  <c r="D6" i="9"/>
  <c r="D7" i="9"/>
  <c r="D8" i="9"/>
  <c r="D9" i="9"/>
  <c r="D10" i="9"/>
  <c r="D11" i="9"/>
  <c r="D2" i="9"/>
  <c r="E3" i="8"/>
  <c r="E4" i="8"/>
  <c r="E5" i="8"/>
  <c r="E6" i="8"/>
  <c r="E7" i="8"/>
  <c r="E8" i="8"/>
  <c r="E9" i="8"/>
  <c r="E10" i="8"/>
  <c r="E11" i="8"/>
  <c r="E2" i="8"/>
  <c r="D3" i="8"/>
  <c r="D4" i="8"/>
  <c r="D5" i="8"/>
  <c r="D6" i="8"/>
  <c r="D7" i="8"/>
  <c r="D8" i="8"/>
  <c r="D9" i="8"/>
  <c r="D10" i="8"/>
  <c r="D11" i="8"/>
  <c r="D2" i="8"/>
  <c r="E3" i="7"/>
  <c r="E4" i="7"/>
  <c r="E5" i="7"/>
  <c r="E6" i="7"/>
  <c r="E7" i="7"/>
  <c r="E8" i="7"/>
  <c r="E9" i="7"/>
  <c r="E10" i="7"/>
  <c r="E11" i="7"/>
  <c r="E2" i="7"/>
  <c r="D3" i="7"/>
  <c r="D4" i="7"/>
  <c r="D5" i="7"/>
  <c r="D6" i="7"/>
  <c r="D7" i="7"/>
  <c r="D8" i="7"/>
  <c r="D9" i="7"/>
  <c r="D10" i="7"/>
  <c r="D11" i="7"/>
  <c r="D2" i="7"/>
  <c r="E3" i="6"/>
  <c r="E4" i="6"/>
  <c r="E5" i="6"/>
  <c r="E6" i="6"/>
  <c r="E7" i="6"/>
  <c r="E8" i="6"/>
  <c r="E9" i="6"/>
  <c r="E10" i="6"/>
  <c r="E11" i="6"/>
  <c r="E2" i="6"/>
  <c r="D3" i="6"/>
  <c r="D4" i="6"/>
  <c r="D5" i="6"/>
  <c r="D6" i="6"/>
  <c r="D7" i="6"/>
  <c r="D8" i="6"/>
  <c r="D9" i="6"/>
  <c r="D10" i="6"/>
  <c r="D11" i="6"/>
  <c r="D2" i="6"/>
  <c r="E3" i="5"/>
  <c r="E4" i="5"/>
  <c r="E5" i="5"/>
  <c r="E6" i="5"/>
  <c r="E7" i="5"/>
  <c r="E8" i="5"/>
  <c r="E9" i="5"/>
  <c r="E10" i="5"/>
  <c r="E11" i="5"/>
  <c r="E2" i="5"/>
  <c r="D3" i="5"/>
  <c r="D4" i="5"/>
  <c r="D5" i="5"/>
  <c r="D6" i="5"/>
  <c r="D7" i="5"/>
  <c r="D8" i="5"/>
  <c r="D9" i="5"/>
  <c r="D10" i="5"/>
  <c r="D11" i="5"/>
  <c r="D2" i="5"/>
  <c r="D3" i="4"/>
  <c r="D4" i="4"/>
  <c r="D5" i="4"/>
  <c r="D6" i="4"/>
  <c r="D7" i="4"/>
  <c r="D8" i="4"/>
  <c r="D9" i="4"/>
  <c r="D10" i="4"/>
  <c r="D11" i="4"/>
  <c r="E3" i="4"/>
  <c r="E4" i="4"/>
  <c r="E5" i="4"/>
  <c r="E6" i="4"/>
  <c r="E7" i="4"/>
  <c r="E8" i="4"/>
  <c r="E9" i="4"/>
  <c r="E10" i="4"/>
  <c r="E11" i="4"/>
  <c r="E2" i="4"/>
  <c r="D2" i="4"/>
  <c r="E3" i="3"/>
  <c r="E4" i="3"/>
  <c r="E5" i="3"/>
  <c r="E6" i="3"/>
  <c r="E7" i="3"/>
  <c r="E8" i="3"/>
  <c r="E9" i="3"/>
  <c r="E10" i="3"/>
  <c r="E11" i="3"/>
  <c r="E2" i="3"/>
  <c r="D3" i="3"/>
  <c r="D4" i="3"/>
  <c r="D5" i="3"/>
  <c r="D6" i="3"/>
  <c r="D7" i="3"/>
  <c r="D8" i="3"/>
  <c r="D9" i="3"/>
  <c r="D10" i="3"/>
  <c r="D11" i="3"/>
  <c r="D2" i="3"/>
  <c r="E3" i="1"/>
  <c r="E4" i="1"/>
  <c r="E5" i="1"/>
  <c r="E6" i="1"/>
  <c r="E7" i="1"/>
  <c r="E8" i="1"/>
  <c r="E9" i="1"/>
  <c r="E10" i="1"/>
  <c r="E11" i="1"/>
  <c r="D3" i="1"/>
  <c r="F3" i="1" s="1"/>
  <c r="G3" i="1" s="1"/>
  <c r="D4" i="1"/>
  <c r="F4" i="1" s="1"/>
  <c r="G4" i="1" s="1"/>
  <c r="D5" i="1"/>
  <c r="F5" i="1" s="1"/>
  <c r="G5" i="1" s="1"/>
  <c r="D6" i="1"/>
  <c r="D7" i="1"/>
  <c r="F7" i="1" s="1"/>
  <c r="G7" i="1" s="1"/>
  <c r="D8" i="1"/>
  <c r="F8" i="1" s="1"/>
  <c r="G8" i="1" s="1"/>
  <c r="D9" i="1"/>
  <c r="F9" i="1" s="1"/>
  <c r="G9" i="1" s="1"/>
  <c r="D10" i="1"/>
  <c r="D11" i="1"/>
  <c r="F11" i="1" s="1"/>
  <c r="G11" i="1" s="1"/>
  <c r="E3" i="2"/>
  <c r="E4" i="2"/>
  <c r="E5" i="2"/>
  <c r="E6" i="2"/>
  <c r="E7" i="2"/>
  <c r="E8" i="2"/>
  <c r="E9" i="2"/>
  <c r="E10" i="2"/>
  <c r="E11" i="2"/>
  <c r="E2" i="2"/>
  <c r="D2" i="2"/>
  <c r="B14" i="2"/>
  <c r="B14" i="1"/>
  <c r="B17" i="1"/>
  <c r="E2" i="1"/>
  <c r="D2" i="1"/>
  <c r="F2" i="1" s="1"/>
  <c r="G2" i="1" s="1"/>
  <c r="C17" i="22"/>
  <c r="B17" i="22"/>
  <c r="C16" i="22"/>
  <c r="B16" i="22"/>
  <c r="C15" i="22"/>
  <c r="B15" i="22"/>
  <c r="C14" i="22"/>
  <c r="B14" i="22"/>
  <c r="C13" i="22"/>
  <c r="B13" i="22"/>
  <c r="C17" i="21"/>
  <c r="B17" i="21"/>
  <c r="C16" i="21"/>
  <c r="B16" i="21"/>
  <c r="C15" i="21"/>
  <c r="B15" i="21"/>
  <c r="C14" i="21"/>
  <c r="B14" i="21"/>
  <c r="C13" i="21"/>
  <c r="B13" i="21"/>
  <c r="C17" i="20"/>
  <c r="B17" i="20"/>
  <c r="C16" i="20"/>
  <c r="B16" i="20"/>
  <c r="C15" i="20"/>
  <c r="B15" i="20"/>
  <c r="C14" i="20"/>
  <c r="B14" i="20"/>
  <c r="C13" i="20"/>
  <c r="B13" i="20"/>
  <c r="D17" i="19"/>
  <c r="C17" i="19"/>
  <c r="D16" i="19"/>
  <c r="C16" i="19"/>
  <c r="D15" i="19"/>
  <c r="C15" i="19"/>
  <c r="D14" i="19"/>
  <c r="C14" i="19"/>
  <c r="D13" i="19"/>
  <c r="C13" i="19"/>
  <c r="C18" i="17"/>
  <c r="B18" i="17"/>
  <c r="C17" i="17"/>
  <c r="B17" i="17"/>
  <c r="C16" i="17"/>
  <c r="B16" i="17"/>
  <c r="C15" i="17"/>
  <c r="B15" i="17"/>
  <c r="C14" i="17"/>
  <c r="B14" i="17"/>
  <c r="C13" i="17"/>
  <c r="B13" i="17"/>
  <c r="C17" i="16"/>
  <c r="B17" i="16"/>
  <c r="C16" i="16"/>
  <c r="B16" i="16"/>
  <c r="C15" i="16"/>
  <c r="B15" i="16"/>
  <c r="C14" i="16"/>
  <c r="B14" i="16"/>
  <c r="C13" i="16"/>
  <c r="B13" i="16"/>
  <c r="B16" i="15"/>
  <c r="C17" i="15"/>
  <c r="B17" i="15"/>
  <c r="C16" i="15"/>
  <c r="C15" i="15"/>
  <c r="B15" i="15"/>
  <c r="C14" i="15"/>
  <c r="B14" i="15"/>
  <c r="C13" i="15"/>
  <c r="B13" i="15"/>
  <c r="C15" i="14"/>
  <c r="B15" i="14"/>
  <c r="B15" i="13"/>
  <c r="B17" i="13"/>
  <c r="B16" i="13"/>
  <c r="B14" i="13"/>
  <c r="B13" i="13"/>
  <c r="C17" i="13"/>
  <c r="C16" i="13"/>
  <c r="C15" i="13"/>
  <c r="C14" i="13"/>
  <c r="C13" i="13"/>
  <c r="B19" i="9"/>
  <c r="B19" i="8"/>
  <c r="B19" i="7"/>
  <c r="B19" i="6"/>
  <c r="B19" i="5"/>
  <c r="B19" i="4"/>
  <c r="B19" i="3"/>
  <c r="B19" i="2"/>
  <c r="C13" i="9"/>
  <c r="B13" i="9"/>
  <c r="C13" i="8"/>
  <c r="B13" i="8"/>
  <c r="C13" i="7"/>
  <c r="B13" i="7"/>
  <c r="C13" i="6"/>
  <c r="B13" i="6"/>
  <c r="B13" i="5"/>
  <c r="C13" i="4"/>
  <c r="B13" i="4"/>
  <c r="C13" i="3"/>
  <c r="B13" i="3"/>
  <c r="P4" i="4" l="1"/>
  <c r="P8" i="4"/>
  <c r="Q8" i="4" s="1"/>
  <c r="P2" i="4"/>
  <c r="Q2" i="4" s="1"/>
  <c r="P5" i="4"/>
  <c r="Q5" i="4" s="1"/>
  <c r="P9" i="4"/>
  <c r="P6" i="4"/>
  <c r="Q6" i="4" s="1"/>
  <c r="P10" i="4"/>
  <c r="Q10" i="4" s="1"/>
  <c r="P3" i="4"/>
  <c r="Q3" i="4" s="1"/>
  <c r="P7" i="4"/>
  <c r="Q7" i="4" s="1"/>
  <c r="P11" i="4"/>
  <c r="Q11" i="4" s="1"/>
  <c r="F10" i="1"/>
  <c r="G10" i="1" s="1"/>
  <c r="F6" i="1"/>
  <c r="G6" i="1" s="1"/>
  <c r="G18" i="1"/>
  <c r="F19" i="1"/>
  <c r="B16" i="1"/>
  <c r="P6" i="9"/>
  <c r="Q6" i="9" s="1"/>
  <c r="P4" i="9"/>
  <c r="Q4" i="9" s="1"/>
  <c r="P3" i="9"/>
  <c r="Q3" i="9" s="1"/>
  <c r="P9" i="9"/>
  <c r="Q9" i="9" s="1"/>
  <c r="P10" i="9"/>
  <c r="Q10" i="9" s="1"/>
  <c r="P8" i="9"/>
  <c r="Q8" i="9" s="1"/>
  <c r="P7" i="9"/>
  <c r="Q7" i="9" s="1"/>
  <c r="P2" i="9"/>
  <c r="Q2" i="9" s="1"/>
  <c r="P11" i="9"/>
  <c r="Q11" i="9" s="1"/>
  <c r="P5" i="9"/>
  <c r="Q5" i="9" s="1"/>
  <c r="N3" i="9"/>
  <c r="O3" i="9" s="1"/>
  <c r="N7" i="9"/>
  <c r="O7" i="9" s="1"/>
  <c r="N11" i="9"/>
  <c r="O11" i="9" s="1"/>
  <c r="N10" i="9"/>
  <c r="O10" i="9" s="1"/>
  <c r="N4" i="9"/>
  <c r="O4" i="9" s="1"/>
  <c r="N8" i="9"/>
  <c r="O8" i="9" s="1"/>
  <c r="N6" i="9"/>
  <c r="O6" i="9" s="1"/>
  <c r="N5" i="9"/>
  <c r="O5" i="9" s="1"/>
  <c r="N9" i="9"/>
  <c r="O9" i="9" s="1"/>
  <c r="N11" i="8"/>
  <c r="O11" i="8" s="1"/>
  <c r="N4" i="8"/>
  <c r="O4" i="8" s="1"/>
  <c r="N3" i="8"/>
  <c r="O3" i="8" s="1"/>
  <c r="N8" i="8"/>
  <c r="O8" i="8" s="1"/>
  <c r="N7" i="8"/>
  <c r="O7" i="8" s="1"/>
  <c r="N10" i="8"/>
  <c r="O10" i="8" s="1"/>
  <c r="N9" i="8"/>
  <c r="O9" i="8" s="1"/>
  <c r="N2" i="8"/>
  <c r="O2" i="8" s="1"/>
  <c r="N6" i="8"/>
  <c r="O6" i="8" s="1"/>
  <c r="N5" i="8"/>
  <c r="O5" i="8" s="1"/>
  <c r="P6" i="8"/>
  <c r="Q6" i="8" s="1"/>
  <c r="P10" i="8"/>
  <c r="Q10" i="8" s="1"/>
  <c r="P2" i="8"/>
  <c r="Q2" i="8" s="1"/>
  <c r="P11" i="8"/>
  <c r="Q11" i="8" s="1"/>
  <c r="P5" i="8"/>
  <c r="Q5" i="8" s="1"/>
  <c r="P4" i="8"/>
  <c r="Q4" i="8" s="1"/>
  <c r="P3" i="8"/>
  <c r="Q3" i="8" s="1"/>
  <c r="P9" i="8"/>
  <c r="Q9" i="8" s="1"/>
  <c r="P8" i="8"/>
  <c r="Q8" i="8" s="1"/>
  <c r="P7" i="8"/>
  <c r="Q7" i="8" s="1"/>
  <c r="P9" i="7"/>
  <c r="Q9" i="7" s="1"/>
  <c r="P8" i="7"/>
  <c r="Q8" i="7" s="1"/>
  <c r="P7" i="7"/>
  <c r="Q7" i="7" s="1"/>
  <c r="P10" i="7"/>
  <c r="Q10" i="7" s="1"/>
  <c r="P2" i="7"/>
  <c r="Q2" i="7" s="1"/>
  <c r="P11" i="7"/>
  <c r="Q11" i="7" s="1"/>
  <c r="P5" i="7"/>
  <c r="Q5" i="7" s="1"/>
  <c r="P4" i="7"/>
  <c r="Q4" i="7" s="1"/>
  <c r="P3" i="7"/>
  <c r="Q3" i="7" s="1"/>
  <c r="P6" i="7"/>
  <c r="Q6" i="7" s="1"/>
  <c r="N6" i="7"/>
  <c r="O6" i="7" s="1"/>
  <c r="N5" i="7"/>
  <c r="O5" i="7" s="1"/>
  <c r="N8" i="7"/>
  <c r="O8" i="7" s="1"/>
  <c r="N7" i="7"/>
  <c r="O7" i="7" s="1"/>
  <c r="N10" i="7"/>
  <c r="O10" i="7" s="1"/>
  <c r="N9" i="7"/>
  <c r="O9" i="7" s="1"/>
  <c r="N2" i="7"/>
  <c r="O2" i="7" s="1"/>
  <c r="N11" i="7"/>
  <c r="O11" i="7" s="1"/>
  <c r="N4" i="7"/>
  <c r="O4" i="7" s="1"/>
  <c r="N3" i="7"/>
  <c r="O3" i="7" s="1"/>
  <c r="N8" i="6"/>
  <c r="O8" i="6" s="1"/>
  <c r="N7" i="6"/>
  <c r="O7" i="6" s="1"/>
  <c r="N10" i="6"/>
  <c r="O10" i="6" s="1"/>
  <c r="N9" i="6"/>
  <c r="O9" i="6" s="1"/>
  <c r="N2" i="6"/>
  <c r="O2" i="6" s="1"/>
  <c r="N11" i="6"/>
  <c r="O11" i="6" s="1"/>
  <c r="N4" i="6"/>
  <c r="O4" i="6" s="1"/>
  <c r="N3" i="6"/>
  <c r="O3" i="6" s="1"/>
  <c r="N6" i="6"/>
  <c r="O6" i="6" s="1"/>
  <c r="N5" i="6"/>
  <c r="O5" i="6" s="1"/>
  <c r="P10" i="6"/>
  <c r="Q10" i="6" s="1"/>
  <c r="P2" i="6"/>
  <c r="Q2" i="6" s="1"/>
  <c r="P11" i="6"/>
  <c r="Q11" i="6" s="1"/>
  <c r="P5" i="6"/>
  <c r="Q5" i="6" s="1"/>
  <c r="P4" i="6"/>
  <c r="Q4" i="6" s="1"/>
  <c r="P3" i="6"/>
  <c r="Q3" i="6" s="1"/>
  <c r="P6" i="6"/>
  <c r="Q6" i="6" s="1"/>
  <c r="P9" i="6"/>
  <c r="Q9" i="6" s="1"/>
  <c r="P8" i="6"/>
  <c r="Q8" i="6" s="1"/>
  <c r="P7" i="6"/>
  <c r="Q7" i="6" s="1"/>
  <c r="P11" i="5"/>
  <c r="Q11" i="5" s="1"/>
  <c r="P10" i="5"/>
  <c r="Q10" i="5" s="1"/>
  <c r="P9" i="5"/>
  <c r="Q9" i="5" s="1"/>
  <c r="P8" i="5"/>
  <c r="Q8" i="5" s="1"/>
  <c r="P7" i="5"/>
  <c r="Q7" i="5" s="1"/>
  <c r="P6" i="5"/>
  <c r="Q6" i="5" s="1"/>
  <c r="P5" i="5"/>
  <c r="Q5" i="5" s="1"/>
  <c r="P4" i="5"/>
  <c r="Q4" i="5" s="1"/>
  <c r="P3" i="5"/>
  <c r="Q3" i="5" s="1"/>
  <c r="P2" i="5"/>
  <c r="Q2" i="5" s="1"/>
  <c r="N10" i="5"/>
  <c r="O10" i="5" s="1"/>
  <c r="N8" i="5"/>
  <c r="O8" i="5" s="1"/>
  <c r="N6" i="5"/>
  <c r="O6" i="5" s="1"/>
  <c r="N4" i="5"/>
  <c r="O4" i="5" s="1"/>
  <c r="N2" i="5"/>
  <c r="O2" i="5" s="1"/>
  <c r="N11" i="5"/>
  <c r="O11" i="5" s="1"/>
  <c r="N9" i="5"/>
  <c r="O9" i="5" s="1"/>
  <c r="N7" i="5"/>
  <c r="O7" i="5" s="1"/>
  <c r="N5" i="5"/>
  <c r="O5" i="5" s="1"/>
  <c r="N3" i="5"/>
  <c r="O3" i="5" s="1"/>
  <c r="N11" i="4"/>
  <c r="O11" i="4" s="1"/>
  <c r="N10" i="4"/>
  <c r="O10" i="4" s="1"/>
  <c r="N8" i="4"/>
  <c r="O8" i="4" s="1"/>
  <c r="N6" i="4"/>
  <c r="O6" i="4" s="1"/>
  <c r="N4" i="4"/>
  <c r="O4" i="4" s="1"/>
  <c r="N2" i="4"/>
  <c r="O2" i="4" s="1"/>
  <c r="N9" i="4"/>
  <c r="O9" i="4" s="1"/>
  <c r="N7" i="4"/>
  <c r="O7" i="4" s="1"/>
  <c r="N5" i="4"/>
  <c r="O5" i="4" s="1"/>
  <c r="N3" i="4"/>
  <c r="O3" i="4" s="1"/>
  <c r="Q9" i="4"/>
  <c r="Q4" i="4"/>
  <c r="N11" i="3"/>
  <c r="O11" i="3" s="1"/>
  <c r="N4" i="3"/>
  <c r="O4" i="3" s="1"/>
  <c r="N3" i="3"/>
  <c r="O3" i="3" s="1"/>
  <c r="N7" i="3"/>
  <c r="O7" i="3" s="1"/>
  <c r="N10" i="3"/>
  <c r="O10" i="3" s="1"/>
  <c r="N9" i="3"/>
  <c r="O9" i="3" s="1"/>
  <c r="N6" i="3"/>
  <c r="O6" i="3" s="1"/>
  <c r="N5" i="3"/>
  <c r="O5" i="3" s="1"/>
  <c r="N8" i="3"/>
  <c r="O8" i="3" s="1"/>
  <c r="N2" i="3"/>
  <c r="O2" i="3" s="1"/>
  <c r="P6" i="3"/>
  <c r="Q6" i="3" s="1"/>
  <c r="P5" i="3"/>
  <c r="Q5" i="3" s="1"/>
  <c r="P3" i="3"/>
  <c r="Q3" i="3" s="1"/>
  <c r="P9" i="3"/>
  <c r="Q9" i="3" s="1"/>
  <c r="P8" i="3"/>
  <c r="Q8" i="3" s="1"/>
  <c r="P7" i="3"/>
  <c r="Q7" i="3" s="1"/>
  <c r="P10" i="3"/>
  <c r="Q10" i="3" s="1"/>
  <c r="P2" i="3"/>
  <c r="Q2" i="3" s="1"/>
  <c r="P11" i="3"/>
  <c r="Q11" i="3" s="1"/>
  <c r="P4" i="3"/>
  <c r="Q4" i="3" s="1"/>
  <c r="B19" i="1"/>
  <c r="N7" i="2"/>
  <c r="O7" i="2" s="1"/>
  <c r="N8" i="2"/>
  <c r="O8" i="2" s="1"/>
  <c r="N2" i="2"/>
  <c r="O2" i="2" s="1"/>
  <c r="N10" i="2"/>
  <c r="O10" i="2" s="1"/>
  <c r="N9" i="2"/>
  <c r="O9" i="2" s="1"/>
  <c r="N4" i="2"/>
  <c r="O4" i="2" s="1"/>
  <c r="N3" i="2"/>
  <c r="O3" i="2" s="1"/>
  <c r="N11" i="2"/>
  <c r="O11" i="2" s="1"/>
  <c r="N6" i="2"/>
  <c r="O6" i="2" s="1"/>
  <c r="N5" i="2"/>
  <c r="O5" i="2" s="1"/>
  <c r="B16" i="9"/>
  <c r="C16" i="9" s="1"/>
  <c r="B18" i="9" s="1"/>
  <c r="B16" i="7"/>
  <c r="C16" i="7" s="1"/>
  <c r="B18" i="7" s="1"/>
  <c r="B16" i="6"/>
  <c r="C16" i="6" s="1"/>
  <c r="B18" i="6" s="1"/>
  <c r="B16" i="5"/>
  <c r="C16" i="5" s="1"/>
  <c r="B18" i="5" s="1"/>
  <c r="B16" i="4"/>
  <c r="C16" i="4" s="1"/>
  <c r="B18" i="4" s="1"/>
  <c r="B16" i="3"/>
  <c r="C16" i="3" s="1"/>
  <c r="B18" i="3" s="1"/>
  <c r="B16" i="2"/>
  <c r="C16" i="2" s="1"/>
  <c r="B18" i="2" s="1"/>
  <c r="B16" i="8"/>
  <c r="C16" i="8" s="1"/>
  <c r="B18" i="8" s="1"/>
  <c r="C20" i="9" l="1"/>
  <c r="B21" i="8"/>
  <c r="B21" i="9"/>
  <c r="C20" i="8"/>
  <c r="B21" i="7"/>
  <c r="C20" i="7"/>
  <c r="C20" i="6"/>
  <c r="B21" i="6"/>
  <c r="B21" i="5"/>
  <c r="C20" i="5"/>
  <c r="B21" i="4"/>
  <c r="C20" i="4"/>
  <c r="C20" i="3"/>
  <c r="B21" i="3"/>
  <c r="P9" i="2"/>
  <c r="Q9" i="2" s="1"/>
  <c r="P8" i="2"/>
  <c r="Q8" i="2" s="1"/>
  <c r="P2" i="2"/>
  <c r="Q2" i="2" s="1"/>
  <c r="P10" i="2"/>
  <c r="Q10" i="2" s="1"/>
  <c r="P5" i="2"/>
  <c r="Q5" i="2" s="1"/>
  <c r="P4" i="2"/>
  <c r="Q4" i="2" s="1"/>
  <c r="P3" i="2"/>
  <c r="Q3" i="2" s="1"/>
  <c r="P11" i="2"/>
  <c r="Q11" i="2" s="1"/>
  <c r="P6" i="2"/>
  <c r="Q6" i="2" s="1"/>
  <c r="P7" i="2"/>
  <c r="Q7" i="2" s="1"/>
  <c r="Q4" i="1"/>
  <c r="Q8" i="1"/>
  <c r="Q2" i="1"/>
  <c r="Q5" i="1"/>
  <c r="Q9" i="1"/>
  <c r="Q6" i="1"/>
  <c r="Q10" i="1"/>
  <c r="Q3" i="1"/>
  <c r="Q7" i="1"/>
  <c r="Q11" i="1"/>
  <c r="N10" i="1"/>
  <c r="O10" i="1" s="1"/>
  <c r="N3" i="1"/>
  <c r="O3" i="1" s="1"/>
  <c r="N7" i="1"/>
  <c r="O7" i="1" s="1"/>
  <c r="N11" i="1"/>
  <c r="O11" i="1" s="1"/>
  <c r="N4" i="1"/>
  <c r="O4" i="1" s="1"/>
  <c r="N8" i="1"/>
  <c r="O8" i="1" s="1"/>
  <c r="O2" i="1"/>
  <c r="N5" i="1"/>
  <c r="O5" i="1" s="1"/>
  <c r="N9" i="1"/>
  <c r="O9" i="1" s="1"/>
  <c r="N6" i="1"/>
  <c r="O6" i="1" s="1"/>
</calcChain>
</file>

<file path=xl/sharedStrings.xml><?xml version="1.0" encoding="utf-8"?>
<sst xmlns="http://schemas.openxmlformats.org/spreadsheetml/2006/main" count="765" uniqueCount="271">
  <si>
    <t>Q1</t>
  </si>
  <si>
    <t>Q2</t>
  </si>
  <si>
    <t>Q3</t>
  </si>
  <si>
    <t>Q4</t>
  </si>
  <si>
    <t>Q5</t>
  </si>
  <si>
    <t/>
  </si>
  <si>
    <t xml:space="preserve">Creating more common understanding between individuals creates a safe environment. Individuals who feel safe perform better and their work are of higher quality
</t>
  </si>
  <si>
    <t>Product creation - Without context new product creations/concepts can be difficult to get across to other participants.</t>
  </si>
  <si>
    <t>In business, it will help make create awareness to people about the preconceived ideas that the commonly used tools such as UML diagrams, Use Case, etc. in requirements the gathering processes are not necessarily interpreted or understood the same way by everyone.</t>
  </si>
  <si>
    <t>Yes it can be applied, as it will help any learner to acquire the new skills and knowledge. Ability to grow and develop and enhance the learners understanding and make concepts more relateable.</t>
  </si>
  <si>
    <t xml:space="preserve">Could be used anywhere a complex problem is being described </t>
  </si>
  <si>
    <t>In a formal setting, contextualisation is usually provided to an extent to the individuals involved throughout a communicative situation. However, this could be beneficial in more informal settings or when new approaches should be considered.</t>
  </si>
  <si>
    <t>The theory is confined to a given context, but the context was not sufficiently clear, therefore the effectiveness of the interventions was not optimal, imho.
It sounds like it may be useful in a number, or even any, scenario where a common understanding, and adoption, of a process is required by a group of affected people. The reason being that issues of unexpected misunderstanding / non-compliance / poor adoption within a group are often caused by the phenomenon of "being separated by a common language". i.e. because all in the group have an understanding the language or communication aid/artefact and nod in acknowledgement, does not mean that they have a common interpretation. The mechanism which applies the theory will have to be adapted to the particular area/discipline of course.</t>
  </si>
  <si>
    <t>COMMENTS</t>
  </si>
  <si>
    <t>Q3_9_TEXT</t>
  </si>
  <si>
    <t>Please, indicate your functional unit</t>
  </si>
  <si>
    <t>What is your operational role?</t>
  </si>
  <si>
    <t>What is your functional position? - Selected Choice</t>
  </si>
  <si>
    <t>What is your functional position? - Other (Please specify) - Text</t>
  </si>
  <si>
    <t>Please, indicate your level of expertise in your Functional position (self assessed)</t>
  </si>
  <si>
    <t>How many years have you been in this position?</t>
  </si>
  <si>
    <t>2</t>
  </si>
  <si>
    <t>3</t>
  </si>
  <si>
    <t>Development Manager</t>
  </si>
  <si>
    <t>1</t>
  </si>
  <si>
    <t>Administrator</t>
  </si>
  <si>
    <r>
      <t>Coefficient (r</t>
    </r>
    <r>
      <rPr>
        <sz val="8"/>
        <color indexed="8"/>
        <rFont val="Calibri"/>
        <family val="2"/>
        <scheme val="minor"/>
      </rPr>
      <t>s</t>
    </r>
    <r>
      <rPr>
        <sz val="11"/>
        <color indexed="8"/>
        <rFont val="Calibri"/>
        <family val="2"/>
        <scheme val="minor"/>
      </rPr>
      <t>):</t>
    </r>
  </si>
  <si>
    <t>n:</t>
  </si>
  <si>
    <t>DF:</t>
  </si>
  <si>
    <t>Q1: Prestest</t>
  </si>
  <si>
    <t>Q1: Posttest</t>
  </si>
  <si>
    <t>Q2: Posttest</t>
  </si>
  <si>
    <t>Q2: Prestest</t>
  </si>
  <si>
    <t>Q3: Posttest</t>
  </si>
  <si>
    <t>Q3: Prestest</t>
  </si>
  <si>
    <t>Q4: Posttest</t>
  </si>
  <si>
    <t>Q4: Prestest</t>
  </si>
  <si>
    <t>Average</t>
  </si>
  <si>
    <t>Q6: Posttest</t>
  </si>
  <si>
    <t>Q6: Prestest</t>
  </si>
  <si>
    <t>Q7: Posttest</t>
  </si>
  <si>
    <t>Q7: Prestest</t>
  </si>
  <si>
    <t>Q8: Posttest</t>
  </si>
  <si>
    <t>Q8: Prestest</t>
  </si>
  <si>
    <t>Q9: Posttest</t>
  </si>
  <si>
    <t>Q9: Prestest</t>
  </si>
  <si>
    <t>Strongly Agree</t>
  </si>
  <si>
    <t>Somewhat Agree</t>
  </si>
  <si>
    <t>Neutral</t>
  </si>
  <si>
    <t>Strongly Disagree</t>
  </si>
  <si>
    <t>Somewhat Disagree</t>
  </si>
  <si>
    <t>Pretest</t>
  </si>
  <si>
    <t>Posttest</t>
  </si>
  <si>
    <t>Mean</t>
  </si>
  <si>
    <t>A great deal</t>
  </si>
  <si>
    <t>A lot</t>
  </si>
  <si>
    <t>A moderate amount</t>
  </si>
  <si>
    <t>A little</t>
  </si>
  <si>
    <t>None at all</t>
  </si>
  <si>
    <t>Far above average</t>
  </si>
  <si>
    <t>Somewhat above average</t>
  </si>
  <si>
    <t>Somewhat below average</t>
  </si>
  <si>
    <t>Far below average</t>
  </si>
  <si>
    <t>Much higher</t>
  </si>
  <si>
    <t>Slightly higher</t>
  </si>
  <si>
    <t>About the same</t>
  </si>
  <si>
    <t>Slightly lower</t>
  </si>
  <si>
    <t>Much lower</t>
  </si>
  <si>
    <t>Deviation</t>
  </si>
  <si>
    <t>Analytical</t>
  </si>
  <si>
    <t>Technical</t>
  </si>
  <si>
    <t>Management</t>
  </si>
  <si>
    <t>User</t>
  </si>
  <si>
    <t>Analyst</t>
  </si>
  <si>
    <t>Developer</t>
  </si>
  <si>
    <t>Product Owner</t>
  </si>
  <si>
    <t>Team Leader</t>
  </si>
  <si>
    <t>Team Member</t>
  </si>
  <si>
    <t>Systems Developer</t>
  </si>
  <si>
    <t>Systems Architect</t>
  </si>
  <si>
    <t>1 to 5</t>
  </si>
  <si>
    <t>5 to 10</t>
  </si>
  <si>
    <t>&gt; 10</t>
  </si>
  <si>
    <t>Business Analyst/Architect</t>
  </si>
  <si>
    <t>Other: Management</t>
  </si>
  <si>
    <t>&lt; 10 years</t>
  </si>
  <si>
    <t>&gt; 10 years</t>
  </si>
  <si>
    <t>Std. Deviation</t>
  </si>
  <si>
    <t>Srd. Deviation</t>
  </si>
  <si>
    <t>Sd. Deviation</t>
  </si>
  <si>
    <t>(u) Pretest</t>
  </si>
  <si>
    <t>(u) Posttest</t>
  </si>
  <si>
    <t>Variable mean</t>
  </si>
  <si>
    <t>0,44±0,22</t>
  </si>
  <si>
    <t>0,49±0,20</t>
  </si>
  <si>
    <t>1,41±0,37</t>
  </si>
  <si>
    <t>0,56±0,21</t>
  </si>
  <si>
    <t>0,16±0,13</t>
  </si>
  <si>
    <t>0,45±0,22</t>
  </si>
  <si>
    <t>0,41±0,21</t>
  </si>
  <si>
    <t>1,20±0,37</t>
  </si>
  <si>
    <t>Q5: Posttest</t>
  </si>
  <si>
    <t>Q5: Prestest</t>
  </si>
  <si>
    <t>Coefficient of Determination</t>
  </si>
  <si>
    <t>n</t>
  </si>
  <si>
    <t>d</t>
  </si>
  <si>
    <r>
      <t>d</t>
    </r>
    <r>
      <rPr>
        <vertAlign val="superscript"/>
        <sz val="11"/>
        <color indexed="8"/>
        <rFont val="Calibri"/>
        <family val="2"/>
        <scheme val="minor"/>
      </rPr>
      <t>2</t>
    </r>
  </si>
  <si>
    <t>p-value</t>
  </si>
  <si>
    <t>Total</t>
  </si>
  <si>
    <t>df (degrees of freedom)</t>
  </si>
  <si>
    <r>
      <t>Coefficient of Determination (R</t>
    </r>
    <r>
      <rPr>
        <vertAlign val="superscript"/>
        <sz val="11"/>
        <color indexed="8"/>
        <rFont val="Calibri"/>
        <family val="2"/>
        <scheme val="minor"/>
      </rPr>
      <t>2</t>
    </r>
    <r>
      <rPr>
        <sz val="11"/>
        <color indexed="8"/>
        <rFont val="Calibri"/>
        <family val="2"/>
        <scheme val="minor"/>
      </rPr>
      <t>)</t>
    </r>
  </si>
  <si>
    <t>N</t>
  </si>
  <si>
    <r>
      <t>2,19</t>
    </r>
    <r>
      <rPr>
        <sz val="11"/>
        <color indexed="8"/>
        <rFont val="Calibri"/>
        <family val="2"/>
      </rPr>
      <t>±0,25</t>
    </r>
  </si>
  <si>
    <t>1,30±0,40</t>
  </si>
  <si>
    <t>2,43±0,36</t>
  </si>
  <si>
    <t>1,01±0,23</t>
  </si>
  <si>
    <t>1,02±0,16</t>
  </si>
  <si>
    <t>1,02±0,41</t>
  </si>
  <si>
    <t>rank ave</t>
  </si>
  <si>
    <t>Minimum</t>
  </si>
  <si>
    <t>Maximum</t>
  </si>
  <si>
    <t>Dataset A</t>
  </si>
  <si>
    <t>Dataset B</t>
  </si>
  <si>
    <t>Dataset C</t>
  </si>
  <si>
    <t>Ranks</t>
  </si>
  <si>
    <t>Mean Rank</t>
  </si>
  <si>
    <t>Sum of Ranks</t>
  </si>
  <si>
    <t>Negative Ranks</t>
  </si>
  <si>
    <t>Positive Ranks</t>
  </si>
  <si>
    <t>Ties</t>
  </si>
  <si>
    <r>
      <t>3</t>
    </r>
    <r>
      <rPr>
        <vertAlign val="superscript"/>
        <sz val="9"/>
        <color indexed="60"/>
        <rFont val="Arial"/>
        <family val="2"/>
      </rPr>
      <t>a</t>
    </r>
  </si>
  <si>
    <t>Test Statisticsa</t>
  </si>
  <si>
    <t>Z</t>
  </si>
  <si>
    <t>Asymp. Sig. (2-tailed)</t>
  </si>
  <si>
    <t>a Wilcoxon Signed Ranks Test</t>
  </si>
  <si>
    <t>a. Wilcoxon Signed Ranks Test</t>
  </si>
  <si>
    <r>
      <t>Test Statistics</t>
    </r>
    <r>
      <rPr>
        <b/>
        <vertAlign val="superscript"/>
        <sz val="11"/>
        <color indexed="60"/>
        <rFont val="Arial Bold"/>
      </rPr>
      <t>a</t>
    </r>
  </si>
  <si>
    <r>
      <t>1</t>
    </r>
    <r>
      <rPr>
        <vertAlign val="superscript"/>
        <sz val="9"/>
        <color indexed="60"/>
        <rFont val="Arial"/>
        <family val="2"/>
      </rPr>
      <t>a</t>
    </r>
  </si>
  <si>
    <t>posttest Q8 - pretest Q8</t>
  </si>
  <si>
    <r>
      <t>6</t>
    </r>
    <r>
      <rPr>
        <vertAlign val="superscript"/>
        <sz val="9"/>
        <color indexed="60"/>
        <rFont val="Arial"/>
        <family val="2"/>
      </rPr>
      <t>b</t>
    </r>
  </si>
  <si>
    <r>
      <t>3</t>
    </r>
    <r>
      <rPr>
        <vertAlign val="superscript"/>
        <sz val="9"/>
        <color indexed="60"/>
        <rFont val="Arial"/>
        <family val="2"/>
      </rPr>
      <t>c</t>
    </r>
  </si>
  <si>
    <t>b Based on negative ranks.</t>
  </si>
  <si>
    <t>b. Based on negative ranks.</t>
  </si>
  <si>
    <r>
      <t>-1.897</t>
    </r>
    <r>
      <rPr>
        <vertAlign val="superscript"/>
        <sz val="9"/>
        <color indexed="60"/>
        <rFont val="Arial"/>
        <family val="2"/>
      </rPr>
      <t>b</t>
    </r>
  </si>
  <si>
    <r>
      <t>1</t>
    </r>
    <r>
      <rPr>
        <vertAlign val="superscript"/>
        <sz val="9"/>
        <color indexed="60"/>
        <rFont val="Arial"/>
        <family val="2"/>
      </rPr>
      <t>c</t>
    </r>
  </si>
  <si>
    <t>1,3±0,3</t>
  </si>
  <si>
    <t>1,3±0,5</t>
  </si>
  <si>
    <t>1,1±0,3</t>
  </si>
  <si>
    <r>
      <t>2</t>
    </r>
    <r>
      <rPr>
        <vertAlign val="superscript"/>
        <sz val="9"/>
        <color indexed="60"/>
        <rFont val="Arial"/>
        <family val="2"/>
      </rPr>
      <t>c</t>
    </r>
  </si>
  <si>
    <r>
      <t>-1.852</t>
    </r>
    <r>
      <rPr>
        <vertAlign val="superscript"/>
        <sz val="9"/>
        <color indexed="60"/>
        <rFont val="Arial"/>
        <family val="2"/>
      </rPr>
      <t>b</t>
    </r>
  </si>
  <si>
    <r>
      <t>2</t>
    </r>
    <r>
      <rPr>
        <vertAlign val="superscript"/>
        <sz val="9"/>
        <color indexed="60"/>
        <rFont val="Arial"/>
        <family val="2"/>
      </rPr>
      <t>a</t>
    </r>
  </si>
  <si>
    <r>
      <t>8</t>
    </r>
    <r>
      <rPr>
        <vertAlign val="superscript"/>
        <sz val="9"/>
        <color indexed="60"/>
        <rFont val="Arial"/>
        <family val="2"/>
      </rPr>
      <t>b</t>
    </r>
  </si>
  <si>
    <r>
      <t>0</t>
    </r>
    <r>
      <rPr>
        <vertAlign val="superscript"/>
        <sz val="9"/>
        <color indexed="60"/>
        <rFont val="Arial"/>
        <family val="2"/>
      </rPr>
      <t>c</t>
    </r>
  </si>
  <si>
    <t>-2.064b</t>
  </si>
  <si>
    <t>.039</t>
  </si>
  <si>
    <r>
      <t>-2.215</t>
    </r>
    <r>
      <rPr>
        <vertAlign val="superscript"/>
        <sz val="9"/>
        <color indexed="60"/>
        <rFont val="Arial"/>
        <family val="2"/>
      </rPr>
      <t>b</t>
    </r>
  </si>
  <si>
    <r>
      <t>-1.983</t>
    </r>
    <r>
      <rPr>
        <vertAlign val="superscript"/>
        <sz val="9"/>
        <color indexed="60"/>
        <rFont val="Arial"/>
        <family val="2"/>
      </rPr>
      <t>b</t>
    </r>
  </si>
  <si>
    <r>
      <t>-2.456</t>
    </r>
    <r>
      <rPr>
        <vertAlign val="superscript"/>
        <sz val="9"/>
        <color indexed="60"/>
        <rFont val="Arial"/>
        <family val="2"/>
      </rPr>
      <t>b</t>
    </r>
  </si>
  <si>
    <r>
      <t>-1.127</t>
    </r>
    <r>
      <rPr>
        <vertAlign val="superscript"/>
        <sz val="9"/>
        <color indexed="60"/>
        <rFont val="Arial"/>
        <family val="2"/>
      </rPr>
      <t>b</t>
    </r>
  </si>
  <si>
    <r>
      <t>5</t>
    </r>
    <r>
      <rPr>
        <vertAlign val="superscript"/>
        <sz val="9"/>
        <color indexed="60"/>
        <rFont val="Arial"/>
        <family val="2"/>
      </rPr>
      <t>b</t>
    </r>
  </si>
  <si>
    <r>
      <t>-1.265</t>
    </r>
    <r>
      <rPr>
        <vertAlign val="superscript"/>
        <sz val="9"/>
        <color indexed="60"/>
        <rFont val="Arial"/>
        <family val="2"/>
      </rPr>
      <t>b</t>
    </r>
  </si>
  <si>
    <r>
      <t>4</t>
    </r>
    <r>
      <rPr>
        <vertAlign val="superscript"/>
        <sz val="9"/>
        <color indexed="60"/>
        <rFont val="Arial"/>
        <family val="2"/>
      </rPr>
      <t>b</t>
    </r>
  </si>
  <si>
    <r>
      <t>5</t>
    </r>
    <r>
      <rPr>
        <vertAlign val="superscript"/>
        <sz val="9"/>
        <color indexed="60"/>
        <rFont val="Arial"/>
        <family val="2"/>
      </rPr>
      <t>c</t>
    </r>
  </si>
  <si>
    <r>
      <t>-1.414</t>
    </r>
    <r>
      <rPr>
        <vertAlign val="superscript"/>
        <sz val="9"/>
        <color indexed="60"/>
        <rFont val="Arial"/>
        <family val="2"/>
      </rPr>
      <t>b</t>
    </r>
  </si>
  <si>
    <r>
      <t>-1.734</t>
    </r>
    <r>
      <rPr>
        <vertAlign val="superscript"/>
        <sz val="9"/>
        <color indexed="60"/>
        <rFont val="Arial"/>
        <family val="2"/>
      </rPr>
      <t>b</t>
    </r>
  </si>
  <si>
    <t>Descriptive Statistics</t>
  </si>
  <si>
    <t>Fragmentation preintervention</t>
  </si>
  <si>
    <t>Fragmentation postintervention</t>
  </si>
  <si>
    <t>Fragmentation postintervention - Fragmentation preintervention</t>
  </si>
  <si>
    <t>Ambiguity postintervention</t>
  </si>
  <si>
    <t>Ambiguity preintervention</t>
  </si>
  <si>
    <t>Ambiguity postintervention - Ambiguity preintervention</t>
  </si>
  <si>
    <t>Uncertainty postintervention - Uncertainty preintervention</t>
  </si>
  <si>
    <t>a. Uncertainty postintervention &lt; Uncertainty preintervention</t>
  </si>
  <si>
    <t>b. Uncertainty postintervention &gt; Uncertainty preintervention</t>
  </si>
  <si>
    <t>c. Uncertainty postintervention = Uncertainty preintervention</t>
  </si>
  <si>
    <t>Uncertainty preintervention</t>
  </si>
  <si>
    <t>Uncertainty postintervention</t>
  </si>
  <si>
    <t>Dialogue preintervention</t>
  </si>
  <si>
    <t>Dialogue postintervention</t>
  </si>
  <si>
    <t>Dialogue postintervention - Dialogue preintervention</t>
  </si>
  <si>
    <t>Context meaning postintervention - Context meaning preintervention</t>
  </si>
  <si>
    <t>a. Context meaning postintervention &lt; Context meaning preintervention</t>
  </si>
  <si>
    <t>b. Context meaning postintervention &gt; Context meaning preintervention</t>
  </si>
  <si>
    <t>c. Context meaning postintervention = Context meaning preintervention</t>
  </si>
  <si>
    <t>Context meaning preintervention</t>
  </si>
  <si>
    <t>Context meaning postintervention</t>
  </si>
  <si>
    <r>
      <t>0</t>
    </r>
    <r>
      <rPr>
        <vertAlign val="superscript"/>
        <sz val="9"/>
        <color indexed="60"/>
        <rFont val="Arial"/>
        <family val="2"/>
      </rPr>
      <t>a</t>
    </r>
  </si>
  <si>
    <r>
      <t>7</t>
    </r>
    <r>
      <rPr>
        <vertAlign val="superscript"/>
        <sz val="9"/>
        <color indexed="60"/>
        <rFont val="Arial"/>
        <family val="2"/>
      </rPr>
      <t>b</t>
    </r>
  </si>
  <si>
    <t>a. Dialogue postintervention &lt; Dialogue preintervention</t>
  </si>
  <si>
    <t>b. Dialogue postintervention &gt; Dialogue preintervention</t>
  </si>
  <si>
    <t>c. Dialogue postintervention = Dialogue preintervention</t>
  </si>
  <si>
    <t>Construct postintervention - Construct preintervention</t>
  </si>
  <si>
    <t>a. Construct postintervention &lt; Construct preintervention</t>
  </si>
  <si>
    <t>b. Construct postintervention &gt; Construct preintervention</t>
  </si>
  <si>
    <t>c. Construct postintervention = Construct preintervention</t>
  </si>
  <si>
    <t>Construct preintervention</t>
  </si>
  <si>
    <t>Construct postintervention</t>
  </si>
  <si>
    <t>Diversity postintervention - Diversity preintervention</t>
  </si>
  <si>
    <t>a. Diversity postintervention &lt; Diversity preintervention</t>
  </si>
  <si>
    <t>b. Diversity postintervention &gt; Diversity preintervention</t>
  </si>
  <si>
    <t>c. Diversity postintervention = Diversity preintervention</t>
  </si>
  <si>
    <t>LoRef preintervention</t>
  </si>
  <si>
    <t>LoRef postintervention</t>
  </si>
  <si>
    <t>LoRef postintervention - LoRef preintervention</t>
  </si>
  <si>
    <t>LoRel postintervention - LoRel preintervention</t>
  </si>
  <si>
    <t>a. LoRel postintervention &lt; LoRel preintervention</t>
  </si>
  <si>
    <t>b. LoRel postintervention &gt; LoRel preintervention</t>
  </si>
  <si>
    <t>c. LoRel postintervention = LoRel preintervention</t>
  </si>
  <si>
    <r>
      <t>-2.640</t>
    </r>
    <r>
      <rPr>
        <vertAlign val="superscript"/>
        <sz val="9"/>
        <color indexed="60"/>
        <rFont val="Arial"/>
        <family val="2"/>
      </rPr>
      <t>b</t>
    </r>
  </si>
  <si>
    <t>Definitely not</t>
  </si>
  <si>
    <t>Probably not</t>
  </si>
  <si>
    <t>Undecided</t>
  </si>
  <si>
    <t>Probably yes</t>
  </si>
  <si>
    <t>Definitely yes</t>
  </si>
  <si>
    <t>Single movement</t>
  </si>
  <si>
    <t>Equal</t>
  </si>
  <si>
    <t>Double movement</t>
  </si>
  <si>
    <t>encourage dialogue and interpretation</t>
  </si>
  <si>
    <t>everyday language improved the problem</t>
  </si>
  <si>
    <t>most successful movement</t>
  </si>
  <si>
    <t>achieve affective meaning-making</t>
  </si>
  <si>
    <t>Rank Average</t>
  </si>
  <si>
    <t>Diversity preintervention</t>
  </si>
  <si>
    <t>Diversity postintervention</t>
  </si>
  <si>
    <r>
      <t>4</t>
    </r>
    <r>
      <rPr>
        <vertAlign val="superscript"/>
        <sz val="9"/>
        <color indexed="60"/>
        <rFont val="Arial"/>
        <family val="2"/>
      </rPr>
      <t>c</t>
    </r>
  </si>
  <si>
    <r>
      <t>-1.633</t>
    </r>
    <r>
      <rPr>
        <vertAlign val="superscript"/>
        <sz val="9"/>
        <color indexed="60"/>
        <rFont val="Arial"/>
        <family val="2"/>
      </rPr>
      <t>b</t>
    </r>
  </si>
  <si>
    <r>
      <t>-1.582</t>
    </r>
    <r>
      <rPr>
        <vertAlign val="superscript"/>
        <sz val="9"/>
        <color indexed="60"/>
        <rFont val="Arial"/>
        <family val="2"/>
      </rPr>
      <t>b</t>
    </r>
  </si>
  <si>
    <t>Median</t>
  </si>
  <si>
    <t>% Change</t>
  </si>
  <si>
    <t>posttest Q2 - pretest Q2</t>
  </si>
  <si>
    <t>a. Fragmentation postintervention Q2 &lt; Fragmentation preintervention Q2</t>
  </si>
  <si>
    <t>b. Fragmentation postintervention Q2 &gt; Fragmentation preintervention Q2</t>
  </si>
  <si>
    <t>c. Fragmentation postintervention Q2 = Fragmentation preintervention Q2</t>
  </si>
  <si>
    <t>a. Ambiguity postintervention Q1 &lt; Ambiguity preintervention Q1</t>
  </si>
  <si>
    <t>b. Ambiguity postintervention Q1 &gt; Ambiguity preintevention Q1</t>
  </si>
  <si>
    <t>c. Ambiguity postintervention Q1 = Ambiguity preintervention Q1</t>
  </si>
  <si>
    <t>a. LoRef postintervention &lt; LoRef preintervention</t>
  </si>
  <si>
    <t>b. LoRef postintervention &gt; LoRef preintervention</t>
  </si>
  <si>
    <t>c. LoRef postintervention = LoRef preintervention</t>
  </si>
  <si>
    <t xml:space="preserve">a. LoRef postintervention  &lt; Ambiguity postintervention </t>
  </si>
  <si>
    <t xml:space="preserve">b. LoRef postintervention  &gt; Ambiguity postintervention </t>
  </si>
  <si>
    <t xml:space="preserve">c. LoRef postintervention  = Ambiguity postintervention </t>
  </si>
  <si>
    <t xml:space="preserve">LoRef postintervention  - Ambiguity postintervention </t>
  </si>
  <si>
    <t>a.LoRef preintervention &lt; Ambiguity preintervention</t>
  </si>
  <si>
    <t>b. LoRef preintervention &gt; Ambiguity preintervention</t>
  </si>
  <si>
    <t>c. LoRef preintervention = Ambiguity preintervention</t>
  </si>
  <si>
    <t>LoRef preintervention - Ambiguity preintervention</t>
  </si>
  <si>
    <t>LoRef preintervention  - Ambiguity preintervention</t>
  </si>
  <si>
    <t xml:space="preserve">Fragmentation postintervention  - LoRel postintervention </t>
  </si>
  <si>
    <t xml:space="preserve">a. Fragmentation postintervention  &lt; LoRel postintervention </t>
  </si>
  <si>
    <t xml:space="preserve">b. Fragmentation postintervention  &gt;LoRel postintervention </t>
  </si>
  <si>
    <t xml:space="preserve">c. Fragmentation postintervention  = LoRel postintervention </t>
  </si>
  <si>
    <t>Fragmentation preintervention  - LoRel preintervention</t>
  </si>
  <si>
    <t>a. Fragmentation preintervention  &lt; LoRel preintervention</t>
  </si>
  <si>
    <t>b. Fragmentation preintervention  &gt; LoRel preintervention</t>
  </si>
  <si>
    <t>c. Fragmentation preintervention  = LoRel preintervention</t>
  </si>
  <si>
    <t>Directional Measures</t>
  </si>
  <si>
    <t>Value</t>
  </si>
  <si>
    <t>Approximate Significance</t>
  </si>
  <si>
    <t>Ordinal by Ordinal</t>
  </si>
  <si>
    <t>Somers' d</t>
  </si>
  <si>
    <t>Symmetric</t>
  </si>
  <si>
    <t>Q1 posttest Dependent</t>
  </si>
  <si>
    <t>Q8 posttest Dependent</t>
  </si>
  <si>
    <t>a. Not assuming the null hypothesis.</t>
  </si>
  <si>
    <t>b. Using the asymptotic standard error assuming the null hypothesis.</t>
  </si>
  <si>
    <r>
      <t>Asymptotic Standard Error</t>
    </r>
    <r>
      <rPr>
        <vertAlign val="superscript"/>
        <sz val="9"/>
        <color indexed="62"/>
        <rFont val="Arial"/>
        <family val="2"/>
      </rPr>
      <t>a</t>
    </r>
  </si>
  <si>
    <r>
      <t>Approximate T</t>
    </r>
    <r>
      <rPr>
        <vertAlign val="superscript"/>
        <sz val="9"/>
        <color indexed="62"/>
        <rFont val="Arial"/>
        <family val="2"/>
      </rPr>
      <t>b</t>
    </r>
  </si>
  <si>
    <t>Q1 pretest Dependent</t>
  </si>
  <si>
    <t>Q8 pretest Dependent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</si>
</sst>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000"/>
    <numFmt numFmtId="166" formatCode="###0.000"/>
    <numFmt numFmtId="167" formatCode="###0"/>
    <numFmt numFmtId="168" formatCode="###0.00"/>
    <numFmt numFmtId="169" formatCode="###0.0000"/>
    <numFmt numFmtId="170" formatCode="###0.00000"/>
  </numFmts>
  <fonts count="16" x14ac:knownFonts="1">
    <font>
      <sz val="11"/>
      <color indexed="8"/>
      <name val="Calibri"/>
      <family val="2"/>
      <scheme val="minor"/>
    </font>
    <font>
      <b/>
      <sz val="11"/>
      <color indexed="8"/>
      <name val="Calibri"/>
      <family val="2"/>
      <scheme val="minor"/>
    </font>
    <font>
      <sz val="11"/>
      <color indexed="8"/>
      <name val="Calibri"/>
      <family val="2"/>
      <scheme val="minor"/>
    </font>
    <font>
      <sz val="8"/>
      <color indexed="8"/>
      <name val="Calibri"/>
      <family val="2"/>
      <scheme val="minor"/>
    </font>
    <font>
      <b/>
      <sz val="11"/>
      <color rgb="FF222222"/>
      <name val="Calibri"/>
      <family val="2"/>
      <scheme val="minor"/>
    </font>
    <font>
      <sz val="8"/>
      <name val="Calibri"/>
      <family val="2"/>
      <scheme val="minor"/>
    </font>
    <font>
      <sz val="11"/>
      <color indexed="8"/>
      <name val="Calibri"/>
      <family val="2"/>
    </font>
    <font>
      <vertAlign val="superscript"/>
      <sz val="11"/>
      <color indexed="8"/>
      <name val="Calibri"/>
      <family val="2"/>
      <scheme val="minor"/>
    </font>
    <font>
      <i/>
      <sz val="11"/>
      <color indexed="8"/>
      <name val="Calibri"/>
      <family val="2"/>
      <scheme val="minor"/>
    </font>
    <font>
      <sz val="10"/>
      <name val="Arial"/>
      <family val="2"/>
    </font>
    <font>
      <b/>
      <sz val="11"/>
      <color indexed="60"/>
      <name val="Arial Bold"/>
    </font>
    <font>
      <sz val="9"/>
      <color indexed="62"/>
      <name val="Arial"/>
      <family val="2"/>
    </font>
    <font>
      <sz val="9"/>
      <color indexed="60"/>
      <name val="Arial"/>
      <family val="2"/>
    </font>
    <font>
      <vertAlign val="superscript"/>
      <sz val="9"/>
      <color indexed="60"/>
      <name val="Arial"/>
      <family val="2"/>
    </font>
    <font>
      <b/>
      <vertAlign val="superscript"/>
      <sz val="11"/>
      <color indexed="60"/>
      <name val="Arial Bold"/>
    </font>
    <font>
      <vertAlign val="superscript"/>
      <sz val="9"/>
      <color indexed="62"/>
      <name val="Arial"/>
      <family val="2"/>
    </font>
  </fonts>
  <fills count="9">
    <fill>
      <patternFill patternType="none"/>
    </fill>
    <fill>
      <patternFill patternType="gray125"/>
    </fill>
    <fill>
      <patternFill patternType="solid">
        <fgColor indexed="22"/>
      </patternFill>
    </fill>
    <fill>
      <patternFill patternType="solid">
        <fgColor indexed="9"/>
        <bgColor indexed="64"/>
      </patternFill>
    </fill>
    <fill>
      <patternFill patternType="solid">
        <fgColor indexed="31"/>
        <bgColor indexed="64"/>
      </patternFill>
    </fill>
    <fill>
      <patternFill patternType="solid">
        <fgColor rgb="FF92D05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249977111117893"/>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3"/>
      </right>
      <top/>
      <bottom style="thin">
        <color indexed="61"/>
      </bottom>
      <diagonal/>
    </border>
    <border>
      <left style="thin">
        <color indexed="63"/>
      </left>
      <right/>
      <top/>
      <bottom style="thin">
        <color indexed="61"/>
      </bottom>
      <diagonal/>
    </border>
    <border>
      <left/>
      <right/>
      <top/>
      <bottom style="thin">
        <color indexed="61"/>
      </bottom>
      <diagonal/>
    </border>
    <border>
      <left/>
      <right/>
      <top style="thin">
        <color indexed="61"/>
      </top>
      <bottom/>
      <diagonal/>
    </border>
    <border>
      <left/>
      <right/>
      <top style="thin">
        <color indexed="61"/>
      </top>
      <bottom style="thin">
        <color indexed="22"/>
      </bottom>
      <diagonal/>
    </border>
    <border>
      <left/>
      <right style="thin">
        <color indexed="63"/>
      </right>
      <top style="thin">
        <color indexed="61"/>
      </top>
      <bottom style="thin">
        <color indexed="22"/>
      </bottom>
      <diagonal/>
    </border>
    <border>
      <left style="thin">
        <color indexed="63"/>
      </left>
      <right/>
      <top style="thin">
        <color indexed="61"/>
      </top>
      <bottom style="thin">
        <color indexed="22"/>
      </bottom>
      <diagonal/>
    </border>
    <border>
      <left/>
      <right/>
      <top style="thin">
        <color indexed="22"/>
      </top>
      <bottom style="thin">
        <color indexed="22"/>
      </bottom>
      <diagonal/>
    </border>
    <border>
      <left/>
      <right style="thin">
        <color indexed="63"/>
      </right>
      <top style="thin">
        <color indexed="22"/>
      </top>
      <bottom style="thin">
        <color indexed="22"/>
      </bottom>
      <diagonal/>
    </border>
    <border>
      <left style="thin">
        <color indexed="63"/>
      </left>
      <right/>
      <top style="thin">
        <color indexed="22"/>
      </top>
      <bottom style="thin">
        <color indexed="22"/>
      </bottom>
      <diagonal/>
    </border>
    <border>
      <left/>
      <right/>
      <top style="thin">
        <color indexed="22"/>
      </top>
      <bottom style="thin">
        <color indexed="61"/>
      </bottom>
      <diagonal/>
    </border>
    <border>
      <left/>
      <right style="thin">
        <color indexed="63"/>
      </right>
      <top style="thin">
        <color indexed="22"/>
      </top>
      <bottom style="thin">
        <color indexed="61"/>
      </bottom>
      <diagonal/>
    </border>
    <border>
      <left style="thin">
        <color indexed="63"/>
      </left>
      <right/>
      <top style="thin">
        <color indexed="22"/>
      </top>
      <bottom style="thin">
        <color indexed="61"/>
      </bottom>
      <diagonal/>
    </border>
    <border>
      <left style="thin">
        <color indexed="63"/>
      </left>
      <right style="thin">
        <color indexed="63"/>
      </right>
      <top/>
      <bottom style="thin">
        <color indexed="61"/>
      </bottom>
      <diagonal/>
    </border>
    <border>
      <left style="thin">
        <color indexed="63"/>
      </left>
      <right style="thin">
        <color indexed="63"/>
      </right>
      <top style="thin">
        <color indexed="61"/>
      </top>
      <bottom style="thin">
        <color indexed="22"/>
      </bottom>
      <diagonal/>
    </border>
    <border>
      <left style="thin">
        <color indexed="63"/>
      </left>
      <right style="thin">
        <color indexed="63"/>
      </right>
      <top style="thin">
        <color indexed="22"/>
      </top>
      <bottom style="thin">
        <color indexed="22"/>
      </bottom>
      <diagonal/>
    </border>
    <border>
      <left style="thin">
        <color indexed="63"/>
      </left>
      <right style="thin">
        <color indexed="63"/>
      </right>
      <top style="thin">
        <color indexed="22"/>
      </top>
      <bottom style="thin">
        <color indexed="61"/>
      </bottom>
      <diagonal/>
    </border>
  </borders>
  <cellStyleXfs count="14">
    <xf numFmtId="0" fontId="0"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cellStyleXfs>
  <cellXfs count="488">
    <xf numFmtId="0" fontId="0" fillId="0" borderId="0" xfId="0"/>
    <xf numFmtId="0" fontId="0" fillId="2" borderId="0" xfId="0" applyFill="1"/>
    <xf numFmtId="0" fontId="1" fillId="0" borderId="0" xfId="0" applyFont="1"/>
    <xf numFmtId="0" fontId="2" fillId="0" borderId="0" xfId="1"/>
    <xf numFmtId="164" fontId="1" fillId="0" borderId="0" xfId="0" applyNumberFormat="1" applyFont="1"/>
    <xf numFmtId="1" fontId="0" fillId="0" borderId="0" xfId="0" applyNumberFormat="1" applyAlignment="1"/>
    <xf numFmtId="49" fontId="0" fillId="0" borderId="0" xfId="0" applyNumberFormat="1" applyAlignment="1">
      <alignment horizontal="left" vertical="top" wrapText="1"/>
    </xf>
    <xf numFmtId="0" fontId="0" fillId="2" borderId="0" xfId="0" applyFill="1" applyAlignment="1">
      <alignment horizontal="left" vertical="top"/>
    </xf>
    <xf numFmtId="0" fontId="0" fillId="0" borderId="0" xfId="0" applyAlignment="1">
      <alignment horizontal="left" vertical="top"/>
    </xf>
    <xf numFmtId="0" fontId="0" fillId="2" borderId="0" xfId="0" applyFill="1" applyAlignment="1">
      <alignment horizontal="center" vertical="top"/>
    </xf>
    <xf numFmtId="164" fontId="1" fillId="0" borderId="0" xfId="0" applyNumberFormat="1" applyFont="1" applyAlignment="1">
      <alignment horizontal="right"/>
    </xf>
    <xf numFmtId="1" fontId="1" fillId="0" borderId="0" xfId="0" applyNumberFormat="1" applyFont="1" applyAlignment="1">
      <alignment horizontal="right"/>
    </xf>
    <xf numFmtId="164" fontId="4" fillId="0" borderId="0" xfId="0" applyNumberFormat="1" applyFont="1" applyAlignment="1">
      <alignment horizontal="right" vertical="center" indent="1"/>
    </xf>
    <xf numFmtId="9" fontId="0" fillId="0" borderId="0" xfId="0" applyNumberFormat="1"/>
    <xf numFmtId="1" fontId="0" fillId="0" borderId="0" xfId="0" applyNumberFormat="1" applyAlignment="1">
      <alignment horizontal="left" vertical="top"/>
    </xf>
    <xf numFmtId="2" fontId="1" fillId="0" borderId="0" xfId="0" applyNumberFormat="1" applyFont="1"/>
    <xf numFmtId="2" fontId="0" fillId="0" borderId="0" xfId="0" applyNumberFormat="1"/>
    <xf numFmtId="2" fontId="0" fillId="0" borderId="1" xfId="0" applyNumberFormat="1" applyBorder="1"/>
    <xf numFmtId="2" fontId="0" fillId="0" borderId="2" xfId="0" applyNumberFormat="1" applyBorder="1"/>
    <xf numFmtId="2" fontId="0" fillId="0" borderId="3" xfId="0" applyNumberFormat="1" applyBorder="1"/>
    <xf numFmtId="2" fontId="0" fillId="0" borderId="4" xfId="0" applyNumberFormat="1" applyBorder="1"/>
    <xf numFmtId="2" fontId="0" fillId="0" borderId="0" xfId="0" applyNumberFormat="1" applyBorder="1"/>
    <xf numFmtId="2" fontId="0" fillId="0" borderId="5" xfId="0" applyNumberFormat="1" applyBorder="1"/>
    <xf numFmtId="2" fontId="0" fillId="0" borderId="6" xfId="0" applyNumberFormat="1" applyBorder="1"/>
    <xf numFmtId="2" fontId="0" fillId="0" borderId="7" xfId="0" applyNumberFormat="1" applyBorder="1"/>
    <xf numFmtId="2" fontId="0" fillId="0" borderId="8" xfId="0" applyNumberFormat="1" applyBorder="1"/>
    <xf numFmtId="0" fontId="6" fillId="0" borderId="0" xfId="0" applyFont="1"/>
    <xf numFmtId="9" fontId="1" fillId="0" borderId="0" xfId="0" applyNumberFormat="1" applyFont="1"/>
    <xf numFmtId="2" fontId="0" fillId="0" borderId="0" xfId="0" applyNumberFormat="1" applyFont="1"/>
    <xf numFmtId="1" fontId="0" fillId="0" borderId="0" xfId="0" applyNumberFormat="1" applyAlignment="1">
      <alignment horizontal="center" vertical="center"/>
    </xf>
    <xf numFmtId="1" fontId="0" fillId="0" borderId="0" xfId="0" applyNumberFormat="1" applyAlignment="1">
      <alignment horizontal="center" vertical="center" wrapText="1"/>
    </xf>
    <xf numFmtId="165" fontId="0" fillId="0" borderId="0" xfId="0" applyNumberFormat="1"/>
    <xf numFmtId="0" fontId="0" fillId="0" borderId="0" xfId="0" applyAlignment="1">
      <alignment horizontal="center"/>
    </xf>
    <xf numFmtId="1" fontId="0" fillId="0" borderId="0" xfId="0" applyNumberFormat="1" applyFont="1" applyAlignment="1">
      <alignment horizontal="right"/>
    </xf>
    <xf numFmtId="0" fontId="0" fillId="0" borderId="0" xfId="0" applyFill="1" applyBorder="1" applyAlignment="1"/>
    <xf numFmtId="0" fontId="8" fillId="0" borderId="0" xfId="0" applyFont="1" applyFill="1" applyBorder="1" applyAlignment="1">
      <alignment horizontal="center"/>
    </xf>
    <xf numFmtId="165" fontId="0" fillId="0" borderId="0" xfId="0" applyNumberFormat="1" applyFont="1"/>
    <xf numFmtId="164" fontId="4" fillId="0" borderId="0" xfId="0" applyNumberFormat="1" applyFont="1" applyAlignment="1">
      <alignment horizontal="right" vertical="center"/>
    </xf>
    <xf numFmtId="164" fontId="0" fillId="0" borderId="0" xfId="0" applyNumberFormat="1" applyFont="1"/>
    <xf numFmtId="0" fontId="9" fillId="0" borderId="0" xfId="2"/>
    <xf numFmtId="164" fontId="1" fillId="5" borderId="0" xfId="0" applyNumberFormat="1" applyFont="1" applyFill="1" applyAlignment="1">
      <alignment horizontal="right"/>
    </xf>
    <xf numFmtId="2" fontId="0" fillId="5" borderId="0" xfId="0" applyNumberFormat="1" applyFont="1" applyFill="1"/>
    <xf numFmtId="164" fontId="2" fillId="5" borderId="0" xfId="1" applyNumberFormat="1" applyFill="1"/>
    <xf numFmtId="164" fontId="0" fillId="0" borderId="0" xfId="0" applyNumberFormat="1" applyBorder="1"/>
    <xf numFmtId="0" fontId="0" fillId="5" borderId="0" xfId="0" applyFill="1"/>
    <xf numFmtId="2" fontId="0" fillId="5" borderId="0" xfId="0" applyNumberFormat="1" applyFill="1"/>
    <xf numFmtId="164" fontId="0" fillId="5" borderId="0" xfId="0" applyNumberFormat="1" applyFill="1" applyBorder="1"/>
    <xf numFmtId="164" fontId="4" fillId="0" borderId="0" xfId="0" applyNumberFormat="1" applyFont="1" applyAlignment="1">
      <alignment vertical="center"/>
    </xf>
    <xf numFmtId="0" fontId="0" fillId="0" borderId="0" xfId="0" applyAlignment="1">
      <alignment horizontal="center"/>
    </xf>
    <xf numFmtId="0" fontId="0" fillId="6" borderId="0" xfId="0" applyFill="1"/>
    <xf numFmtId="0" fontId="0" fillId="0" borderId="0" xfId="0" applyBorder="1"/>
    <xf numFmtId="0" fontId="9" fillId="0" borderId="0" xfId="3"/>
    <xf numFmtId="0" fontId="11" fillId="0" borderId="9" xfId="3" applyFont="1" applyBorder="1" applyAlignment="1">
      <alignment horizontal="center" wrapText="1"/>
    </xf>
    <xf numFmtId="0" fontId="11" fillId="0" borderId="22" xfId="3" applyFont="1" applyBorder="1" applyAlignment="1">
      <alignment horizontal="center" wrapText="1"/>
    </xf>
    <xf numFmtId="0" fontId="11" fillId="0" borderId="10" xfId="3" applyFont="1" applyBorder="1" applyAlignment="1">
      <alignment horizontal="center" wrapText="1"/>
    </xf>
    <xf numFmtId="0" fontId="11" fillId="4" borderId="13" xfId="3" applyFont="1" applyFill="1" applyBorder="1" applyAlignment="1">
      <alignment horizontal="left" vertical="top" wrapText="1"/>
    </xf>
    <xf numFmtId="0" fontId="12" fillId="3" borderId="14" xfId="3" applyFont="1" applyFill="1" applyBorder="1" applyAlignment="1">
      <alignment horizontal="right" vertical="top"/>
    </xf>
    <xf numFmtId="168" fontId="12" fillId="3" borderId="23" xfId="3" applyNumberFormat="1" applyFont="1" applyFill="1" applyBorder="1" applyAlignment="1">
      <alignment horizontal="right" vertical="top"/>
    </xf>
    <xf numFmtId="168" fontId="12" fillId="3" borderId="15" xfId="3" applyNumberFormat="1" applyFont="1" applyFill="1" applyBorder="1" applyAlignment="1">
      <alignment horizontal="right" vertical="top"/>
    </xf>
    <xf numFmtId="0" fontId="11" fillId="4" borderId="16" xfId="3" applyFont="1" applyFill="1" applyBorder="1" applyAlignment="1">
      <alignment horizontal="left" vertical="top" wrapText="1"/>
    </xf>
    <xf numFmtId="0" fontId="12" fillId="3" borderId="17" xfId="3" applyFont="1" applyFill="1" applyBorder="1" applyAlignment="1">
      <alignment horizontal="right" vertical="top"/>
    </xf>
    <xf numFmtId="168" fontId="12" fillId="3" borderId="24" xfId="3" applyNumberFormat="1" applyFont="1" applyFill="1" applyBorder="1" applyAlignment="1">
      <alignment horizontal="right" vertical="top"/>
    </xf>
    <xf numFmtId="168" fontId="12" fillId="3" borderId="18" xfId="3" applyNumberFormat="1" applyFont="1" applyFill="1" applyBorder="1" applyAlignment="1">
      <alignment horizontal="right" vertical="top"/>
    </xf>
    <xf numFmtId="0" fontId="12" fillId="3" borderId="24" xfId="3" applyFont="1" applyFill="1" applyBorder="1" applyAlignment="1">
      <alignment horizontal="left" vertical="top" wrapText="1"/>
    </xf>
    <xf numFmtId="0" fontId="12" fillId="3" borderId="18" xfId="3" applyFont="1" applyFill="1" applyBorder="1" applyAlignment="1">
      <alignment horizontal="left" vertical="top" wrapText="1"/>
    </xf>
    <xf numFmtId="0" fontId="11" fillId="4" borderId="19" xfId="3" applyFont="1" applyFill="1" applyBorder="1" applyAlignment="1">
      <alignment horizontal="left" vertical="top" wrapText="1"/>
    </xf>
    <xf numFmtId="167" fontId="12" fillId="3" borderId="20" xfId="3" applyNumberFormat="1" applyFont="1" applyFill="1" applyBorder="1" applyAlignment="1">
      <alignment horizontal="right" vertical="top"/>
    </xf>
    <xf numFmtId="0" fontId="12" fillId="3" borderId="25" xfId="3" applyFont="1" applyFill="1" applyBorder="1" applyAlignment="1">
      <alignment horizontal="left" vertical="top" wrapText="1"/>
    </xf>
    <xf numFmtId="0" fontId="12" fillId="3" borderId="21" xfId="3" applyFont="1" applyFill="1" applyBorder="1" applyAlignment="1">
      <alignment horizontal="left" vertical="top" wrapText="1"/>
    </xf>
    <xf numFmtId="0" fontId="11" fillId="0" borderId="11" xfId="3" applyFont="1" applyBorder="1" applyAlignment="1">
      <alignment horizontal="left" wrapText="1"/>
    </xf>
    <xf numFmtId="0" fontId="12" fillId="3" borderId="13" xfId="3" applyFont="1" applyFill="1" applyBorder="1" applyAlignment="1">
      <alignment horizontal="right" vertical="top"/>
    </xf>
    <xf numFmtId="166" fontId="12" fillId="3" borderId="19" xfId="3" applyNumberFormat="1" applyFont="1" applyFill="1" applyBorder="1" applyAlignment="1">
      <alignment horizontal="right" vertical="top"/>
    </xf>
    <xf numFmtId="0" fontId="9" fillId="0" borderId="0" xfId="4"/>
    <xf numFmtId="0" fontId="11" fillId="0" borderId="9" xfId="4" applyFont="1" applyBorder="1" applyAlignment="1">
      <alignment horizontal="center" wrapText="1"/>
    </xf>
    <xf numFmtId="0" fontId="11" fillId="0" borderId="22" xfId="4" applyFont="1" applyBorder="1" applyAlignment="1">
      <alignment horizontal="center" wrapText="1"/>
    </xf>
    <xf numFmtId="0" fontId="11" fillId="0" borderId="10" xfId="4" applyFont="1" applyBorder="1" applyAlignment="1">
      <alignment horizontal="center" wrapText="1"/>
    </xf>
    <xf numFmtId="0" fontId="11" fillId="4" borderId="13" xfId="4" applyFont="1" applyFill="1" applyBorder="1" applyAlignment="1">
      <alignment horizontal="left" vertical="top" wrapText="1"/>
    </xf>
    <xf numFmtId="0" fontId="12" fillId="3" borderId="14" xfId="4" applyFont="1" applyFill="1" applyBorder="1" applyAlignment="1">
      <alignment horizontal="right" vertical="top"/>
    </xf>
    <xf numFmtId="168" fontId="12" fillId="3" borderId="23" xfId="4" applyNumberFormat="1" applyFont="1" applyFill="1" applyBorder="1" applyAlignment="1">
      <alignment horizontal="right" vertical="top"/>
    </xf>
    <xf numFmtId="168" fontId="12" fillId="3" borderId="15" xfId="4" applyNumberFormat="1" applyFont="1" applyFill="1" applyBorder="1" applyAlignment="1">
      <alignment horizontal="right" vertical="top"/>
    </xf>
    <xf numFmtId="0" fontId="11" fillId="4" borderId="16" xfId="4" applyFont="1" applyFill="1" applyBorder="1" applyAlignment="1">
      <alignment horizontal="left" vertical="top" wrapText="1"/>
    </xf>
    <xf numFmtId="0" fontId="12" fillId="3" borderId="17" xfId="4" applyFont="1" applyFill="1" applyBorder="1" applyAlignment="1">
      <alignment horizontal="right" vertical="top"/>
    </xf>
    <xf numFmtId="168" fontId="12" fillId="3" borderId="24" xfId="4" applyNumberFormat="1" applyFont="1" applyFill="1" applyBorder="1" applyAlignment="1">
      <alignment horizontal="right" vertical="top"/>
    </xf>
    <xf numFmtId="168" fontId="12" fillId="3" borderId="18" xfId="4" applyNumberFormat="1" applyFont="1" applyFill="1" applyBorder="1" applyAlignment="1">
      <alignment horizontal="right" vertical="top"/>
    </xf>
    <xf numFmtId="0" fontId="12" fillId="3" borderId="24" xfId="4" applyFont="1" applyFill="1" applyBorder="1" applyAlignment="1">
      <alignment horizontal="left" vertical="top" wrapText="1"/>
    </xf>
    <xf numFmtId="0" fontId="12" fillId="3" borderId="18" xfId="4" applyFont="1" applyFill="1" applyBorder="1" applyAlignment="1">
      <alignment horizontal="left" vertical="top" wrapText="1"/>
    </xf>
    <xf numFmtId="0" fontId="11" fillId="4" borderId="19" xfId="4" applyFont="1" applyFill="1" applyBorder="1" applyAlignment="1">
      <alignment horizontal="left" vertical="top" wrapText="1"/>
    </xf>
    <xf numFmtId="167" fontId="12" fillId="3" borderId="20" xfId="4" applyNumberFormat="1" applyFont="1" applyFill="1" applyBorder="1" applyAlignment="1">
      <alignment horizontal="right" vertical="top"/>
    </xf>
    <xf numFmtId="0" fontId="12" fillId="3" borderId="25" xfId="4" applyFont="1" applyFill="1" applyBorder="1" applyAlignment="1">
      <alignment horizontal="left" vertical="top" wrapText="1"/>
    </xf>
    <xf numFmtId="0" fontId="12" fillId="3" borderId="21" xfId="4" applyFont="1" applyFill="1" applyBorder="1" applyAlignment="1">
      <alignment horizontal="left" vertical="top" wrapText="1"/>
    </xf>
    <xf numFmtId="0" fontId="11" fillId="0" borderId="11" xfId="4" applyFont="1" applyBorder="1" applyAlignment="1">
      <alignment horizontal="left" wrapText="1"/>
    </xf>
    <xf numFmtId="0" fontId="11" fillId="0" borderId="11" xfId="4" applyFont="1" applyBorder="1" applyAlignment="1">
      <alignment horizontal="center" wrapText="1"/>
    </xf>
    <xf numFmtId="0" fontId="12" fillId="3" borderId="13" xfId="4" applyFont="1" applyFill="1" applyBorder="1" applyAlignment="1">
      <alignment horizontal="right" vertical="top"/>
    </xf>
    <xf numFmtId="166" fontId="12" fillId="3" borderId="19" xfId="4" applyNumberFormat="1" applyFont="1" applyFill="1" applyBorder="1" applyAlignment="1">
      <alignment horizontal="right" vertical="top"/>
    </xf>
    <xf numFmtId="0" fontId="10" fillId="0" borderId="0" xfId="4" applyFont="1" applyBorder="1" applyAlignment="1">
      <alignment horizontal="center" vertical="center" wrapText="1"/>
    </xf>
    <xf numFmtId="0" fontId="12" fillId="0" borderId="0" xfId="4" applyFont="1" applyBorder="1" applyAlignment="1">
      <alignment horizontal="left" vertical="top" wrapText="1"/>
    </xf>
    <xf numFmtId="0" fontId="0" fillId="0" borderId="0" xfId="0" applyFill="1"/>
    <xf numFmtId="2" fontId="0" fillId="0" borderId="0" xfId="0" applyNumberFormat="1" applyFill="1"/>
    <xf numFmtId="0" fontId="9" fillId="0" borderId="0" xfId="5"/>
    <xf numFmtId="0" fontId="11" fillId="0" borderId="9" xfId="5" applyFont="1" applyBorder="1" applyAlignment="1">
      <alignment horizontal="center" wrapText="1"/>
    </xf>
    <xf numFmtId="0" fontId="11" fillId="0" borderId="22" xfId="5" applyFont="1" applyBorder="1" applyAlignment="1">
      <alignment horizontal="center" wrapText="1"/>
    </xf>
    <xf numFmtId="0" fontId="11" fillId="0" borderId="10" xfId="5" applyFont="1" applyBorder="1" applyAlignment="1">
      <alignment horizontal="center" wrapText="1"/>
    </xf>
    <xf numFmtId="0" fontId="11" fillId="4" borderId="13" xfId="5" applyFont="1" applyFill="1" applyBorder="1" applyAlignment="1">
      <alignment horizontal="left" vertical="top" wrapText="1"/>
    </xf>
    <xf numFmtId="0" fontId="12" fillId="3" borderId="14" xfId="5" applyFont="1" applyFill="1" applyBorder="1" applyAlignment="1">
      <alignment horizontal="right" vertical="top"/>
    </xf>
    <xf numFmtId="168" fontId="12" fillId="3" borderId="23" xfId="5" applyNumberFormat="1" applyFont="1" applyFill="1" applyBorder="1" applyAlignment="1">
      <alignment horizontal="right" vertical="top"/>
    </xf>
    <xf numFmtId="168" fontId="12" fillId="3" borderId="15" xfId="5" applyNumberFormat="1" applyFont="1" applyFill="1" applyBorder="1" applyAlignment="1">
      <alignment horizontal="right" vertical="top"/>
    </xf>
    <xf numFmtId="0" fontId="11" fillId="4" borderId="16" xfId="5" applyFont="1" applyFill="1" applyBorder="1" applyAlignment="1">
      <alignment horizontal="left" vertical="top" wrapText="1"/>
    </xf>
    <xf numFmtId="0" fontId="12" fillId="3" borderId="17" xfId="5" applyFont="1" applyFill="1" applyBorder="1" applyAlignment="1">
      <alignment horizontal="right" vertical="top"/>
    </xf>
    <xf numFmtId="168" fontId="12" fillId="3" borderId="24" xfId="5" applyNumberFormat="1" applyFont="1" applyFill="1" applyBorder="1" applyAlignment="1">
      <alignment horizontal="right" vertical="top"/>
    </xf>
    <xf numFmtId="168" fontId="12" fillId="3" borderId="18" xfId="5" applyNumberFormat="1" applyFont="1" applyFill="1" applyBorder="1" applyAlignment="1">
      <alignment horizontal="right" vertical="top"/>
    </xf>
    <xf numFmtId="0" fontId="12" fillId="3" borderId="24" xfId="5" applyFont="1" applyFill="1" applyBorder="1" applyAlignment="1">
      <alignment horizontal="left" vertical="top" wrapText="1"/>
    </xf>
    <xf numFmtId="0" fontId="12" fillId="3" borderId="18" xfId="5" applyFont="1" applyFill="1" applyBorder="1" applyAlignment="1">
      <alignment horizontal="left" vertical="top" wrapText="1"/>
    </xf>
    <xf numFmtId="0" fontId="11" fillId="4" borderId="19" xfId="5" applyFont="1" applyFill="1" applyBorder="1" applyAlignment="1">
      <alignment horizontal="left" vertical="top" wrapText="1"/>
    </xf>
    <xf numFmtId="167" fontId="12" fillId="3" borderId="20" xfId="5" applyNumberFormat="1" applyFont="1" applyFill="1" applyBorder="1" applyAlignment="1">
      <alignment horizontal="right" vertical="top"/>
    </xf>
    <xf numFmtId="0" fontId="12" fillId="3" borderId="25" xfId="5" applyFont="1" applyFill="1" applyBorder="1" applyAlignment="1">
      <alignment horizontal="left" vertical="top" wrapText="1"/>
    </xf>
    <xf numFmtId="0" fontId="12" fillId="3" borderId="21" xfId="5" applyFont="1" applyFill="1" applyBorder="1" applyAlignment="1">
      <alignment horizontal="left" vertical="top" wrapText="1"/>
    </xf>
    <xf numFmtId="0" fontId="11" fillId="0" borderId="11" xfId="5" applyFont="1" applyBorder="1" applyAlignment="1">
      <alignment horizontal="left" wrapText="1"/>
    </xf>
    <xf numFmtId="0" fontId="12" fillId="3" borderId="13" xfId="5" applyFont="1" applyFill="1" applyBorder="1" applyAlignment="1">
      <alignment horizontal="right" vertical="top"/>
    </xf>
    <xf numFmtId="166" fontId="12" fillId="3" borderId="19" xfId="5" applyNumberFormat="1" applyFont="1" applyFill="1" applyBorder="1" applyAlignment="1">
      <alignment horizontal="right" vertical="top"/>
    </xf>
    <xf numFmtId="0" fontId="9" fillId="0" borderId="0" xfId="6"/>
    <xf numFmtId="0" fontId="11" fillId="0" borderId="9" xfId="6" applyFont="1" applyBorder="1" applyAlignment="1">
      <alignment horizontal="center" wrapText="1"/>
    </xf>
    <xf numFmtId="0" fontId="11" fillId="0" borderId="22" xfId="6" applyFont="1" applyBorder="1" applyAlignment="1">
      <alignment horizontal="center" wrapText="1"/>
    </xf>
    <xf numFmtId="0" fontId="11" fillId="0" borderId="10" xfId="6" applyFont="1" applyBorder="1" applyAlignment="1">
      <alignment horizontal="center" wrapText="1"/>
    </xf>
    <xf numFmtId="0" fontId="11" fillId="4" borderId="13" xfId="6" applyFont="1" applyFill="1" applyBorder="1" applyAlignment="1">
      <alignment horizontal="left" vertical="top" wrapText="1"/>
    </xf>
    <xf numFmtId="0" fontId="12" fillId="3" borderId="14" xfId="6" applyFont="1" applyFill="1" applyBorder="1" applyAlignment="1">
      <alignment horizontal="right" vertical="top"/>
    </xf>
    <xf numFmtId="168" fontId="12" fillId="3" borderId="23" xfId="6" applyNumberFormat="1" applyFont="1" applyFill="1" applyBorder="1" applyAlignment="1">
      <alignment horizontal="right" vertical="top"/>
    </xf>
    <xf numFmtId="168" fontId="12" fillId="3" borderId="15" xfId="6" applyNumberFormat="1" applyFont="1" applyFill="1" applyBorder="1" applyAlignment="1">
      <alignment horizontal="right" vertical="top"/>
    </xf>
    <xf numFmtId="0" fontId="11" fillId="4" borderId="16" xfId="6" applyFont="1" applyFill="1" applyBorder="1" applyAlignment="1">
      <alignment horizontal="left" vertical="top" wrapText="1"/>
    </xf>
    <xf numFmtId="0" fontId="12" fillId="3" borderId="17" xfId="6" applyFont="1" applyFill="1" applyBorder="1" applyAlignment="1">
      <alignment horizontal="right" vertical="top"/>
    </xf>
    <xf numFmtId="168" fontId="12" fillId="3" borderId="24" xfId="6" applyNumberFormat="1" applyFont="1" applyFill="1" applyBorder="1" applyAlignment="1">
      <alignment horizontal="right" vertical="top"/>
    </xf>
    <xf numFmtId="168" fontId="12" fillId="3" borderId="18" xfId="6" applyNumberFormat="1" applyFont="1" applyFill="1" applyBorder="1" applyAlignment="1">
      <alignment horizontal="right" vertical="top"/>
    </xf>
    <xf numFmtId="0" fontId="12" fillId="3" borderId="24" xfId="6" applyFont="1" applyFill="1" applyBorder="1" applyAlignment="1">
      <alignment horizontal="left" vertical="top" wrapText="1"/>
    </xf>
    <xf numFmtId="0" fontId="12" fillId="3" borderId="18" xfId="6" applyFont="1" applyFill="1" applyBorder="1" applyAlignment="1">
      <alignment horizontal="left" vertical="top" wrapText="1"/>
    </xf>
    <xf numFmtId="0" fontId="11" fillId="4" borderId="19" xfId="6" applyFont="1" applyFill="1" applyBorder="1" applyAlignment="1">
      <alignment horizontal="left" vertical="top" wrapText="1"/>
    </xf>
    <xf numFmtId="167" fontId="12" fillId="3" borderId="20" xfId="6" applyNumberFormat="1" applyFont="1" applyFill="1" applyBorder="1" applyAlignment="1">
      <alignment horizontal="right" vertical="top"/>
    </xf>
    <xf numFmtId="0" fontId="12" fillId="3" borderId="25" xfId="6" applyFont="1" applyFill="1" applyBorder="1" applyAlignment="1">
      <alignment horizontal="left" vertical="top" wrapText="1"/>
    </xf>
    <xf numFmtId="0" fontId="12" fillId="3" borderId="21" xfId="6" applyFont="1" applyFill="1" applyBorder="1" applyAlignment="1">
      <alignment horizontal="left" vertical="top" wrapText="1"/>
    </xf>
    <xf numFmtId="0" fontId="11" fillId="0" borderId="11" xfId="6" applyFont="1" applyBorder="1" applyAlignment="1">
      <alignment horizontal="left" wrapText="1"/>
    </xf>
    <xf numFmtId="0" fontId="12" fillId="3" borderId="13" xfId="6" applyFont="1" applyFill="1" applyBorder="1" applyAlignment="1">
      <alignment horizontal="right" vertical="top"/>
    </xf>
    <xf numFmtId="166" fontId="12" fillId="3" borderId="19" xfId="6" applyNumberFormat="1" applyFont="1" applyFill="1" applyBorder="1" applyAlignment="1">
      <alignment horizontal="right" vertical="top"/>
    </xf>
    <xf numFmtId="0" fontId="2" fillId="0" borderId="0" xfId="1" applyFill="1"/>
    <xf numFmtId="0" fontId="9" fillId="0" borderId="0" xfId="7"/>
    <xf numFmtId="0" fontId="11" fillId="0" borderId="9" xfId="7" applyFont="1" applyBorder="1" applyAlignment="1">
      <alignment horizontal="center" wrapText="1"/>
    </xf>
    <xf numFmtId="0" fontId="11" fillId="0" borderId="22" xfId="7" applyFont="1" applyBorder="1" applyAlignment="1">
      <alignment horizontal="center" wrapText="1"/>
    </xf>
    <xf numFmtId="0" fontId="11" fillId="0" borderId="10" xfId="7" applyFont="1" applyBorder="1" applyAlignment="1">
      <alignment horizontal="center" wrapText="1"/>
    </xf>
    <xf numFmtId="0" fontId="11" fillId="4" borderId="13" xfId="7" applyFont="1" applyFill="1" applyBorder="1" applyAlignment="1">
      <alignment horizontal="left" vertical="top" wrapText="1"/>
    </xf>
    <xf numFmtId="0" fontId="12" fillId="3" borderId="14" xfId="7" applyFont="1" applyFill="1" applyBorder="1" applyAlignment="1">
      <alignment horizontal="right" vertical="top"/>
    </xf>
    <xf numFmtId="168" fontId="12" fillId="3" borderId="23" xfId="7" applyNumberFormat="1" applyFont="1" applyFill="1" applyBorder="1" applyAlignment="1">
      <alignment horizontal="right" vertical="top"/>
    </xf>
    <xf numFmtId="168" fontId="12" fillId="3" borderId="15" xfId="7" applyNumberFormat="1" applyFont="1" applyFill="1" applyBorder="1" applyAlignment="1">
      <alignment horizontal="right" vertical="top"/>
    </xf>
    <xf numFmtId="0" fontId="11" fillId="4" borderId="16" xfId="7" applyFont="1" applyFill="1" applyBorder="1" applyAlignment="1">
      <alignment horizontal="left" vertical="top" wrapText="1"/>
    </xf>
    <xf numFmtId="0" fontId="12" fillId="3" borderId="17" xfId="7" applyFont="1" applyFill="1" applyBorder="1" applyAlignment="1">
      <alignment horizontal="right" vertical="top"/>
    </xf>
    <xf numFmtId="168" fontId="12" fillId="3" borderId="24" xfId="7" applyNumberFormat="1" applyFont="1" applyFill="1" applyBorder="1" applyAlignment="1">
      <alignment horizontal="right" vertical="top"/>
    </xf>
    <xf numFmtId="168" fontId="12" fillId="3" borderId="18" xfId="7" applyNumberFormat="1" applyFont="1" applyFill="1" applyBorder="1" applyAlignment="1">
      <alignment horizontal="right" vertical="top"/>
    </xf>
    <xf numFmtId="0" fontId="12" fillId="3" borderId="24" xfId="7" applyFont="1" applyFill="1" applyBorder="1" applyAlignment="1">
      <alignment horizontal="left" vertical="top" wrapText="1"/>
    </xf>
    <xf numFmtId="0" fontId="12" fillId="3" borderId="18" xfId="7" applyFont="1" applyFill="1" applyBorder="1" applyAlignment="1">
      <alignment horizontal="left" vertical="top" wrapText="1"/>
    </xf>
    <xf numFmtId="0" fontId="11" fillId="4" borderId="19" xfId="7" applyFont="1" applyFill="1" applyBorder="1" applyAlignment="1">
      <alignment horizontal="left" vertical="top" wrapText="1"/>
    </xf>
    <xf numFmtId="167" fontId="12" fillId="3" borderId="20" xfId="7" applyNumberFormat="1" applyFont="1" applyFill="1" applyBorder="1" applyAlignment="1">
      <alignment horizontal="right" vertical="top"/>
    </xf>
    <xf numFmtId="0" fontId="12" fillId="3" borderId="25" xfId="7" applyFont="1" applyFill="1" applyBorder="1" applyAlignment="1">
      <alignment horizontal="left" vertical="top" wrapText="1"/>
    </xf>
    <xf numFmtId="0" fontId="12" fillId="3" borderId="21" xfId="7" applyFont="1" applyFill="1" applyBorder="1" applyAlignment="1">
      <alignment horizontal="left" vertical="top" wrapText="1"/>
    </xf>
    <xf numFmtId="0" fontId="11" fillId="0" borderId="11" xfId="7" applyFont="1" applyBorder="1" applyAlignment="1">
      <alignment horizontal="left" wrapText="1"/>
    </xf>
    <xf numFmtId="0" fontId="11" fillId="0" borderId="11" xfId="7" applyFont="1" applyBorder="1" applyAlignment="1">
      <alignment horizontal="center" wrapText="1"/>
    </xf>
    <xf numFmtId="0" fontId="12" fillId="3" borderId="13" xfId="7" applyFont="1" applyFill="1" applyBorder="1" applyAlignment="1">
      <alignment horizontal="right" vertical="top"/>
    </xf>
    <xf numFmtId="166" fontId="12" fillId="3" borderId="19" xfId="7" applyNumberFormat="1" applyFont="1" applyFill="1" applyBorder="1" applyAlignment="1">
      <alignment horizontal="right" vertical="top"/>
    </xf>
    <xf numFmtId="0" fontId="9" fillId="0" borderId="0" xfId="8"/>
    <xf numFmtId="0" fontId="11" fillId="0" borderId="9" xfId="8" applyFont="1" applyBorder="1" applyAlignment="1">
      <alignment horizontal="center" wrapText="1"/>
    </xf>
    <xf numFmtId="0" fontId="11" fillId="0" borderId="22" xfId="8" applyFont="1" applyBorder="1" applyAlignment="1">
      <alignment horizontal="center" wrapText="1"/>
    </xf>
    <xf numFmtId="0" fontId="11" fillId="0" borderId="10" xfId="8" applyFont="1" applyBorder="1" applyAlignment="1">
      <alignment horizontal="center" wrapText="1"/>
    </xf>
    <xf numFmtId="0" fontId="11" fillId="4" borderId="13" xfId="8" applyFont="1" applyFill="1" applyBorder="1" applyAlignment="1">
      <alignment horizontal="left" vertical="top" wrapText="1"/>
    </xf>
    <xf numFmtId="0" fontId="12" fillId="3" borderId="14" xfId="8" applyFont="1" applyFill="1" applyBorder="1" applyAlignment="1">
      <alignment horizontal="right" vertical="top"/>
    </xf>
    <xf numFmtId="168" fontId="12" fillId="3" borderId="23" xfId="8" applyNumberFormat="1" applyFont="1" applyFill="1" applyBorder="1" applyAlignment="1">
      <alignment horizontal="right" vertical="top"/>
    </xf>
    <xf numFmtId="168" fontId="12" fillId="3" borderId="15" xfId="8" applyNumberFormat="1" applyFont="1" applyFill="1" applyBorder="1" applyAlignment="1">
      <alignment horizontal="right" vertical="top"/>
    </xf>
    <xf numFmtId="0" fontId="11" fillId="4" borderId="16" xfId="8" applyFont="1" applyFill="1" applyBorder="1" applyAlignment="1">
      <alignment horizontal="left" vertical="top" wrapText="1"/>
    </xf>
    <xf numFmtId="0" fontId="12" fillId="3" borderId="17" xfId="8" applyFont="1" applyFill="1" applyBorder="1" applyAlignment="1">
      <alignment horizontal="right" vertical="top"/>
    </xf>
    <xf numFmtId="168" fontId="12" fillId="3" borderId="24" xfId="8" applyNumberFormat="1" applyFont="1" applyFill="1" applyBorder="1" applyAlignment="1">
      <alignment horizontal="right" vertical="top"/>
    </xf>
    <xf numFmtId="168" fontId="12" fillId="3" borderId="18" xfId="8" applyNumberFormat="1" applyFont="1" applyFill="1" applyBorder="1" applyAlignment="1">
      <alignment horizontal="right" vertical="top"/>
    </xf>
    <xf numFmtId="0" fontId="12" fillId="3" borderId="24" xfId="8" applyFont="1" applyFill="1" applyBorder="1" applyAlignment="1">
      <alignment horizontal="left" vertical="top" wrapText="1"/>
    </xf>
    <xf numFmtId="0" fontId="12" fillId="3" borderId="18" xfId="8" applyFont="1" applyFill="1" applyBorder="1" applyAlignment="1">
      <alignment horizontal="left" vertical="top" wrapText="1"/>
    </xf>
    <xf numFmtId="0" fontId="11" fillId="4" borderId="19" xfId="8" applyFont="1" applyFill="1" applyBorder="1" applyAlignment="1">
      <alignment horizontal="left" vertical="top" wrapText="1"/>
    </xf>
    <xf numFmtId="167" fontId="12" fillId="3" borderId="20" xfId="8" applyNumberFormat="1" applyFont="1" applyFill="1" applyBorder="1" applyAlignment="1">
      <alignment horizontal="right" vertical="top"/>
    </xf>
    <xf numFmtId="0" fontId="12" fillId="3" borderId="25" xfId="8" applyFont="1" applyFill="1" applyBorder="1" applyAlignment="1">
      <alignment horizontal="left" vertical="top" wrapText="1"/>
    </xf>
    <xf numFmtId="0" fontId="12" fillId="3" borderId="21" xfId="8" applyFont="1" applyFill="1" applyBorder="1" applyAlignment="1">
      <alignment horizontal="left" vertical="top" wrapText="1"/>
    </xf>
    <xf numFmtId="0" fontId="11" fillId="0" borderId="11" xfId="8" applyFont="1" applyBorder="1" applyAlignment="1">
      <alignment horizontal="left" wrapText="1"/>
    </xf>
    <xf numFmtId="0" fontId="11" fillId="0" borderId="11" xfId="8" applyFont="1" applyBorder="1" applyAlignment="1">
      <alignment horizontal="center" wrapText="1"/>
    </xf>
    <xf numFmtId="0" fontId="12" fillId="3" borderId="13" xfId="8" applyFont="1" applyFill="1" applyBorder="1" applyAlignment="1">
      <alignment horizontal="right" vertical="top"/>
    </xf>
    <xf numFmtId="166" fontId="12" fillId="3" borderId="19" xfId="8" applyNumberFormat="1" applyFont="1" applyFill="1" applyBorder="1" applyAlignment="1">
      <alignment horizontal="right" vertical="top"/>
    </xf>
    <xf numFmtId="167" fontId="12" fillId="3" borderId="14" xfId="4" applyNumberFormat="1" applyFont="1" applyFill="1" applyBorder="1" applyAlignment="1">
      <alignment horizontal="right" vertical="top"/>
    </xf>
    <xf numFmtId="169" fontId="12" fillId="3" borderId="23" xfId="4" applyNumberFormat="1" applyFont="1" applyFill="1" applyBorder="1" applyAlignment="1">
      <alignment horizontal="right" vertical="top"/>
    </xf>
    <xf numFmtId="170" fontId="12" fillId="3" borderId="23" xfId="4" applyNumberFormat="1" applyFont="1" applyFill="1" applyBorder="1" applyAlignment="1">
      <alignment horizontal="right" vertical="top"/>
    </xf>
    <xf numFmtId="169" fontId="12" fillId="3" borderId="25" xfId="4" applyNumberFormat="1" applyFont="1" applyFill="1" applyBorder="1" applyAlignment="1">
      <alignment horizontal="right" vertical="top"/>
    </xf>
    <xf numFmtId="170" fontId="12" fillId="3" borderId="25" xfId="4" applyNumberFormat="1" applyFont="1" applyFill="1" applyBorder="1" applyAlignment="1">
      <alignment horizontal="right" vertical="top"/>
    </xf>
    <xf numFmtId="168" fontId="12" fillId="3" borderId="25" xfId="4" applyNumberFormat="1" applyFont="1" applyFill="1" applyBorder="1" applyAlignment="1">
      <alignment horizontal="right" vertical="top"/>
    </xf>
    <xf numFmtId="168" fontId="12" fillId="3" borderId="21" xfId="4" applyNumberFormat="1" applyFont="1" applyFill="1" applyBorder="1" applyAlignment="1">
      <alignment horizontal="right" vertical="top"/>
    </xf>
    <xf numFmtId="167" fontId="12" fillId="3" borderId="14" xfId="3" applyNumberFormat="1" applyFont="1" applyFill="1" applyBorder="1" applyAlignment="1">
      <alignment horizontal="right" vertical="top"/>
    </xf>
    <xf numFmtId="169" fontId="12" fillId="3" borderId="23" xfId="3" applyNumberFormat="1" applyFont="1" applyFill="1" applyBorder="1" applyAlignment="1">
      <alignment horizontal="right" vertical="top"/>
    </xf>
    <xf numFmtId="170" fontId="12" fillId="3" borderId="23" xfId="3" applyNumberFormat="1" applyFont="1" applyFill="1" applyBorder="1" applyAlignment="1">
      <alignment horizontal="right" vertical="top"/>
    </xf>
    <xf numFmtId="169" fontId="12" fillId="3" borderId="25" xfId="3" applyNumberFormat="1" applyFont="1" applyFill="1" applyBorder="1" applyAlignment="1">
      <alignment horizontal="right" vertical="top"/>
    </xf>
    <xf numFmtId="170" fontId="12" fillId="3" borderId="25" xfId="3" applyNumberFormat="1" applyFont="1" applyFill="1" applyBorder="1" applyAlignment="1">
      <alignment horizontal="right" vertical="top"/>
    </xf>
    <xf numFmtId="168" fontId="12" fillId="3" borderId="25" xfId="3" applyNumberFormat="1" applyFont="1" applyFill="1" applyBorder="1" applyAlignment="1">
      <alignment horizontal="right" vertical="top"/>
    </xf>
    <xf numFmtId="168" fontId="12" fillId="3" borderId="21" xfId="3" applyNumberFormat="1" applyFont="1" applyFill="1" applyBorder="1" applyAlignment="1">
      <alignment horizontal="right" vertical="top"/>
    </xf>
    <xf numFmtId="0" fontId="9" fillId="0" borderId="0" xfId="9"/>
    <xf numFmtId="0" fontId="11" fillId="0" borderId="9" xfId="9" applyFont="1" applyBorder="1" applyAlignment="1">
      <alignment horizontal="center" wrapText="1"/>
    </xf>
    <xf numFmtId="0" fontId="11" fillId="0" borderId="22" xfId="9" applyFont="1" applyBorder="1" applyAlignment="1">
      <alignment horizontal="center" wrapText="1"/>
    </xf>
    <xf numFmtId="0" fontId="11" fillId="0" borderId="10" xfId="9" applyFont="1" applyBorder="1" applyAlignment="1">
      <alignment horizontal="center" wrapText="1"/>
    </xf>
    <xf numFmtId="0" fontId="11" fillId="4" borderId="13" xfId="9" applyFont="1" applyFill="1" applyBorder="1" applyAlignment="1">
      <alignment horizontal="left" vertical="top" wrapText="1"/>
    </xf>
    <xf numFmtId="0" fontId="12" fillId="3" borderId="14" xfId="9" applyFont="1" applyFill="1" applyBorder="1" applyAlignment="1">
      <alignment horizontal="right" vertical="top"/>
    </xf>
    <xf numFmtId="168" fontId="12" fillId="3" borderId="23" xfId="9" applyNumberFormat="1" applyFont="1" applyFill="1" applyBorder="1" applyAlignment="1">
      <alignment horizontal="right" vertical="top"/>
    </xf>
    <xf numFmtId="168" fontId="12" fillId="3" borderId="15" xfId="9" applyNumberFormat="1" applyFont="1" applyFill="1" applyBorder="1" applyAlignment="1">
      <alignment horizontal="right" vertical="top"/>
    </xf>
    <xf numFmtId="0" fontId="11" fillId="4" borderId="16" xfId="9" applyFont="1" applyFill="1" applyBorder="1" applyAlignment="1">
      <alignment horizontal="left" vertical="top" wrapText="1"/>
    </xf>
    <xf numFmtId="0" fontId="12" fillId="3" borderId="17" xfId="9" applyFont="1" applyFill="1" applyBorder="1" applyAlignment="1">
      <alignment horizontal="right" vertical="top"/>
    </xf>
    <xf numFmtId="168" fontId="12" fillId="3" borderId="24" xfId="9" applyNumberFormat="1" applyFont="1" applyFill="1" applyBorder="1" applyAlignment="1">
      <alignment horizontal="right" vertical="top"/>
    </xf>
    <xf numFmtId="168" fontId="12" fillId="3" borderId="18" xfId="9" applyNumberFormat="1" applyFont="1" applyFill="1" applyBorder="1" applyAlignment="1">
      <alignment horizontal="right" vertical="top"/>
    </xf>
    <xf numFmtId="0" fontId="12" fillId="3" borderId="24" xfId="9" applyFont="1" applyFill="1" applyBorder="1" applyAlignment="1">
      <alignment horizontal="left" vertical="top" wrapText="1"/>
    </xf>
    <xf numFmtId="0" fontId="12" fillId="3" borderId="18" xfId="9" applyFont="1" applyFill="1" applyBorder="1" applyAlignment="1">
      <alignment horizontal="left" vertical="top" wrapText="1"/>
    </xf>
    <xf numFmtId="0" fontId="11" fillId="4" borderId="19" xfId="9" applyFont="1" applyFill="1" applyBorder="1" applyAlignment="1">
      <alignment horizontal="left" vertical="top" wrapText="1"/>
    </xf>
    <xf numFmtId="167" fontId="12" fillId="3" borderId="20" xfId="9" applyNumberFormat="1" applyFont="1" applyFill="1" applyBorder="1" applyAlignment="1">
      <alignment horizontal="right" vertical="top"/>
    </xf>
    <xf numFmtId="0" fontId="12" fillId="3" borderId="25" xfId="9" applyFont="1" applyFill="1" applyBorder="1" applyAlignment="1">
      <alignment horizontal="left" vertical="top" wrapText="1"/>
    </xf>
    <xf numFmtId="0" fontId="12" fillId="3" borderId="21" xfId="9" applyFont="1" applyFill="1" applyBorder="1" applyAlignment="1">
      <alignment horizontal="left" vertical="top" wrapText="1"/>
    </xf>
    <xf numFmtId="0" fontId="11" fillId="0" borderId="11" xfId="9" applyFont="1" applyBorder="1" applyAlignment="1">
      <alignment horizontal="left" wrapText="1"/>
    </xf>
    <xf numFmtId="0" fontId="11" fillId="0" borderId="11" xfId="9" applyFont="1" applyBorder="1" applyAlignment="1">
      <alignment horizontal="center" wrapText="1"/>
    </xf>
    <xf numFmtId="0" fontId="12" fillId="3" borderId="13" xfId="9" applyFont="1" applyFill="1" applyBorder="1" applyAlignment="1">
      <alignment horizontal="right" vertical="top"/>
    </xf>
    <xf numFmtId="166" fontId="12" fillId="3" borderId="19" xfId="9" applyNumberFormat="1" applyFont="1" applyFill="1" applyBorder="1" applyAlignment="1">
      <alignment horizontal="right" vertical="top"/>
    </xf>
    <xf numFmtId="167" fontId="12" fillId="3" borderId="14" xfId="9" applyNumberFormat="1" applyFont="1" applyFill="1" applyBorder="1" applyAlignment="1">
      <alignment horizontal="right" vertical="top"/>
    </xf>
    <xf numFmtId="169" fontId="12" fillId="3" borderId="23" xfId="9" applyNumberFormat="1" applyFont="1" applyFill="1" applyBorder="1" applyAlignment="1">
      <alignment horizontal="right" vertical="top"/>
    </xf>
    <xf numFmtId="170" fontId="12" fillId="3" borderId="23" xfId="9" applyNumberFormat="1" applyFont="1" applyFill="1" applyBorder="1" applyAlignment="1">
      <alignment horizontal="right" vertical="top"/>
    </xf>
    <xf numFmtId="169" fontId="12" fillId="3" borderId="25" xfId="9" applyNumberFormat="1" applyFont="1" applyFill="1" applyBorder="1" applyAlignment="1">
      <alignment horizontal="right" vertical="top"/>
    </xf>
    <xf numFmtId="170" fontId="12" fillId="3" borderId="25" xfId="9" applyNumberFormat="1" applyFont="1" applyFill="1" applyBorder="1" applyAlignment="1">
      <alignment horizontal="right" vertical="top"/>
    </xf>
    <xf numFmtId="168" fontId="12" fillId="3" borderId="25" xfId="9" applyNumberFormat="1" applyFont="1" applyFill="1" applyBorder="1" applyAlignment="1">
      <alignment horizontal="right" vertical="top"/>
    </xf>
    <xf numFmtId="168" fontId="12" fillId="3" borderId="21" xfId="9" applyNumberFormat="1" applyFont="1" applyFill="1" applyBorder="1" applyAlignment="1">
      <alignment horizontal="right" vertical="top"/>
    </xf>
    <xf numFmtId="167" fontId="12" fillId="3" borderId="14" xfId="5" applyNumberFormat="1" applyFont="1" applyFill="1" applyBorder="1" applyAlignment="1">
      <alignment horizontal="right" vertical="top"/>
    </xf>
    <xf numFmtId="169" fontId="12" fillId="3" borderId="23" xfId="5" applyNumberFormat="1" applyFont="1" applyFill="1" applyBorder="1" applyAlignment="1">
      <alignment horizontal="right" vertical="top"/>
    </xf>
    <xf numFmtId="170" fontId="12" fillId="3" borderId="23" xfId="5" applyNumberFormat="1" applyFont="1" applyFill="1" applyBorder="1" applyAlignment="1">
      <alignment horizontal="right" vertical="top"/>
    </xf>
    <xf numFmtId="169" fontId="12" fillId="3" borderId="25" xfId="5" applyNumberFormat="1" applyFont="1" applyFill="1" applyBorder="1" applyAlignment="1">
      <alignment horizontal="right" vertical="top"/>
    </xf>
    <xf numFmtId="170" fontId="12" fillId="3" borderId="25" xfId="5" applyNumberFormat="1" applyFont="1" applyFill="1" applyBorder="1" applyAlignment="1">
      <alignment horizontal="right" vertical="top"/>
    </xf>
    <xf numFmtId="168" fontId="12" fillId="3" borderId="25" xfId="5" applyNumberFormat="1" applyFont="1" applyFill="1" applyBorder="1" applyAlignment="1">
      <alignment horizontal="right" vertical="top"/>
    </xf>
    <xf numFmtId="168" fontId="12" fillId="3" borderId="21" xfId="5" applyNumberFormat="1" applyFont="1" applyFill="1" applyBorder="1" applyAlignment="1">
      <alignment horizontal="right" vertical="top"/>
    </xf>
    <xf numFmtId="0" fontId="9" fillId="0" borderId="0" xfId="10"/>
    <xf numFmtId="0" fontId="11" fillId="0" borderId="9" xfId="10" applyFont="1" applyBorder="1" applyAlignment="1">
      <alignment horizontal="center" wrapText="1"/>
    </xf>
    <xf numFmtId="0" fontId="11" fillId="0" borderId="22" xfId="10" applyFont="1" applyBorder="1" applyAlignment="1">
      <alignment horizontal="center" wrapText="1"/>
    </xf>
    <xf numFmtId="0" fontId="11" fillId="0" borderId="10" xfId="10" applyFont="1" applyBorder="1" applyAlignment="1">
      <alignment horizontal="center" wrapText="1"/>
    </xf>
    <xf numFmtId="0" fontId="11" fillId="4" borderId="13" xfId="10" applyFont="1" applyFill="1" applyBorder="1" applyAlignment="1">
      <alignment horizontal="left" vertical="top" wrapText="1"/>
    </xf>
    <xf numFmtId="0" fontId="12" fillId="3" borderId="14" xfId="10" applyFont="1" applyFill="1" applyBorder="1" applyAlignment="1">
      <alignment horizontal="right" vertical="top"/>
    </xf>
    <xf numFmtId="168" fontId="12" fillId="3" borderId="23" xfId="10" applyNumberFormat="1" applyFont="1" applyFill="1" applyBorder="1" applyAlignment="1">
      <alignment horizontal="right" vertical="top"/>
    </xf>
    <xf numFmtId="168" fontId="12" fillId="3" borderId="15" xfId="10" applyNumberFormat="1" applyFont="1" applyFill="1" applyBorder="1" applyAlignment="1">
      <alignment horizontal="right" vertical="top"/>
    </xf>
    <xf numFmtId="0" fontId="11" fillId="4" borderId="16" xfId="10" applyFont="1" applyFill="1" applyBorder="1" applyAlignment="1">
      <alignment horizontal="left" vertical="top" wrapText="1"/>
    </xf>
    <xf numFmtId="0" fontId="12" fillId="3" borderId="17" xfId="10" applyFont="1" applyFill="1" applyBorder="1" applyAlignment="1">
      <alignment horizontal="right" vertical="top"/>
    </xf>
    <xf numFmtId="168" fontId="12" fillId="3" borderId="24" xfId="10" applyNumberFormat="1" applyFont="1" applyFill="1" applyBorder="1" applyAlignment="1">
      <alignment horizontal="right" vertical="top"/>
    </xf>
    <xf numFmtId="168" fontId="12" fillId="3" borderId="18" xfId="10" applyNumberFormat="1" applyFont="1" applyFill="1" applyBorder="1" applyAlignment="1">
      <alignment horizontal="right" vertical="top"/>
    </xf>
    <xf numFmtId="0" fontId="12" fillId="3" borderId="24" xfId="10" applyFont="1" applyFill="1" applyBorder="1" applyAlignment="1">
      <alignment horizontal="left" vertical="top" wrapText="1"/>
    </xf>
    <xf numFmtId="0" fontId="12" fillId="3" borderId="18" xfId="10" applyFont="1" applyFill="1" applyBorder="1" applyAlignment="1">
      <alignment horizontal="left" vertical="top" wrapText="1"/>
    </xf>
    <xf numFmtId="0" fontId="11" fillId="4" borderId="19" xfId="10" applyFont="1" applyFill="1" applyBorder="1" applyAlignment="1">
      <alignment horizontal="left" vertical="top" wrapText="1"/>
    </xf>
    <xf numFmtId="167" fontId="12" fillId="3" borderId="20" xfId="10" applyNumberFormat="1" applyFont="1" applyFill="1" applyBorder="1" applyAlignment="1">
      <alignment horizontal="right" vertical="top"/>
    </xf>
    <xf numFmtId="0" fontId="12" fillId="3" borderId="25" xfId="10" applyFont="1" applyFill="1" applyBorder="1" applyAlignment="1">
      <alignment horizontal="left" vertical="top" wrapText="1"/>
    </xf>
    <xf numFmtId="0" fontId="12" fillId="3" borderId="21" xfId="10" applyFont="1" applyFill="1" applyBorder="1" applyAlignment="1">
      <alignment horizontal="left" vertical="top" wrapText="1"/>
    </xf>
    <xf numFmtId="0" fontId="11" fillId="0" borderId="11" xfId="10" applyFont="1" applyBorder="1" applyAlignment="1">
      <alignment horizontal="left" wrapText="1"/>
    </xf>
    <xf numFmtId="0" fontId="12" fillId="3" borderId="13" xfId="10" applyFont="1" applyFill="1" applyBorder="1" applyAlignment="1">
      <alignment horizontal="right" vertical="top"/>
    </xf>
    <xf numFmtId="166" fontId="12" fillId="3" borderId="19" xfId="10" applyNumberFormat="1" applyFont="1" applyFill="1" applyBorder="1" applyAlignment="1">
      <alignment horizontal="right" vertical="top"/>
    </xf>
    <xf numFmtId="0" fontId="11" fillId="0" borderId="9" xfId="10" applyFont="1" applyBorder="1" applyAlignment="1">
      <alignment horizontal="center" vertical="top" wrapText="1"/>
    </xf>
    <xf numFmtId="0" fontId="11" fillId="0" borderId="22" xfId="10" applyFont="1" applyBorder="1" applyAlignment="1">
      <alignment horizontal="center" vertical="top" wrapText="1"/>
    </xf>
    <xf numFmtId="0" fontId="11" fillId="0" borderId="10" xfId="10" applyFont="1" applyBorder="1" applyAlignment="1">
      <alignment horizontal="center" vertical="top" wrapText="1"/>
    </xf>
    <xf numFmtId="0" fontId="9" fillId="0" borderId="0" xfId="10" applyAlignment="1">
      <alignment vertical="top"/>
    </xf>
    <xf numFmtId="0" fontId="0" fillId="0" borderId="0" xfId="0" applyAlignment="1">
      <alignment vertical="top"/>
    </xf>
    <xf numFmtId="0" fontId="11" fillId="0" borderId="11" xfId="10" applyFont="1" applyBorder="1" applyAlignment="1">
      <alignment horizontal="left" vertical="top" wrapText="1"/>
    </xf>
    <xf numFmtId="0" fontId="11" fillId="0" borderId="11" xfId="10" applyFont="1" applyBorder="1" applyAlignment="1">
      <alignment horizontal="center" vertical="top" wrapText="1"/>
    </xf>
    <xf numFmtId="167" fontId="12" fillId="3" borderId="14" xfId="10" applyNumberFormat="1" applyFont="1" applyFill="1" applyBorder="1" applyAlignment="1">
      <alignment horizontal="right" vertical="top"/>
    </xf>
    <xf numFmtId="169" fontId="12" fillId="3" borderId="23" xfId="10" applyNumberFormat="1" applyFont="1" applyFill="1" applyBorder="1" applyAlignment="1">
      <alignment horizontal="right" vertical="top"/>
    </xf>
    <xf numFmtId="170" fontId="12" fillId="3" borderId="23" xfId="10" applyNumberFormat="1" applyFont="1" applyFill="1" applyBorder="1" applyAlignment="1">
      <alignment horizontal="right" vertical="top"/>
    </xf>
    <xf numFmtId="169" fontId="12" fillId="3" borderId="25" xfId="10" applyNumberFormat="1" applyFont="1" applyFill="1" applyBorder="1" applyAlignment="1">
      <alignment horizontal="right" vertical="top"/>
    </xf>
    <xf numFmtId="170" fontId="12" fillId="3" borderId="25" xfId="10" applyNumberFormat="1" applyFont="1" applyFill="1" applyBorder="1" applyAlignment="1">
      <alignment horizontal="right" vertical="top"/>
    </xf>
    <xf numFmtId="168" fontId="12" fillId="3" borderId="25" xfId="10" applyNumberFormat="1" applyFont="1" applyFill="1" applyBorder="1" applyAlignment="1">
      <alignment horizontal="right" vertical="top"/>
    </xf>
    <xf numFmtId="168" fontId="12" fillId="3" borderId="21" xfId="10" applyNumberFormat="1" applyFont="1" applyFill="1" applyBorder="1" applyAlignment="1">
      <alignment horizontal="right" vertical="top"/>
    </xf>
    <xf numFmtId="0" fontId="11" fillId="0" borderId="9" xfId="5" applyFont="1" applyBorder="1" applyAlignment="1">
      <alignment horizontal="center" vertical="top" wrapText="1"/>
    </xf>
    <xf numFmtId="0" fontId="11" fillId="0" borderId="22" xfId="5" applyFont="1" applyBorder="1" applyAlignment="1">
      <alignment horizontal="center" vertical="top" wrapText="1"/>
    </xf>
    <xf numFmtId="0" fontId="11" fillId="0" borderId="10" xfId="5" applyFont="1" applyBorder="1" applyAlignment="1">
      <alignment horizontal="center" vertical="top" wrapText="1"/>
    </xf>
    <xf numFmtId="0" fontId="9" fillId="0" borderId="0" xfId="5" applyAlignment="1">
      <alignment vertical="top"/>
    </xf>
    <xf numFmtId="0" fontId="11" fillId="0" borderId="11" xfId="5" applyFont="1" applyBorder="1" applyAlignment="1">
      <alignment horizontal="left" vertical="top" wrapText="1"/>
    </xf>
    <xf numFmtId="0" fontId="11" fillId="0" borderId="11" xfId="5" applyFont="1" applyBorder="1" applyAlignment="1">
      <alignment horizontal="center" vertical="top" wrapText="1"/>
    </xf>
    <xf numFmtId="0" fontId="9" fillId="0" borderId="0" xfId="11"/>
    <xf numFmtId="0" fontId="11" fillId="0" borderId="9" xfId="11" applyFont="1" applyBorder="1" applyAlignment="1">
      <alignment horizontal="center" wrapText="1"/>
    </xf>
    <xf numFmtId="0" fontId="11" fillId="0" borderId="22" xfId="11" applyFont="1" applyBorder="1" applyAlignment="1">
      <alignment horizontal="center" wrapText="1"/>
    </xf>
    <xf numFmtId="0" fontId="11" fillId="0" borderId="10" xfId="11" applyFont="1" applyBorder="1" applyAlignment="1">
      <alignment horizontal="center" wrapText="1"/>
    </xf>
    <xf numFmtId="0" fontId="11" fillId="4" borderId="13" xfId="11" applyFont="1" applyFill="1" applyBorder="1" applyAlignment="1">
      <alignment horizontal="left" vertical="top" wrapText="1"/>
    </xf>
    <xf numFmtId="0" fontId="12" fillId="3" borderId="14" xfId="11" applyFont="1" applyFill="1" applyBorder="1" applyAlignment="1">
      <alignment horizontal="right" vertical="top"/>
    </xf>
    <xf numFmtId="168" fontId="12" fillId="3" borderId="23" xfId="11" applyNumberFormat="1" applyFont="1" applyFill="1" applyBorder="1" applyAlignment="1">
      <alignment horizontal="right" vertical="top"/>
    </xf>
    <xf numFmtId="168" fontId="12" fillId="3" borderId="15" xfId="11" applyNumberFormat="1" applyFont="1" applyFill="1" applyBorder="1" applyAlignment="1">
      <alignment horizontal="right" vertical="top"/>
    </xf>
    <xf numFmtId="0" fontId="11" fillId="4" borderId="16" xfId="11" applyFont="1" applyFill="1" applyBorder="1" applyAlignment="1">
      <alignment horizontal="left" vertical="top" wrapText="1"/>
    </xf>
    <xf numFmtId="0" fontId="12" fillId="3" borderId="17" xfId="11" applyFont="1" applyFill="1" applyBorder="1" applyAlignment="1">
      <alignment horizontal="right" vertical="top"/>
    </xf>
    <xf numFmtId="168" fontId="12" fillId="3" borderId="24" xfId="11" applyNumberFormat="1" applyFont="1" applyFill="1" applyBorder="1" applyAlignment="1">
      <alignment horizontal="right" vertical="top"/>
    </xf>
    <xf numFmtId="168" fontId="12" fillId="3" borderId="18" xfId="11" applyNumberFormat="1" applyFont="1" applyFill="1" applyBorder="1" applyAlignment="1">
      <alignment horizontal="right" vertical="top"/>
    </xf>
    <xf numFmtId="0" fontId="12" fillId="3" borderId="24" xfId="11" applyFont="1" applyFill="1" applyBorder="1" applyAlignment="1">
      <alignment horizontal="left" vertical="top" wrapText="1"/>
    </xf>
    <xf numFmtId="0" fontId="12" fillId="3" borderId="18" xfId="11" applyFont="1" applyFill="1" applyBorder="1" applyAlignment="1">
      <alignment horizontal="left" vertical="top" wrapText="1"/>
    </xf>
    <xf numFmtId="0" fontId="11" fillId="4" borderId="19" xfId="11" applyFont="1" applyFill="1" applyBorder="1" applyAlignment="1">
      <alignment horizontal="left" vertical="top" wrapText="1"/>
    </xf>
    <xf numFmtId="167" fontId="12" fillId="3" borderId="20" xfId="11" applyNumberFormat="1" applyFont="1" applyFill="1" applyBorder="1" applyAlignment="1">
      <alignment horizontal="right" vertical="top"/>
    </xf>
    <xf numFmtId="0" fontId="12" fillId="3" borderId="25" xfId="11" applyFont="1" applyFill="1" applyBorder="1" applyAlignment="1">
      <alignment horizontal="left" vertical="top" wrapText="1"/>
    </xf>
    <xf numFmtId="0" fontId="12" fillId="3" borderId="21" xfId="11" applyFont="1" applyFill="1" applyBorder="1" applyAlignment="1">
      <alignment horizontal="left" vertical="top" wrapText="1"/>
    </xf>
    <xf numFmtId="0" fontId="11" fillId="0" borderId="11" xfId="11" applyFont="1" applyBorder="1" applyAlignment="1">
      <alignment horizontal="left" wrapText="1"/>
    </xf>
    <xf numFmtId="0" fontId="12" fillId="3" borderId="13" xfId="11" applyFont="1" applyFill="1" applyBorder="1" applyAlignment="1">
      <alignment horizontal="right" vertical="top"/>
    </xf>
    <xf numFmtId="166" fontId="12" fillId="3" borderId="19" xfId="11" applyNumberFormat="1" applyFont="1" applyFill="1" applyBorder="1" applyAlignment="1">
      <alignment horizontal="right" vertical="top"/>
    </xf>
    <xf numFmtId="0" fontId="9" fillId="0" borderId="0" xfId="11" applyAlignment="1">
      <alignment vertical="top"/>
    </xf>
    <xf numFmtId="0" fontId="11" fillId="0" borderId="11" xfId="11" applyFont="1" applyBorder="1" applyAlignment="1">
      <alignment horizontal="left" vertical="top" wrapText="1"/>
    </xf>
    <xf numFmtId="0" fontId="11" fillId="0" borderId="11" xfId="11" applyFont="1" applyBorder="1" applyAlignment="1">
      <alignment horizontal="center" vertical="top" wrapText="1"/>
    </xf>
    <xf numFmtId="0" fontId="11" fillId="0" borderId="9" xfId="11" applyFont="1" applyBorder="1" applyAlignment="1">
      <alignment horizontal="center" vertical="top" wrapText="1"/>
    </xf>
    <xf numFmtId="0" fontId="11" fillId="0" borderId="22" xfId="11" applyFont="1" applyBorder="1" applyAlignment="1">
      <alignment horizontal="center" vertical="top" wrapText="1"/>
    </xf>
    <xf numFmtId="0" fontId="11" fillId="0" borderId="10" xfId="11" applyFont="1" applyBorder="1" applyAlignment="1">
      <alignment horizontal="center" vertical="top" wrapText="1"/>
    </xf>
    <xf numFmtId="167" fontId="12" fillId="3" borderId="14" xfId="11" applyNumberFormat="1" applyFont="1" applyFill="1" applyBorder="1" applyAlignment="1">
      <alignment horizontal="right" vertical="top"/>
    </xf>
    <xf numFmtId="169" fontId="12" fillId="3" borderId="23" xfId="11" applyNumberFormat="1" applyFont="1" applyFill="1" applyBorder="1" applyAlignment="1">
      <alignment horizontal="right" vertical="top"/>
    </xf>
    <xf numFmtId="170" fontId="12" fillId="3" borderId="23" xfId="11" applyNumberFormat="1" applyFont="1" applyFill="1" applyBorder="1" applyAlignment="1">
      <alignment horizontal="right" vertical="top"/>
    </xf>
    <xf numFmtId="169" fontId="12" fillId="3" borderId="25" xfId="11" applyNumberFormat="1" applyFont="1" applyFill="1" applyBorder="1" applyAlignment="1">
      <alignment horizontal="right" vertical="top"/>
    </xf>
    <xf numFmtId="170" fontId="12" fillId="3" borderId="25" xfId="11" applyNumberFormat="1" applyFont="1" applyFill="1" applyBorder="1" applyAlignment="1">
      <alignment horizontal="right" vertical="top"/>
    </xf>
    <xf numFmtId="168" fontId="12" fillId="3" borderId="25" xfId="11" applyNumberFormat="1" applyFont="1" applyFill="1" applyBorder="1" applyAlignment="1">
      <alignment horizontal="right" vertical="top"/>
    </xf>
    <xf numFmtId="168" fontId="12" fillId="3" borderId="21" xfId="11" applyNumberFormat="1" applyFont="1" applyFill="1" applyBorder="1" applyAlignment="1">
      <alignment horizontal="right" vertical="top"/>
    </xf>
    <xf numFmtId="0" fontId="11" fillId="0" borderId="9" xfId="6" applyFont="1" applyBorder="1" applyAlignment="1">
      <alignment horizontal="center" vertical="top" wrapText="1"/>
    </xf>
    <xf numFmtId="0" fontId="11" fillId="0" borderId="22" xfId="6" applyFont="1" applyBorder="1" applyAlignment="1">
      <alignment horizontal="center" vertical="top" wrapText="1"/>
    </xf>
    <xf numFmtId="0" fontId="11" fillId="0" borderId="10" xfId="6" applyFont="1" applyBorder="1" applyAlignment="1">
      <alignment horizontal="center" vertical="top" wrapText="1"/>
    </xf>
    <xf numFmtId="0" fontId="9" fillId="0" borderId="0" xfId="6" applyAlignment="1">
      <alignment vertical="top"/>
    </xf>
    <xf numFmtId="0" fontId="11" fillId="0" borderId="11" xfId="6" applyFont="1" applyBorder="1" applyAlignment="1">
      <alignment horizontal="left" vertical="top" wrapText="1"/>
    </xf>
    <xf numFmtId="0" fontId="11" fillId="0" borderId="11" xfId="6" applyFont="1" applyBorder="1" applyAlignment="1">
      <alignment horizontal="center" vertical="top" wrapText="1"/>
    </xf>
    <xf numFmtId="167" fontId="12" fillId="3" borderId="14" xfId="7" applyNumberFormat="1" applyFont="1" applyFill="1" applyBorder="1" applyAlignment="1">
      <alignment horizontal="right" vertical="top"/>
    </xf>
    <xf numFmtId="169" fontId="12" fillId="3" borderId="23" xfId="7" applyNumberFormat="1" applyFont="1" applyFill="1" applyBorder="1" applyAlignment="1">
      <alignment horizontal="right" vertical="top"/>
    </xf>
    <xf numFmtId="170" fontId="12" fillId="3" borderId="23" xfId="7" applyNumberFormat="1" applyFont="1" applyFill="1" applyBorder="1" applyAlignment="1">
      <alignment horizontal="right" vertical="top"/>
    </xf>
    <xf numFmtId="169" fontId="12" fillId="3" borderId="25" xfId="7" applyNumberFormat="1" applyFont="1" applyFill="1" applyBorder="1" applyAlignment="1">
      <alignment horizontal="right" vertical="top"/>
    </xf>
    <xf numFmtId="170" fontId="12" fillId="3" borderId="25" xfId="7" applyNumberFormat="1" applyFont="1" applyFill="1" applyBorder="1" applyAlignment="1">
      <alignment horizontal="right" vertical="top"/>
    </xf>
    <xf numFmtId="168" fontId="12" fillId="3" borderId="25" xfId="7" applyNumberFormat="1" applyFont="1" applyFill="1" applyBorder="1" applyAlignment="1">
      <alignment horizontal="right" vertical="top"/>
    </xf>
    <xf numFmtId="168" fontId="12" fillId="3" borderId="21" xfId="7" applyNumberFormat="1" applyFont="1" applyFill="1" applyBorder="1" applyAlignment="1">
      <alignment horizontal="right" vertical="top"/>
    </xf>
    <xf numFmtId="0" fontId="9" fillId="0" borderId="0" xfId="12"/>
    <xf numFmtId="0" fontId="11" fillId="0" borderId="9" xfId="12" applyFont="1" applyBorder="1" applyAlignment="1">
      <alignment horizontal="center" wrapText="1"/>
    </xf>
    <xf numFmtId="0" fontId="11" fillId="0" borderId="22" xfId="12" applyFont="1" applyBorder="1" applyAlignment="1">
      <alignment horizontal="center" wrapText="1"/>
    </xf>
    <xf numFmtId="0" fontId="11" fillId="0" borderId="10" xfId="12" applyFont="1" applyBorder="1" applyAlignment="1">
      <alignment horizontal="center" wrapText="1"/>
    </xf>
    <xf numFmtId="0" fontId="11" fillId="4" borderId="13" xfId="12" applyFont="1" applyFill="1" applyBorder="1" applyAlignment="1">
      <alignment horizontal="left" vertical="top" wrapText="1"/>
    </xf>
    <xf numFmtId="0" fontId="12" fillId="3" borderId="14" xfId="12" applyFont="1" applyFill="1" applyBorder="1" applyAlignment="1">
      <alignment horizontal="right" vertical="top"/>
    </xf>
    <xf numFmtId="168" fontId="12" fillId="3" borderId="23" xfId="12" applyNumberFormat="1" applyFont="1" applyFill="1" applyBorder="1" applyAlignment="1">
      <alignment horizontal="right" vertical="top"/>
    </xf>
    <xf numFmtId="168" fontId="12" fillId="3" borderId="15" xfId="12" applyNumberFormat="1" applyFont="1" applyFill="1" applyBorder="1" applyAlignment="1">
      <alignment horizontal="right" vertical="top"/>
    </xf>
    <xf numFmtId="0" fontId="11" fillId="4" borderId="16" xfId="12" applyFont="1" applyFill="1" applyBorder="1" applyAlignment="1">
      <alignment horizontal="left" vertical="top" wrapText="1"/>
    </xf>
    <xf numFmtId="0" fontId="12" fillId="3" borderId="17" xfId="12" applyFont="1" applyFill="1" applyBorder="1" applyAlignment="1">
      <alignment horizontal="right" vertical="top"/>
    </xf>
    <xf numFmtId="168" fontId="12" fillId="3" borderId="24" xfId="12" applyNumberFormat="1" applyFont="1" applyFill="1" applyBorder="1" applyAlignment="1">
      <alignment horizontal="right" vertical="top"/>
    </xf>
    <xf numFmtId="168" fontId="12" fillId="3" borderId="18" xfId="12" applyNumberFormat="1" applyFont="1" applyFill="1" applyBorder="1" applyAlignment="1">
      <alignment horizontal="right" vertical="top"/>
    </xf>
    <xf numFmtId="0" fontId="12" fillId="3" borderId="24" xfId="12" applyFont="1" applyFill="1" applyBorder="1" applyAlignment="1">
      <alignment horizontal="left" vertical="top" wrapText="1"/>
    </xf>
    <xf numFmtId="0" fontId="12" fillId="3" borderId="18" xfId="12" applyFont="1" applyFill="1" applyBorder="1" applyAlignment="1">
      <alignment horizontal="left" vertical="top" wrapText="1"/>
    </xf>
    <xf numFmtId="0" fontId="11" fillId="4" borderId="19" xfId="12" applyFont="1" applyFill="1" applyBorder="1" applyAlignment="1">
      <alignment horizontal="left" vertical="top" wrapText="1"/>
    </xf>
    <xf numFmtId="167" fontId="12" fillId="3" borderId="20" xfId="12" applyNumberFormat="1" applyFont="1" applyFill="1" applyBorder="1" applyAlignment="1">
      <alignment horizontal="right" vertical="top"/>
    </xf>
    <xf numFmtId="0" fontId="12" fillId="3" borderId="25" xfId="12" applyFont="1" applyFill="1" applyBorder="1" applyAlignment="1">
      <alignment horizontal="left" vertical="top" wrapText="1"/>
    </xf>
    <xf numFmtId="0" fontId="12" fillId="3" borderId="21" xfId="12" applyFont="1" applyFill="1" applyBorder="1" applyAlignment="1">
      <alignment horizontal="left" vertical="top" wrapText="1"/>
    </xf>
    <xf numFmtId="0" fontId="12" fillId="3" borderId="13" xfId="12" applyFont="1" applyFill="1" applyBorder="1" applyAlignment="1">
      <alignment horizontal="right" vertical="top"/>
    </xf>
    <xf numFmtId="166" fontId="12" fillId="3" borderId="19" xfId="12" applyNumberFormat="1" applyFont="1" applyFill="1" applyBorder="1" applyAlignment="1">
      <alignment horizontal="right" vertical="top"/>
    </xf>
    <xf numFmtId="0" fontId="11" fillId="0" borderId="9" xfId="12" applyFont="1" applyBorder="1" applyAlignment="1">
      <alignment horizontal="center" vertical="top" wrapText="1"/>
    </xf>
    <xf numFmtId="0" fontId="11" fillId="0" borderId="22" xfId="12" applyFont="1" applyBorder="1" applyAlignment="1">
      <alignment horizontal="center" vertical="top" wrapText="1"/>
    </xf>
    <xf numFmtId="0" fontId="11" fillId="0" borderId="10" xfId="12" applyFont="1" applyBorder="1" applyAlignment="1">
      <alignment horizontal="center" vertical="top" wrapText="1"/>
    </xf>
    <xf numFmtId="0" fontId="9" fillId="0" borderId="0" xfId="12" applyAlignment="1">
      <alignment vertical="top"/>
    </xf>
    <xf numFmtId="0" fontId="11" fillId="0" borderId="11" xfId="12" applyFont="1" applyBorder="1" applyAlignment="1">
      <alignment horizontal="left" vertical="top" wrapText="1"/>
    </xf>
    <xf numFmtId="0" fontId="11" fillId="0" borderId="11" xfId="12" applyFont="1" applyBorder="1" applyAlignment="1">
      <alignment horizontal="center" vertical="top" wrapText="1"/>
    </xf>
    <xf numFmtId="0" fontId="0" fillId="0" borderId="0" xfId="0" applyNumberFormat="1" applyBorder="1"/>
    <xf numFmtId="1" fontId="1" fillId="0" borderId="0" xfId="0" applyNumberFormat="1" applyFont="1" applyAlignment="1">
      <alignment horizontal="center" vertical="center"/>
    </xf>
    <xf numFmtId="0" fontId="2" fillId="0" borderId="0" xfId="1" applyFont="1" applyAlignment="1">
      <alignment horizontal="center"/>
    </xf>
    <xf numFmtId="1" fontId="0" fillId="0" borderId="0" xfId="0" applyNumberFormat="1" applyFont="1" applyAlignment="1">
      <alignment horizontal="center"/>
    </xf>
    <xf numFmtId="1" fontId="1" fillId="0" borderId="0" xfId="0" applyNumberFormat="1" applyFont="1" applyAlignment="1">
      <alignment horizontal="center"/>
    </xf>
    <xf numFmtId="1" fontId="2" fillId="0" borderId="0" xfId="1" applyNumberFormat="1" applyFont="1" applyAlignment="1">
      <alignment horizontal="center"/>
    </xf>
    <xf numFmtId="164" fontId="1" fillId="0" borderId="0" xfId="0" applyNumberFormat="1" applyFont="1" applyAlignment="1">
      <alignment horizontal="center"/>
    </xf>
    <xf numFmtId="2" fontId="0" fillId="0" borderId="0" xfId="0" applyNumberFormat="1" applyAlignment="1">
      <alignment horizontal="center"/>
    </xf>
    <xf numFmtId="0" fontId="0" fillId="2" borderId="0" xfId="0" applyFill="1" applyAlignment="1">
      <alignment horizontal="left" vertical="top" wrapText="1"/>
    </xf>
    <xf numFmtId="0" fontId="1" fillId="7" borderId="0" xfId="0" applyFont="1" applyFill="1"/>
    <xf numFmtId="1" fontId="4" fillId="7" borderId="0" xfId="0" applyNumberFormat="1" applyFont="1" applyFill="1" applyAlignment="1">
      <alignment horizontal="center" vertical="center"/>
    </xf>
    <xf numFmtId="0" fontId="0" fillId="7" borderId="0" xfId="0" applyFill="1" applyAlignment="1">
      <alignment horizontal="center"/>
    </xf>
    <xf numFmtId="0" fontId="1" fillId="8" borderId="0" xfId="0" applyFont="1" applyFill="1"/>
    <xf numFmtId="2" fontId="1" fillId="8" borderId="0" xfId="0" applyNumberFormat="1" applyFont="1" applyFill="1"/>
    <xf numFmtId="0" fontId="0" fillId="8" borderId="0" xfId="0" applyFill="1"/>
    <xf numFmtId="1" fontId="1" fillId="8" borderId="0" xfId="0" applyNumberFormat="1" applyFont="1" applyFill="1" applyAlignment="1">
      <alignment horizontal="center"/>
    </xf>
    <xf numFmtId="0" fontId="0" fillId="0" borderId="0" xfId="0" applyFont="1"/>
    <xf numFmtId="0" fontId="11" fillId="0" borderId="9" xfId="3" applyFont="1" applyBorder="1" applyAlignment="1">
      <alignment horizontal="center" vertical="top" wrapText="1"/>
    </xf>
    <xf numFmtId="0" fontId="11" fillId="0" borderId="22" xfId="3" applyFont="1" applyBorder="1" applyAlignment="1">
      <alignment horizontal="center" vertical="top" wrapText="1"/>
    </xf>
    <xf numFmtId="0" fontId="11" fillId="0" borderId="10" xfId="3" applyFont="1" applyBorder="1" applyAlignment="1">
      <alignment horizontal="center" vertical="top" wrapText="1"/>
    </xf>
    <xf numFmtId="0" fontId="9" fillId="0" borderId="0" xfId="3" applyAlignment="1">
      <alignment vertical="top"/>
    </xf>
    <xf numFmtId="0" fontId="11" fillId="0" borderId="11" xfId="3" applyFont="1" applyBorder="1" applyAlignment="1">
      <alignment horizontal="left" vertical="top" wrapText="1"/>
    </xf>
    <xf numFmtId="0" fontId="11" fillId="0" borderId="11" xfId="3" applyFont="1" applyBorder="1" applyAlignment="1">
      <alignment horizontal="center" vertical="top" wrapText="1"/>
    </xf>
    <xf numFmtId="167" fontId="12" fillId="3" borderId="14" xfId="6" applyNumberFormat="1" applyFont="1" applyFill="1" applyBorder="1" applyAlignment="1">
      <alignment horizontal="right" vertical="top"/>
    </xf>
    <xf numFmtId="169" fontId="12" fillId="3" borderId="23" xfId="6" applyNumberFormat="1" applyFont="1" applyFill="1" applyBorder="1" applyAlignment="1">
      <alignment horizontal="right" vertical="top"/>
    </xf>
    <xf numFmtId="170" fontId="12" fillId="3" borderId="23" xfId="6" applyNumberFormat="1" applyFont="1" applyFill="1" applyBorder="1" applyAlignment="1">
      <alignment horizontal="right" vertical="top"/>
    </xf>
    <xf numFmtId="169" fontId="12" fillId="3" borderId="25" xfId="6" applyNumberFormat="1" applyFont="1" applyFill="1" applyBorder="1" applyAlignment="1">
      <alignment horizontal="right" vertical="top"/>
    </xf>
    <xf numFmtId="170" fontId="12" fillId="3" borderId="25" xfId="6" applyNumberFormat="1" applyFont="1" applyFill="1" applyBorder="1" applyAlignment="1">
      <alignment horizontal="right" vertical="top"/>
    </xf>
    <xf numFmtId="168" fontId="12" fillId="3" borderId="25" xfId="6" applyNumberFormat="1" applyFont="1" applyFill="1" applyBorder="1" applyAlignment="1">
      <alignment horizontal="right" vertical="top"/>
    </xf>
    <xf numFmtId="168" fontId="12" fillId="3" borderId="21" xfId="6" applyNumberFormat="1" applyFont="1" applyFill="1" applyBorder="1" applyAlignment="1">
      <alignment horizontal="right" vertical="top"/>
    </xf>
    <xf numFmtId="0" fontId="9" fillId="0" borderId="0" xfId="13"/>
    <xf numFmtId="0" fontId="11" fillId="0" borderId="9" xfId="13" applyFont="1" applyBorder="1" applyAlignment="1">
      <alignment horizontal="center" wrapText="1"/>
    </xf>
    <xf numFmtId="0" fontId="11" fillId="0" borderId="22" xfId="13" applyFont="1" applyBorder="1" applyAlignment="1">
      <alignment horizontal="center" wrapText="1"/>
    </xf>
    <xf numFmtId="0" fontId="11" fillId="0" borderId="10" xfId="13" applyFont="1" applyBorder="1" applyAlignment="1">
      <alignment horizontal="center" wrapText="1"/>
    </xf>
    <xf numFmtId="0" fontId="11" fillId="4" borderId="13" xfId="13" applyFont="1" applyFill="1" applyBorder="1" applyAlignment="1">
      <alignment horizontal="left" vertical="top" wrapText="1"/>
    </xf>
    <xf numFmtId="0" fontId="12" fillId="3" borderId="14" xfId="13" applyFont="1" applyFill="1" applyBorder="1" applyAlignment="1">
      <alignment horizontal="right" vertical="top"/>
    </xf>
    <xf numFmtId="168" fontId="12" fillId="3" borderId="23" xfId="13" applyNumberFormat="1" applyFont="1" applyFill="1" applyBorder="1" applyAlignment="1">
      <alignment horizontal="right" vertical="top"/>
    </xf>
    <xf numFmtId="168" fontId="12" fillId="3" borderId="15" xfId="13" applyNumberFormat="1" applyFont="1" applyFill="1" applyBorder="1" applyAlignment="1">
      <alignment horizontal="right" vertical="top"/>
    </xf>
    <xf numFmtId="0" fontId="11" fillId="4" borderId="16" xfId="13" applyFont="1" applyFill="1" applyBorder="1" applyAlignment="1">
      <alignment horizontal="left" vertical="top" wrapText="1"/>
    </xf>
    <xf numFmtId="0" fontId="12" fillId="3" borderId="17" xfId="13" applyFont="1" applyFill="1" applyBorder="1" applyAlignment="1">
      <alignment horizontal="right" vertical="top"/>
    </xf>
    <xf numFmtId="168" fontId="12" fillId="3" borderId="24" xfId="13" applyNumberFormat="1" applyFont="1" applyFill="1" applyBorder="1" applyAlignment="1">
      <alignment horizontal="right" vertical="top"/>
    </xf>
    <xf numFmtId="168" fontId="12" fillId="3" borderId="18" xfId="13" applyNumberFormat="1" applyFont="1" applyFill="1" applyBorder="1" applyAlignment="1">
      <alignment horizontal="right" vertical="top"/>
    </xf>
    <xf numFmtId="0" fontId="12" fillId="3" borderId="24" xfId="13" applyFont="1" applyFill="1" applyBorder="1" applyAlignment="1">
      <alignment horizontal="left" vertical="top" wrapText="1"/>
    </xf>
    <xf numFmtId="0" fontId="12" fillId="3" borderId="18" xfId="13" applyFont="1" applyFill="1" applyBorder="1" applyAlignment="1">
      <alignment horizontal="left" vertical="top" wrapText="1"/>
    </xf>
    <xf numFmtId="0" fontId="11" fillId="4" borderId="19" xfId="13" applyFont="1" applyFill="1" applyBorder="1" applyAlignment="1">
      <alignment horizontal="left" vertical="top" wrapText="1"/>
    </xf>
    <xf numFmtId="167" fontId="12" fillId="3" borderId="20" xfId="13" applyNumberFormat="1" applyFont="1" applyFill="1" applyBorder="1" applyAlignment="1">
      <alignment horizontal="right" vertical="top"/>
    </xf>
    <xf numFmtId="0" fontId="12" fillId="3" borderId="25" xfId="13" applyFont="1" applyFill="1" applyBorder="1" applyAlignment="1">
      <alignment horizontal="left" vertical="top" wrapText="1"/>
    </xf>
    <xf numFmtId="0" fontId="12" fillId="3" borderId="21" xfId="13" applyFont="1" applyFill="1" applyBorder="1" applyAlignment="1">
      <alignment horizontal="left" vertical="top" wrapText="1"/>
    </xf>
    <xf numFmtId="0" fontId="11" fillId="0" borderId="11" xfId="13" applyFont="1" applyBorder="1" applyAlignment="1">
      <alignment horizontal="left" wrapText="1"/>
    </xf>
    <xf numFmtId="0" fontId="11" fillId="0" borderId="11" xfId="13" applyFont="1" applyBorder="1" applyAlignment="1">
      <alignment horizontal="center" wrapText="1"/>
    </xf>
    <xf numFmtId="0" fontId="12" fillId="3" borderId="13" xfId="13" applyFont="1" applyFill="1" applyBorder="1" applyAlignment="1">
      <alignment horizontal="right" vertical="top"/>
    </xf>
    <xf numFmtId="166" fontId="12" fillId="3" borderId="19" xfId="13" applyNumberFormat="1" applyFont="1" applyFill="1" applyBorder="1" applyAlignment="1">
      <alignment horizontal="right" vertical="top"/>
    </xf>
    <xf numFmtId="0" fontId="0" fillId="0" borderId="0" xfId="0"/>
    <xf numFmtId="10" fontId="0" fillId="0" borderId="0" xfId="0" applyNumberFormat="1" applyBorder="1"/>
    <xf numFmtId="0" fontId="1" fillId="0" borderId="0" xfId="0" applyFont="1" applyBorder="1"/>
    <xf numFmtId="0" fontId="0" fillId="0" borderId="7" xfId="0" applyBorder="1"/>
    <xf numFmtId="1" fontId="0" fillId="0" borderId="7" xfId="0" applyNumberFormat="1" applyBorder="1" applyAlignment="1">
      <alignment horizontal="center" vertical="center"/>
    </xf>
    <xf numFmtId="166" fontId="12" fillId="3" borderId="14" xfId="13" applyNumberFormat="1" applyFont="1" applyFill="1" applyBorder="1" applyAlignment="1">
      <alignment horizontal="right" vertical="top"/>
    </xf>
    <xf numFmtId="166" fontId="12" fillId="3" borderId="23" xfId="13" applyNumberFormat="1" applyFont="1" applyFill="1" applyBorder="1" applyAlignment="1">
      <alignment horizontal="right" vertical="top"/>
    </xf>
    <xf numFmtId="166" fontId="12" fillId="3" borderId="15" xfId="13" applyNumberFormat="1" applyFont="1" applyFill="1" applyBorder="1" applyAlignment="1">
      <alignment horizontal="right" vertical="top"/>
    </xf>
    <xf numFmtId="166" fontId="12" fillId="3" borderId="17" xfId="13" applyNumberFormat="1" applyFont="1" applyFill="1" applyBorder="1" applyAlignment="1">
      <alignment horizontal="right" vertical="top"/>
    </xf>
    <xf numFmtId="166" fontId="12" fillId="3" borderId="24" xfId="13" applyNumberFormat="1" applyFont="1" applyFill="1" applyBorder="1" applyAlignment="1">
      <alignment horizontal="right" vertical="top"/>
    </xf>
    <xf numFmtId="166" fontId="12" fillId="3" borderId="18" xfId="13" applyNumberFormat="1" applyFont="1" applyFill="1" applyBorder="1" applyAlignment="1">
      <alignment horizontal="right" vertical="top"/>
    </xf>
    <xf numFmtId="166" fontId="12" fillId="3" borderId="20" xfId="13" applyNumberFormat="1" applyFont="1" applyFill="1" applyBorder="1" applyAlignment="1">
      <alignment horizontal="right" vertical="top"/>
    </xf>
    <xf numFmtId="166" fontId="12" fillId="3" borderId="25" xfId="13" applyNumberFormat="1" applyFont="1" applyFill="1" applyBorder="1" applyAlignment="1">
      <alignment horizontal="right" vertical="top"/>
    </xf>
    <xf numFmtId="166" fontId="12" fillId="3" borderId="21" xfId="13" applyNumberFormat="1" applyFont="1" applyFill="1" applyBorder="1" applyAlignment="1">
      <alignment horizontal="right" vertical="top"/>
    </xf>
    <xf numFmtId="0" fontId="10" fillId="0" borderId="0" xfId="3" applyFont="1" applyBorder="1" applyAlignment="1">
      <alignment horizontal="center" vertical="center" wrapText="1"/>
    </xf>
    <xf numFmtId="0" fontId="12" fillId="0" borderId="0" xfId="3" applyFont="1" applyBorder="1" applyAlignment="1">
      <alignment horizontal="left" vertical="top" wrapText="1"/>
    </xf>
    <xf numFmtId="0" fontId="11" fillId="0" borderId="11" xfId="3" applyFont="1" applyBorder="1" applyAlignment="1">
      <alignment horizontal="left" vertical="top" wrapText="1"/>
    </xf>
    <xf numFmtId="0" fontId="11" fillId="4" borderId="12" xfId="3" applyFont="1" applyFill="1" applyBorder="1" applyAlignment="1">
      <alignment horizontal="left" vertical="top" wrapText="1"/>
    </xf>
    <xf numFmtId="0" fontId="11" fillId="4" borderId="16" xfId="3" applyFont="1" applyFill="1" applyBorder="1" applyAlignment="1">
      <alignment horizontal="left" vertical="top" wrapText="1"/>
    </xf>
    <xf numFmtId="0" fontId="11" fillId="4" borderId="19" xfId="3" applyFont="1" applyFill="1" applyBorder="1" applyAlignment="1">
      <alignment horizontal="left" vertical="top" wrapText="1"/>
    </xf>
    <xf numFmtId="0" fontId="12" fillId="0" borderId="0" xfId="3" applyFont="1" applyFill="1" applyBorder="1" applyAlignment="1">
      <alignment horizontal="left" vertical="top" wrapText="1"/>
    </xf>
    <xf numFmtId="0" fontId="0" fillId="0" borderId="0" xfId="0" applyAlignment="1">
      <alignment horizontal="center"/>
    </xf>
    <xf numFmtId="0" fontId="10" fillId="0" borderId="0" xfId="4" applyFont="1" applyBorder="1" applyAlignment="1">
      <alignment horizontal="center" vertical="center" wrapText="1"/>
    </xf>
    <xf numFmtId="0" fontId="11" fillId="0" borderId="11" xfId="4" applyFont="1" applyBorder="1" applyAlignment="1">
      <alignment horizontal="left" wrapText="1"/>
    </xf>
    <xf numFmtId="0" fontId="11" fillId="4" borderId="12" xfId="4" applyFont="1" applyFill="1" applyBorder="1" applyAlignment="1">
      <alignment horizontal="left" vertical="top" wrapText="1"/>
    </xf>
    <xf numFmtId="0" fontId="11" fillId="4" borderId="16" xfId="4" applyFont="1" applyFill="1" applyBorder="1" applyAlignment="1">
      <alignment horizontal="left" vertical="top" wrapText="1"/>
    </xf>
    <xf numFmtId="0" fontId="11" fillId="4" borderId="19" xfId="4" applyFont="1" applyFill="1" applyBorder="1" applyAlignment="1">
      <alignment horizontal="left" vertical="top" wrapText="1"/>
    </xf>
    <xf numFmtId="0" fontId="12" fillId="0" borderId="0" xfId="4" applyFont="1" applyBorder="1" applyAlignment="1">
      <alignment horizontal="left" vertical="top" wrapText="1"/>
    </xf>
    <xf numFmtId="0" fontId="12" fillId="0" borderId="0" xfId="4" applyFont="1" applyFill="1" applyBorder="1" applyAlignment="1">
      <alignment horizontal="left" vertical="top" wrapText="1"/>
    </xf>
    <xf numFmtId="0" fontId="10" fillId="0" borderId="0" xfId="9" applyFont="1" applyBorder="1" applyAlignment="1">
      <alignment horizontal="center" vertical="center" wrapText="1"/>
    </xf>
    <xf numFmtId="0" fontId="12" fillId="0" borderId="0" xfId="9" applyFont="1" applyBorder="1" applyAlignment="1">
      <alignment horizontal="left" vertical="top" wrapText="1"/>
    </xf>
    <xf numFmtId="0" fontId="11" fillId="0" borderId="11" xfId="9" applyFont="1" applyBorder="1" applyAlignment="1">
      <alignment horizontal="left" wrapText="1"/>
    </xf>
    <xf numFmtId="0" fontId="11" fillId="4" borderId="12" xfId="9" applyFont="1" applyFill="1" applyBorder="1" applyAlignment="1">
      <alignment horizontal="left" vertical="top" wrapText="1"/>
    </xf>
    <xf numFmtId="0" fontId="11" fillId="4" borderId="16" xfId="9" applyFont="1" applyFill="1" applyBorder="1" applyAlignment="1">
      <alignment horizontal="left" vertical="top" wrapText="1"/>
    </xf>
    <xf numFmtId="0" fontId="11" fillId="4" borderId="19" xfId="9" applyFont="1" applyFill="1" applyBorder="1" applyAlignment="1">
      <alignment horizontal="left" vertical="top" wrapText="1"/>
    </xf>
    <xf numFmtId="0" fontId="10" fillId="0" borderId="0" xfId="11" applyFont="1" applyBorder="1" applyAlignment="1">
      <alignment horizontal="center" vertical="top" wrapText="1"/>
    </xf>
    <xf numFmtId="0" fontId="12" fillId="0" borderId="0" xfId="11" applyFont="1" applyBorder="1" applyAlignment="1">
      <alignment horizontal="left" vertical="top" wrapText="1"/>
    </xf>
    <xf numFmtId="0" fontId="10" fillId="0" borderId="0" xfId="11" applyFont="1" applyBorder="1" applyAlignment="1">
      <alignment horizontal="center" vertical="center" wrapText="1"/>
    </xf>
    <xf numFmtId="0" fontId="11" fillId="0" borderId="11" xfId="11" applyFont="1" applyBorder="1" applyAlignment="1">
      <alignment horizontal="left" vertical="top" wrapText="1"/>
    </xf>
    <xf numFmtId="0" fontId="11" fillId="4" borderId="12" xfId="11" applyFont="1" applyFill="1" applyBorder="1" applyAlignment="1">
      <alignment horizontal="left" vertical="top" wrapText="1"/>
    </xf>
    <xf numFmtId="0" fontId="11" fillId="4" borderId="16" xfId="11" applyFont="1" applyFill="1" applyBorder="1" applyAlignment="1">
      <alignment horizontal="left" vertical="top" wrapText="1"/>
    </xf>
    <xf numFmtId="0" fontId="11" fillId="4" borderId="19" xfId="11" applyFont="1" applyFill="1" applyBorder="1" applyAlignment="1">
      <alignment horizontal="left" vertical="top" wrapText="1"/>
    </xf>
    <xf numFmtId="0" fontId="10" fillId="0" borderId="0" xfId="5" applyFont="1" applyBorder="1" applyAlignment="1">
      <alignment horizontal="center" vertical="center" wrapText="1"/>
    </xf>
    <xf numFmtId="0" fontId="12" fillId="0" borderId="0" xfId="5" applyFont="1" applyBorder="1" applyAlignment="1">
      <alignment horizontal="left" vertical="top" wrapText="1"/>
    </xf>
    <xf numFmtId="0" fontId="11" fillId="0" borderId="11" xfId="5" applyFont="1" applyBorder="1" applyAlignment="1">
      <alignment horizontal="left" vertical="top" wrapText="1"/>
    </xf>
    <xf numFmtId="0" fontId="11" fillId="4" borderId="12" xfId="5" applyFont="1" applyFill="1" applyBorder="1" applyAlignment="1">
      <alignment horizontal="left" vertical="top" wrapText="1"/>
    </xf>
    <xf numFmtId="0" fontId="11" fillId="4" borderId="16" xfId="5" applyFont="1" applyFill="1" applyBorder="1" applyAlignment="1">
      <alignment horizontal="left" vertical="top" wrapText="1"/>
    </xf>
    <xf numFmtId="0" fontId="11" fillId="4" borderId="19" xfId="5" applyFont="1" applyFill="1" applyBorder="1" applyAlignment="1">
      <alignment horizontal="left" vertical="top" wrapText="1"/>
    </xf>
    <xf numFmtId="0" fontId="10" fillId="0" borderId="0" xfId="10" applyFont="1" applyBorder="1" applyAlignment="1">
      <alignment horizontal="center" vertical="center" wrapText="1"/>
    </xf>
    <xf numFmtId="0" fontId="12" fillId="0" borderId="0" xfId="10" applyFont="1" applyBorder="1" applyAlignment="1">
      <alignment horizontal="left" vertical="top" wrapText="1"/>
    </xf>
    <xf numFmtId="0" fontId="11" fillId="0" borderId="11" xfId="10" applyFont="1" applyBorder="1" applyAlignment="1">
      <alignment horizontal="left" vertical="top" wrapText="1"/>
    </xf>
    <xf numFmtId="0" fontId="11" fillId="4" borderId="12" xfId="10" applyFont="1" applyFill="1" applyBorder="1" applyAlignment="1">
      <alignment horizontal="left" vertical="top" wrapText="1"/>
    </xf>
    <xf numFmtId="0" fontId="11" fillId="4" borderId="16" xfId="10" applyFont="1" applyFill="1" applyBorder="1" applyAlignment="1">
      <alignment horizontal="left" vertical="top" wrapText="1"/>
    </xf>
    <xf numFmtId="0" fontId="11" fillId="4" borderId="19" xfId="10" applyFont="1" applyFill="1" applyBorder="1" applyAlignment="1">
      <alignment horizontal="left" vertical="top" wrapText="1"/>
    </xf>
    <xf numFmtId="0" fontId="10" fillId="0" borderId="0" xfId="6" applyFont="1" applyBorder="1" applyAlignment="1">
      <alignment horizontal="center" vertical="center" wrapText="1"/>
    </xf>
    <xf numFmtId="0" fontId="12" fillId="0" borderId="0" xfId="6" applyFont="1" applyBorder="1" applyAlignment="1">
      <alignment horizontal="left" vertical="top" wrapText="1"/>
    </xf>
    <xf numFmtId="0" fontId="11" fillId="0" borderId="11" xfId="6" applyFont="1" applyBorder="1" applyAlignment="1">
      <alignment horizontal="left" vertical="top" wrapText="1"/>
    </xf>
    <xf numFmtId="0" fontId="11" fillId="4" borderId="12" xfId="6" applyFont="1" applyFill="1" applyBorder="1" applyAlignment="1">
      <alignment horizontal="left" vertical="top" wrapText="1"/>
    </xf>
    <xf numFmtId="0" fontId="11" fillId="4" borderId="16" xfId="6" applyFont="1" applyFill="1" applyBorder="1" applyAlignment="1">
      <alignment horizontal="left" vertical="top" wrapText="1"/>
    </xf>
    <xf numFmtId="0" fontId="11" fillId="4" borderId="19" xfId="6" applyFont="1" applyFill="1" applyBorder="1" applyAlignment="1">
      <alignment horizontal="left" vertical="top" wrapText="1"/>
    </xf>
    <xf numFmtId="0" fontId="10" fillId="0" borderId="0" xfId="7" applyFont="1" applyBorder="1" applyAlignment="1">
      <alignment horizontal="center" vertical="center" wrapText="1"/>
    </xf>
    <xf numFmtId="0" fontId="12" fillId="0" borderId="0" xfId="7" applyFont="1" applyBorder="1" applyAlignment="1">
      <alignment horizontal="left" vertical="top" wrapText="1"/>
    </xf>
    <xf numFmtId="0" fontId="11" fillId="0" borderId="11" xfId="7" applyFont="1" applyBorder="1" applyAlignment="1">
      <alignment horizontal="left" wrapText="1"/>
    </xf>
    <xf numFmtId="0" fontId="11" fillId="4" borderId="12" xfId="7" applyFont="1" applyFill="1" applyBorder="1" applyAlignment="1">
      <alignment horizontal="left" vertical="top" wrapText="1"/>
    </xf>
    <xf numFmtId="0" fontId="11" fillId="4" borderId="16" xfId="7" applyFont="1" applyFill="1" applyBorder="1" applyAlignment="1">
      <alignment horizontal="left" vertical="top" wrapText="1"/>
    </xf>
    <xf numFmtId="0" fontId="11" fillId="4" borderId="19" xfId="7" applyFont="1" applyFill="1" applyBorder="1" applyAlignment="1">
      <alignment horizontal="left" vertical="top" wrapText="1"/>
    </xf>
    <xf numFmtId="0" fontId="12" fillId="0" borderId="0" xfId="7" applyFont="1" applyFill="1" applyBorder="1" applyAlignment="1">
      <alignment horizontal="left" vertical="top" wrapText="1"/>
    </xf>
    <xf numFmtId="0" fontId="12" fillId="0" borderId="0" xfId="12" applyFont="1" applyBorder="1" applyAlignment="1">
      <alignment horizontal="left" vertical="top" wrapText="1"/>
    </xf>
    <xf numFmtId="0" fontId="10" fillId="0" borderId="0" xfId="12" applyFont="1" applyBorder="1" applyAlignment="1">
      <alignment horizontal="center" vertical="center" wrapText="1"/>
    </xf>
    <xf numFmtId="0" fontId="11" fillId="0" borderId="11" xfId="12" applyFont="1" applyBorder="1" applyAlignment="1">
      <alignment horizontal="left" wrapText="1"/>
    </xf>
    <xf numFmtId="0" fontId="11" fillId="4" borderId="12" xfId="12" applyFont="1" applyFill="1" applyBorder="1" applyAlignment="1">
      <alignment horizontal="left" vertical="top" wrapText="1"/>
    </xf>
    <xf numFmtId="0" fontId="11" fillId="4" borderId="16" xfId="12" applyFont="1" applyFill="1" applyBorder="1" applyAlignment="1">
      <alignment horizontal="left" vertical="top" wrapText="1"/>
    </xf>
    <xf numFmtId="0" fontId="11" fillId="4" borderId="19" xfId="12" applyFont="1" applyFill="1" applyBorder="1" applyAlignment="1">
      <alignment horizontal="left" vertical="top" wrapText="1"/>
    </xf>
    <xf numFmtId="0" fontId="11" fillId="0" borderId="11" xfId="12" applyFont="1" applyBorder="1" applyAlignment="1">
      <alignment horizontal="left" vertical="top" wrapText="1"/>
    </xf>
    <xf numFmtId="0" fontId="10" fillId="0" borderId="0" xfId="13" applyFont="1" applyBorder="1" applyAlignment="1">
      <alignment horizontal="center" vertical="center" wrapText="1"/>
    </xf>
    <xf numFmtId="0" fontId="11" fillId="0" borderId="11" xfId="13" applyFont="1" applyBorder="1" applyAlignment="1">
      <alignment horizontal="left" wrapText="1"/>
    </xf>
    <xf numFmtId="0" fontId="11" fillId="4" borderId="12" xfId="13" applyFont="1" applyFill="1" applyBorder="1" applyAlignment="1">
      <alignment horizontal="left" vertical="top" wrapText="1"/>
    </xf>
    <xf numFmtId="0" fontId="11" fillId="4" borderId="16" xfId="13" applyFont="1" applyFill="1" applyBorder="1" applyAlignment="1">
      <alignment horizontal="left" vertical="top" wrapText="1"/>
    </xf>
    <xf numFmtId="0" fontId="11" fillId="4" borderId="19" xfId="13" applyFont="1" applyFill="1" applyBorder="1" applyAlignment="1">
      <alignment horizontal="left" vertical="top" wrapText="1"/>
    </xf>
    <xf numFmtId="0" fontId="12" fillId="0" borderId="0" xfId="13" applyFont="1" applyBorder="1" applyAlignment="1">
      <alignment horizontal="left" vertical="top" wrapText="1"/>
    </xf>
    <xf numFmtId="0" fontId="10" fillId="0" borderId="0" xfId="8" applyFont="1" applyBorder="1" applyAlignment="1">
      <alignment horizontal="center" vertical="center" wrapText="1"/>
    </xf>
    <xf numFmtId="0" fontId="12" fillId="0" borderId="0" xfId="8" applyFont="1" applyBorder="1" applyAlignment="1">
      <alignment horizontal="left" vertical="top" wrapText="1"/>
    </xf>
    <xf numFmtId="0" fontId="11" fillId="0" borderId="11" xfId="8" applyFont="1" applyBorder="1" applyAlignment="1">
      <alignment horizontal="left" wrapText="1"/>
    </xf>
    <xf numFmtId="0" fontId="11" fillId="4" borderId="12" xfId="8" applyFont="1" applyFill="1" applyBorder="1" applyAlignment="1">
      <alignment horizontal="left" vertical="top" wrapText="1"/>
    </xf>
    <xf numFmtId="0" fontId="11" fillId="4" borderId="16" xfId="8" applyFont="1" applyFill="1" applyBorder="1" applyAlignment="1">
      <alignment horizontal="left" vertical="top" wrapText="1"/>
    </xf>
    <xf numFmtId="0" fontId="11" fillId="4" borderId="19" xfId="8" applyFont="1" applyFill="1" applyBorder="1" applyAlignment="1">
      <alignment horizontal="left" vertical="top" wrapText="1"/>
    </xf>
    <xf numFmtId="0" fontId="12" fillId="0" borderId="0" xfId="8" applyFont="1" applyFill="1" applyBorder="1" applyAlignment="1">
      <alignment horizontal="left" vertical="top" wrapText="1"/>
    </xf>
  </cellXfs>
  <cellStyles count="14">
    <cellStyle name="Normal" xfId="0" builtinId="0"/>
    <cellStyle name="Normal 2" xfId="1" xr:uid="{AE33079C-83B1-49E6-9970-3F06FF654E16}"/>
    <cellStyle name="Normal_S-Ambiguity" xfId="2" xr:uid="{E2B4AFC5-65A3-4EDC-A2D6-4450F96F7C93}"/>
    <cellStyle name="Normal_Sheet21" xfId="12" xr:uid="{9703BD53-BBE1-414E-842F-906C8CA0C9C2}"/>
    <cellStyle name="Normal_Wilcoxon" xfId="3" xr:uid="{4C4B9116-3428-4932-B3F5-C6BA49D8F4F7}"/>
    <cellStyle name="Normal_Wilcoxon -hypothesis 1" xfId="13" xr:uid="{5EB351F6-8D26-4C64-81B5-03AC4A6953F4}"/>
    <cellStyle name="Normal_Wilcoxon-ConMean" xfId="10" xr:uid="{E0412DB4-6012-4981-B96A-DADA253C388A}"/>
    <cellStyle name="Normal_Wilcoxon-Contruct" xfId="11" xr:uid="{C4295D7E-CBB8-4CDB-B473-225C56DF667D}"/>
    <cellStyle name="Normal_Wilcoxon-dialogue" xfId="5" xr:uid="{7A168D7C-904C-45E3-9CB9-496EE0B5D368}"/>
    <cellStyle name="Normal_Wilcoxon-diversity" xfId="6" xr:uid="{A3A37C09-871C-4CD5-A91C-BA43FA5E7450}"/>
    <cellStyle name="Normal_Wilcoxon-Frag" xfId="4" xr:uid="{41149765-010E-49BE-BA32-3FD152CE132B}"/>
    <cellStyle name="Normal_Wilcoxon-hypothesis 2 (2)" xfId="8" xr:uid="{AD19550D-656F-40A6-97B1-05D44FE99C90}"/>
    <cellStyle name="Normal_Wilcoxon-Ref integory" xfId="7" xr:uid="{4FB5E938-3225-4404-89F4-9D912B96F665}"/>
    <cellStyle name="Normal_Wilcoxon-uncert" xfId="9" xr:uid="{64095D2E-C2C4-4858-8248-7BDEE08794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GB"/>
              <a:t>Ambiguity coefficient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cap="rnd">
                <a:solidFill>
                  <a:schemeClr val="accent1"/>
                </a:solidFill>
                <a:round/>
              </a:ln>
              <a:effectLst>
                <a:outerShdw blurRad="57150" dist="19050" dir="5400000" algn="ctr" rotWithShape="0">
                  <a:srgbClr val="000000">
                    <a:alpha val="63000"/>
                  </a:srgbClr>
                </a:outerShdw>
              </a:effectLst>
            </c:spPr>
          </c:marker>
          <c:trendline>
            <c:spPr>
              <a:ln w="19050" cap="rnd">
                <a:solidFill>
                  <a:schemeClr val="accent1"/>
                </a:solidFill>
              </a:ln>
              <a:effectLst/>
            </c:spPr>
            <c:trendlineType val="linear"/>
            <c:dispRSqr val="1"/>
            <c:dispEq val="0"/>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'S-Ambiguity'!$D$2:$D$11</c:f>
              <c:numCache>
                <c:formatCode>General</c:formatCode>
                <c:ptCount val="10"/>
                <c:pt idx="0">
                  <c:v>8.5</c:v>
                </c:pt>
                <c:pt idx="1">
                  <c:v>8.5</c:v>
                </c:pt>
                <c:pt idx="2">
                  <c:v>8.5</c:v>
                </c:pt>
                <c:pt idx="3">
                  <c:v>5</c:v>
                </c:pt>
                <c:pt idx="4">
                  <c:v>5</c:v>
                </c:pt>
                <c:pt idx="5">
                  <c:v>5</c:v>
                </c:pt>
                <c:pt idx="6">
                  <c:v>8.5</c:v>
                </c:pt>
                <c:pt idx="7">
                  <c:v>2.5</c:v>
                </c:pt>
                <c:pt idx="8">
                  <c:v>2.5</c:v>
                </c:pt>
                <c:pt idx="9">
                  <c:v>1</c:v>
                </c:pt>
              </c:numCache>
            </c:numRef>
          </c:xVal>
          <c:yVal>
            <c:numRef>
              <c:f>'S-Ambiguity'!$E$2:$E$11</c:f>
              <c:numCache>
                <c:formatCode>General</c:formatCode>
                <c:ptCount val="10"/>
                <c:pt idx="0">
                  <c:v>7.5</c:v>
                </c:pt>
                <c:pt idx="1">
                  <c:v>7.5</c:v>
                </c:pt>
                <c:pt idx="2">
                  <c:v>7.5</c:v>
                </c:pt>
                <c:pt idx="3">
                  <c:v>7.5</c:v>
                </c:pt>
                <c:pt idx="4">
                  <c:v>7.5</c:v>
                </c:pt>
                <c:pt idx="5">
                  <c:v>7.5</c:v>
                </c:pt>
                <c:pt idx="6">
                  <c:v>2.5</c:v>
                </c:pt>
                <c:pt idx="7">
                  <c:v>2.5</c:v>
                </c:pt>
                <c:pt idx="8">
                  <c:v>2.5</c:v>
                </c:pt>
                <c:pt idx="9">
                  <c:v>2.5</c:v>
                </c:pt>
              </c:numCache>
            </c:numRef>
          </c:yVal>
          <c:smooth val="0"/>
          <c:extLst>
            <c:ext xmlns:c16="http://schemas.microsoft.com/office/drawing/2014/chart" uri="{C3380CC4-5D6E-409C-BE32-E72D297353CC}">
              <c16:uniqueId val="{00000000-9296-4624-91C9-47B63ED4DC61}"/>
            </c:ext>
          </c:extLst>
        </c:ser>
        <c:dLbls>
          <c:showLegendKey val="0"/>
          <c:showVal val="0"/>
          <c:showCatName val="0"/>
          <c:showSerName val="0"/>
          <c:showPercent val="0"/>
          <c:showBubbleSize val="0"/>
        </c:dLbls>
        <c:axId val="463130816"/>
        <c:axId val="463128192"/>
      </c:scatterChart>
      <c:valAx>
        <c:axId val="463130816"/>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128192"/>
        <c:crosses val="autoZero"/>
        <c:crossBetween val="midCat"/>
      </c:valAx>
      <c:valAx>
        <c:axId val="463128192"/>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1308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Engagement trend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'Engage Trend'!$B$12</c:f>
              <c:strCache>
                <c:ptCount val="1"/>
                <c:pt idx="0">
                  <c:v>Posttest</c:v>
                </c:pt>
              </c:strCache>
            </c:strRef>
          </c:tx>
          <c:spPr>
            <a:ln w="19050" cap="rnd">
              <a:solidFill>
                <a:schemeClr val="accent1"/>
              </a:solidFill>
              <a:round/>
            </a:ln>
            <a:effectLst/>
          </c:spPr>
          <c:marker>
            <c:symbol val="none"/>
          </c:marker>
          <c:xVal>
            <c:strRef>
              <c:f>'Engage Trend'!$A$13:$A$17</c:f>
              <c:strCache>
                <c:ptCount val="5"/>
                <c:pt idx="0">
                  <c:v>Far above average</c:v>
                </c:pt>
                <c:pt idx="1">
                  <c:v>Somewhat above average</c:v>
                </c:pt>
                <c:pt idx="2">
                  <c:v>Average</c:v>
                </c:pt>
                <c:pt idx="3">
                  <c:v>Somewhat below average</c:v>
                </c:pt>
                <c:pt idx="4">
                  <c:v>Far below average</c:v>
                </c:pt>
              </c:strCache>
            </c:strRef>
          </c:xVal>
          <c:yVal>
            <c:numRef>
              <c:f>'Engage Trend'!$B$13:$B$17</c:f>
              <c:numCache>
                <c:formatCode>0%</c:formatCode>
                <c:ptCount val="5"/>
                <c:pt idx="0">
                  <c:v>0.3</c:v>
                </c:pt>
                <c:pt idx="1">
                  <c:v>0.5</c:v>
                </c:pt>
                <c:pt idx="2">
                  <c:v>0.2</c:v>
                </c:pt>
                <c:pt idx="3">
                  <c:v>0</c:v>
                </c:pt>
                <c:pt idx="4">
                  <c:v>0</c:v>
                </c:pt>
              </c:numCache>
            </c:numRef>
          </c:yVal>
          <c:smooth val="1"/>
          <c:extLst>
            <c:ext xmlns:c16="http://schemas.microsoft.com/office/drawing/2014/chart" uri="{C3380CC4-5D6E-409C-BE32-E72D297353CC}">
              <c16:uniqueId val="{00000000-0F2E-4981-AD32-3192AD92CB0D}"/>
            </c:ext>
          </c:extLst>
        </c:ser>
        <c:ser>
          <c:idx val="1"/>
          <c:order val="1"/>
          <c:tx>
            <c:strRef>
              <c:f>'Engage Trend'!$C$12</c:f>
              <c:strCache>
                <c:ptCount val="1"/>
                <c:pt idx="0">
                  <c:v>Pretest</c:v>
                </c:pt>
              </c:strCache>
            </c:strRef>
          </c:tx>
          <c:spPr>
            <a:ln w="19050" cap="rnd">
              <a:solidFill>
                <a:schemeClr val="accent2"/>
              </a:solidFill>
              <a:round/>
            </a:ln>
            <a:effectLst/>
          </c:spPr>
          <c:marker>
            <c:symbol val="none"/>
          </c:marker>
          <c:xVal>
            <c:strRef>
              <c:f>'Engage Trend'!$A$13:$A$17</c:f>
              <c:strCache>
                <c:ptCount val="5"/>
                <c:pt idx="0">
                  <c:v>Far above average</c:v>
                </c:pt>
                <c:pt idx="1">
                  <c:v>Somewhat above average</c:v>
                </c:pt>
                <c:pt idx="2">
                  <c:v>Average</c:v>
                </c:pt>
                <c:pt idx="3">
                  <c:v>Somewhat below average</c:v>
                </c:pt>
                <c:pt idx="4">
                  <c:v>Far below average</c:v>
                </c:pt>
              </c:strCache>
            </c:strRef>
          </c:xVal>
          <c:yVal>
            <c:numRef>
              <c:f>'Engage Trend'!$C$13:$C$17</c:f>
              <c:numCache>
                <c:formatCode>0%</c:formatCode>
                <c:ptCount val="5"/>
                <c:pt idx="0">
                  <c:v>0.1</c:v>
                </c:pt>
                <c:pt idx="1">
                  <c:v>0.1</c:v>
                </c:pt>
                <c:pt idx="2">
                  <c:v>0.4</c:v>
                </c:pt>
                <c:pt idx="3">
                  <c:v>0.3</c:v>
                </c:pt>
                <c:pt idx="4">
                  <c:v>0.1</c:v>
                </c:pt>
              </c:numCache>
            </c:numRef>
          </c:yVal>
          <c:smooth val="1"/>
          <c:extLst>
            <c:ext xmlns:c16="http://schemas.microsoft.com/office/drawing/2014/chart" uri="{C3380CC4-5D6E-409C-BE32-E72D297353CC}">
              <c16:uniqueId val="{00000001-0F2E-4981-AD32-3192AD92CB0D}"/>
            </c:ext>
          </c:extLst>
        </c:ser>
        <c:dLbls>
          <c:showLegendKey val="0"/>
          <c:showVal val="0"/>
          <c:showCatName val="0"/>
          <c:showSerName val="0"/>
          <c:showPercent val="0"/>
          <c:showBubbleSize val="0"/>
        </c:dLbls>
        <c:axId val="459239120"/>
        <c:axId val="459243712"/>
      </c:scatterChart>
      <c:valAx>
        <c:axId val="459239120"/>
        <c:scaling>
          <c:orientation val="minMax"/>
        </c:scaling>
        <c:delete val="0"/>
        <c:axPos val="b"/>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9243712"/>
        <c:crosses val="autoZero"/>
        <c:crossBetween val="midCat"/>
      </c:valAx>
      <c:valAx>
        <c:axId val="459243712"/>
        <c:scaling>
          <c:orientation val="minMax"/>
        </c:scaling>
        <c:delete val="0"/>
        <c:axPos val="l"/>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923912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GB"/>
              <a:t>Shared understanding </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cap="rnd">
                <a:solidFill>
                  <a:schemeClr val="accent1"/>
                </a:solidFill>
                <a:round/>
              </a:ln>
              <a:effectLst>
                <a:outerShdw blurRad="57150" dist="19050" dir="5400000" algn="ctr" rotWithShape="0">
                  <a:srgbClr val="000000">
                    <a:alpha val="63000"/>
                  </a:srgbClr>
                </a:outerShdw>
              </a:effectLst>
            </c:spPr>
          </c:marker>
          <c:trendline>
            <c:spPr>
              <a:ln w="19050" cap="rnd">
                <a:solidFill>
                  <a:schemeClr val="accent1"/>
                </a:solidFill>
              </a:ln>
              <a:effectLst/>
            </c:spPr>
            <c:trendlineType val="linear"/>
            <c:dispRSqr val="1"/>
            <c:dispEq val="0"/>
            <c:trendlineLbl>
              <c:layout>
                <c:manualLayout>
                  <c:x val="-1.2093832020997375E-2"/>
                  <c:y val="-2.638108546565722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'S-Shared meaning'!$D$2:$D$11</c:f>
              <c:numCache>
                <c:formatCode>General</c:formatCode>
                <c:ptCount val="10"/>
                <c:pt idx="0">
                  <c:v>8</c:v>
                </c:pt>
                <c:pt idx="1">
                  <c:v>8</c:v>
                </c:pt>
                <c:pt idx="2">
                  <c:v>8</c:v>
                </c:pt>
                <c:pt idx="3">
                  <c:v>3.5</c:v>
                </c:pt>
                <c:pt idx="4">
                  <c:v>3.5</c:v>
                </c:pt>
                <c:pt idx="5">
                  <c:v>8</c:v>
                </c:pt>
                <c:pt idx="6">
                  <c:v>8</c:v>
                </c:pt>
                <c:pt idx="7">
                  <c:v>3.5</c:v>
                </c:pt>
                <c:pt idx="8">
                  <c:v>3.5</c:v>
                </c:pt>
                <c:pt idx="9">
                  <c:v>1</c:v>
                </c:pt>
              </c:numCache>
            </c:numRef>
          </c:xVal>
          <c:yVal>
            <c:numRef>
              <c:f>'S-Shared meaning'!$E$2:$E$11</c:f>
              <c:numCache>
                <c:formatCode>General</c:formatCode>
                <c:ptCount val="10"/>
                <c:pt idx="0">
                  <c:v>8.5</c:v>
                </c:pt>
                <c:pt idx="1">
                  <c:v>5.5</c:v>
                </c:pt>
                <c:pt idx="2">
                  <c:v>5.5</c:v>
                </c:pt>
                <c:pt idx="3">
                  <c:v>8.5</c:v>
                </c:pt>
                <c:pt idx="4">
                  <c:v>2.5</c:v>
                </c:pt>
                <c:pt idx="5">
                  <c:v>10</c:v>
                </c:pt>
                <c:pt idx="6">
                  <c:v>5.5</c:v>
                </c:pt>
                <c:pt idx="7">
                  <c:v>2.5</c:v>
                </c:pt>
                <c:pt idx="8">
                  <c:v>1</c:v>
                </c:pt>
                <c:pt idx="9">
                  <c:v>5.5</c:v>
                </c:pt>
              </c:numCache>
            </c:numRef>
          </c:yVal>
          <c:smooth val="0"/>
          <c:extLst>
            <c:ext xmlns:c16="http://schemas.microsoft.com/office/drawing/2014/chart" uri="{C3380CC4-5D6E-409C-BE32-E72D297353CC}">
              <c16:uniqueId val="{00000000-96CC-4340-88D1-9D650C11C404}"/>
            </c:ext>
          </c:extLst>
        </c:ser>
        <c:dLbls>
          <c:showLegendKey val="0"/>
          <c:showVal val="0"/>
          <c:showCatName val="0"/>
          <c:showSerName val="0"/>
          <c:showPercent val="0"/>
          <c:showBubbleSize val="0"/>
        </c:dLbls>
        <c:axId val="822027144"/>
        <c:axId val="822018616"/>
      </c:scatterChart>
      <c:valAx>
        <c:axId val="822027144"/>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2018616"/>
        <c:crosses val="autoZero"/>
        <c:crossBetween val="midCat"/>
      </c:valAx>
      <c:valAx>
        <c:axId val="82201861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20271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Shared understanding trend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'Share Trend'!$C$12</c:f>
              <c:strCache>
                <c:ptCount val="1"/>
                <c:pt idx="0">
                  <c:v>Posttest</c:v>
                </c:pt>
              </c:strCache>
            </c:strRef>
          </c:tx>
          <c:spPr>
            <a:ln w="19050" cap="rnd">
              <a:solidFill>
                <a:schemeClr val="accent1"/>
              </a:solidFill>
              <a:round/>
            </a:ln>
            <a:effectLst/>
          </c:spPr>
          <c:marker>
            <c:symbol val="none"/>
          </c:marker>
          <c:xVal>
            <c:strRef>
              <c:f>'Share Trend'!$A$13:$A$17</c:f>
              <c:strCache>
                <c:ptCount val="5"/>
                <c:pt idx="0">
                  <c:v>A great deal</c:v>
                </c:pt>
                <c:pt idx="1">
                  <c:v>A lot</c:v>
                </c:pt>
                <c:pt idx="2">
                  <c:v>A moderate amount</c:v>
                </c:pt>
                <c:pt idx="3">
                  <c:v>A little</c:v>
                </c:pt>
                <c:pt idx="4">
                  <c:v>None at all</c:v>
                </c:pt>
              </c:strCache>
            </c:strRef>
          </c:xVal>
          <c:yVal>
            <c:numRef>
              <c:f>'Share Trend'!$C$13:$C$17</c:f>
              <c:numCache>
                <c:formatCode>0%</c:formatCode>
                <c:ptCount val="5"/>
                <c:pt idx="0">
                  <c:v>0.5</c:v>
                </c:pt>
                <c:pt idx="1">
                  <c:v>0.4</c:v>
                </c:pt>
                <c:pt idx="2">
                  <c:v>0.1</c:v>
                </c:pt>
                <c:pt idx="3">
                  <c:v>0</c:v>
                </c:pt>
                <c:pt idx="4">
                  <c:v>0</c:v>
                </c:pt>
              </c:numCache>
            </c:numRef>
          </c:yVal>
          <c:smooth val="1"/>
          <c:extLst>
            <c:ext xmlns:c16="http://schemas.microsoft.com/office/drawing/2014/chart" uri="{C3380CC4-5D6E-409C-BE32-E72D297353CC}">
              <c16:uniqueId val="{00000000-1909-4681-BF5B-593E2B995854}"/>
            </c:ext>
          </c:extLst>
        </c:ser>
        <c:ser>
          <c:idx val="1"/>
          <c:order val="1"/>
          <c:tx>
            <c:strRef>
              <c:f>'Share Trend'!$D$12</c:f>
              <c:strCache>
                <c:ptCount val="1"/>
                <c:pt idx="0">
                  <c:v>Pretest</c:v>
                </c:pt>
              </c:strCache>
            </c:strRef>
          </c:tx>
          <c:spPr>
            <a:ln w="19050" cap="rnd">
              <a:solidFill>
                <a:schemeClr val="accent2"/>
              </a:solidFill>
              <a:round/>
            </a:ln>
            <a:effectLst/>
          </c:spPr>
          <c:marker>
            <c:symbol val="none"/>
          </c:marker>
          <c:xVal>
            <c:strRef>
              <c:f>'Share Trend'!$A$13:$A$17</c:f>
              <c:strCache>
                <c:ptCount val="5"/>
                <c:pt idx="0">
                  <c:v>A great deal</c:v>
                </c:pt>
                <c:pt idx="1">
                  <c:v>A lot</c:v>
                </c:pt>
                <c:pt idx="2">
                  <c:v>A moderate amount</c:v>
                </c:pt>
                <c:pt idx="3">
                  <c:v>A little</c:v>
                </c:pt>
                <c:pt idx="4">
                  <c:v>None at all</c:v>
                </c:pt>
              </c:strCache>
            </c:strRef>
          </c:xVal>
          <c:yVal>
            <c:numRef>
              <c:f>'Share Trend'!$D$13:$D$17</c:f>
              <c:numCache>
                <c:formatCode>0%</c:formatCode>
                <c:ptCount val="5"/>
                <c:pt idx="0">
                  <c:v>0.1</c:v>
                </c:pt>
                <c:pt idx="1">
                  <c:v>0.2</c:v>
                </c:pt>
                <c:pt idx="2">
                  <c:v>0.4</c:v>
                </c:pt>
                <c:pt idx="3">
                  <c:v>0.2</c:v>
                </c:pt>
                <c:pt idx="4">
                  <c:v>0.1</c:v>
                </c:pt>
              </c:numCache>
            </c:numRef>
          </c:yVal>
          <c:smooth val="1"/>
          <c:extLst>
            <c:ext xmlns:c16="http://schemas.microsoft.com/office/drawing/2014/chart" uri="{C3380CC4-5D6E-409C-BE32-E72D297353CC}">
              <c16:uniqueId val="{00000001-1909-4681-BF5B-593E2B995854}"/>
            </c:ext>
          </c:extLst>
        </c:ser>
        <c:dLbls>
          <c:showLegendKey val="0"/>
          <c:showVal val="0"/>
          <c:showCatName val="0"/>
          <c:showSerName val="0"/>
          <c:showPercent val="0"/>
          <c:showBubbleSize val="0"/>
        </c:dLbls>
        <c:axId val="755534760"/>
        <c:axId val="755539352"/>
      </c:scatterChart>
      <c:valAx>
        <c:axId val="755534760"/>
        <c:scaling>
          <c:orientation val="minMax"/>
        </c:scaling>
        <c:delete val="0"/>
        <c:axPos val="b"/>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5539352"/>
        <c:crosses val="autoZero"/>
        <c:crossBetween val="midCat"/>
      </c:valAx>
      <c:valAx>
        <c:axId val="755539352"/>
        <c:scaling>
          <c:orientation val="minMax"/>
        </c:scaling>
        <c:delete val="0"/>
        <c:axPos val="l"/>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553476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GB"/>
              <a:t>Group diversity influence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cap="rnd">
                <a:solidFill>
                  <a:schemeClr val="accent1"/>
                </a:solidFill>
                <a:round/>
              </a:ln>
              <a:effectLst>
                <a:outerShdw blurRad="57150" dist="19050" dir="5400000" algn="ctr" rotWithShape="0">
                  <a:srgbClr val="000000">
                    <a:alpha val="63000"/>
                  </a:srgbClr>
                </a:outerShdw>
              </a:effectLst>
            </c:spPr>
          </c:marker>
          <c:trendline>
            <c:spPr>
              <a:ln w="19050" cap="rnd">
                <a:solidFill>
                  <a:schemeClr val="accent1"/>
                </a:solidFill>
              </a:ln>
              <a:effectLst/>
            </c:spPr>
            <c:trendlineType val="linear"/>
            <c:dispRSqr val="1"/>
            <c:dispEq val="0"/>
            <c:trendlineLbl>
              <c:layout>
                <c:manualLayout>
                  <c:x val="1.5336832895888014E-3"/>
                  <c:y val="-3.968569414335352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'S-Group diversity'!$D$2:$D$11</c:f>
              <c:numCache>
                <c:formatCode>General</c:formatCode>
                <c:ptCount val="10"/>
                <c:pt idx="0">
                  <c:v>9</c:v>
                </c:pt>
                <c:pt idx="1">
                  <c:v>9</c:v>
                </c:pt>
                <c:pt idx="2">
                  <c:v>9</c:v>
                </c:pt>
                <c:pt idx="3">
                  <c:v>5</c:v>
                </c:pt>
                <c:pt idx="4">
                  <c:v>5</c:v>
                </c:pt>
                <c:pt idx="5">
                  <c:v>5</c:v>
                </c:pt>
                <c:pt idx="6">
                  <c:v>5</c:v>
                </c:pt>
                <c:pt idx="7">
                  <c:v>1.5</c:v>
                </c:pt>
                <c:pt idx="8">
                  <c:v>5</c:v>
                </c:pt>
                <c:pt idx="9">
                  <c:v>1.5</c:v>
                </c:pt>
              </c:numCache>
            </c:numRef>
          </c:xVal>
          <c:yVal>
            <c:numRef>
              <c:f>'S-Group diversity'!$E$2:$E$11</c:f>
              <c:numCache>
                <c:formatCode>General</c:formatCode>
                <c:ptCount val="10"/>
                <c:pt idx="0">
                  <c:v>8</c:v>
                </c:pt>
                <c:pt idx="1">
                  <c:v>2</c:v>
                </c:pt>
                <c:pt idx="2">
                  <c:v>8</c:v>
                </c:pt>
                <c:pt idx="3">
                  <c:v>5</c:v>
                </c:pt>
                <c:pt idx="4">
                  <c:v>8</c:v>
                </c:pt>
                <c:pt idx="5">
                  <c:v>2</c:v>
                </c:pt>
                <c:pt idx="6">
                  <c:v>5</c:v>
                </c:pt>
                <c:pt idx="7">
                  <c:v>10</c:v>
                </c:pt>
                <c:pt idx="8">
                  <c:v>2</c:v>
                </c:pt>
                <c:pt idx="9">
                  <c:v>5</c:v>
                </c:pt>
              </c:numCache>
            </c:numRef>
          </c:yVal>
          <c:smooth val="0"/>
          <c:extLst>
            <c:ext xmlns:c16="http://schemas.microsoft.com/office/drawing/2014/chart" uri="{C3380CC4-5D6E-409C-BE32-E72D297353CC}">
              <c16:uniqueId val="{00000000-6B0A-4732-BAAB-473ADB1995D5}"/>
            </c:ext>
          </c:extLst>
        </c:ser>
        <c:dLbls>
          <c:showLegendKey val="0"/>
          <c:showVal val="0"/>
          <c:showCatName val="0"/>
          <c:showSerName val="0"/>
          <c:showPercent val="0"/>
          <c:showBubbleSize val="0"/>
        </c:dLbls>
        <c:axId val="463128520"/>
        <c:axId val="463131800"/>
      </c:scatterChart>
      <c:valAx>
        <c:axId val="463128520"/>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131800"/>
        <c:crosses val="autoZero"/>
        <c:crossBetween val="midCat"/>
      </c:valAx>
      <c:valAx>
        <c:axId val="463131800"/>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12852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'Diversity Trend'!$B$12</c:f>
              <c:strCache>
                <c:ptCount val="1"/>
                <c:pt idx="0">
                  <c:v>Posttest</c:v>
                </c:pt>
              </c:strCache>
            </c:strRef>
          </c:tx>
          <c:spPr>
            <a:ln w="19050" cap="rnd">
              <a:solidFill>
                <a:schemeClr val="accent1"/>
              </a:solidFill>
              <a:round/>
            </a:ln>
            <a:effectLst/>
          </c:spPr>
          <c:marker>
            <c:symbol val="none"/>
          </c:marker>
          <c:xVal>
            <c:strRef>
              <c:f>'Diversity Trend'!$A$13:$A$17</c:f>
              <c:strCache>
                <c:ptCount val="5"/>
                <c:pt idx="0">
                  <c:v>A great deal</c:v>
                </c:pt>
                <c:pt idx="1">
                  <c:v>A lot</c:v>
                </c:pt>
                <c:pt idx="2">
                  <c:v>A moderate amount</c:v>
                </c:pt>
                <c:pt idx="3">
                  <c:v>A little</c:v>
                </c:pt>
                <c:pt idx="4">
                  <c:v>None at all</c:v>
                </c:pt>
              </c:strCache>
            </c:strRef>
          </c:xVal>
          <c:yVal>
            <c:numRef>
              <c:f>'Diversity Trend'!$B$13:$B$17</c:f>
              <c:numCache>
                <c:formatCode>0%</c:formatCode>
                <c:ptCount val="5"/>
                <c:pt idx="0">
                  <c:v>0.3</c:v>
                </c:pt>
                <c:pt idx="1">
                  <c:v>0.5</c:v>
                </c:pt>
                <c:pt idx="2">
                  <c:v>0.2</c:v>
                </c:pt>
                <c:pt idx="3">
                  <c:v>0</c:v>
                </c:pt>
                <c:pt idx="4">
                  <c:v>0</c:v>
                </c:pt>
              </c:numCache>
            </c:numRef>
          </c:yVal>
          <c:smooth val="1"/>
          <c:extLst>
            <c:ext xmlns:c16="http://schemas.microsoft.com/office/drawing/2014/chart" uri="{C3380CC4-5D6E-409C-BE32-E72D297353CC}">
              <c16:uniqueId val="{00000000-E052-4D2C-971B-A26924F3082E}"/>
            </c:ext>
          </c:extLst>
        </c:ser>
        <c:ser>
          <c:idx val="1"/>
          <c:order val="1"/>
          <c:tx>
            <c:strRef>
              <c:f>'Diversity Trend'!$C$12</c:f>
              <c:strCache>
                <c:ptCount val="1"/>
                <c:pt idx="0">
                  <c:v>Pretest</c:v>
                </c:pt>
              </c:strCache>
            </c:strRef>
          </c:tx>
          <c:spPr>
            <a:ln w="19050" cap="rnd">
              <a:solidFill>
                <a:schemeClr val="accent2"/>
              </a:solidFill>
              <a:round/>
            </a:ln>
            <a:effectLst/>
          </c:spPr>
          <c:marker>
            <c:symbol val="none"/>
          </c:marker>
          <c:xVal>
            <c:strRef>
              <c:f>'Diversity Trend'!$A$13:$A$17</c:f>
              <c:strCache>
                <c:ptCount val="5"/>
                <c:pt idx="0">
                  <c:v>A great deal</c:v>
                </c:pt>
                <c:pt idx="1">
                  <c:v>A lot</c:v>
                </c:pt>
                <c:pt idx="2">
                  <c:v>A moderate amount</c:v>
                </c:pt>
                <c:pt idx="3">
                  <c:v>A little</c:v>
                </c:pt>
                <c:pt idx="4">
                  <c:v>None at all</c:v>
                </c:pt>
              </c:strCache>
            </c:strRef>
          </c:xVal>
          <c:yVal>
            <c:numRef>
              <c:f>'Diversity Trend'!$C$13:$C$17</c:f>
              <c:numCache>
                <c:formatCode>0%</c:formatCode>
                <c:ptCount val="5"/>
                <c:pt idx="0">
                  <c:v>0.1</c:v>
                </c:pt>
                <c:pt idx="1">
                  <c:v>0</c:v>
                </c:pt>
                <c:pt idx="2">
                  <c:v>0.3</c:v>
                </c:pt>
                <c:pt idx="3">
                  <c:v>0.3</c:v>
                </c:pt>
                <c:pt idx="4">
                  <c:v>0.3</c:v>
                </c:pt>
              </c:numCache>
            </c:numRef>
          </c:yVal>
          <c:smooth val="1"/>
          <c:extLst>
            <c:ext xmlns:c16="http://schemas.microsoft.com/office/drawing/2014/chart" uri="{C3380CC4-5D6E-409C-BE32-E72D297353CC}">
              <c16:uniqueId val="{00000001-E052-4D2C-971B-A26924F3082E}"/>
            </c:ext>
          </c:extLst>
        </c:ser>
        <c:dLbls>
          <c:showLegendKey val="0"/>
          <c:showVal val="0"/>
          <c:showCatName val="0"/>
          <c:showSerName val="0"/>
          <c:showPercent val="0"/>
          <c:showBubbleSize val="0"/>
        </c:dLbls>
        <c:axId val="928045856"/>
        <c:axId val="928046512"/>
      </c:scatterChart>
      <c:valAx>
        <c:axId val="928045856"/>
        <c:scaling>
          <c:orientation val="minMax"/>
        </c:scaling>
        <c:delete val="0"/>
        <c:axPos val="b"/>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8046512"/>
        <c:crosses val="autoZero"/>
        <c:crossBetween val="midCat"/>
      </c:valAx>
      <c:valAx>
        <c:axId val="928046512"/>
        <c:scaling>
          <c:orientation val="minMax"/>
        </c:scaling>
        <c:delete val="0"/>
        <c:axPos val="l"/>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804585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GB"/>
              <a:t>(Y1) Threshold</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cap="rnd">
                <a:solidFill>
                  <a:schemeClr val="accent1"/>
                </a:solidFill>
                <a:round/>
              </a:ln>
              <a:effectLst>
                <a:outerShdw blurRad="57150" dist="19050" dir="5400000" algn="ctr" rotWithShape="0">
                  <a:srgbClr val="000000">
                    <a:alpha val="63000"/>
                  </a:srgbClr>
                </a:outerShdw>
              </a:effectLst>
            </c:spPr>
          </c:marker>
          <c:trendline>
            <c:spPr>
              <a:ln w="19050" cap="rnd">
                <a:solidFill>
                  <a:schemeClr val="accent1"/>
                </a:solidFill>
              </a:ln>
              <a:effectLst/>
            </c:spPr>
            <c:trendlineType val="linear"/>
            <c:dispRSqr val="1"/>
            <c:dispEq val="0"/>
            <c:trendlineLbl>
              <c:layout>
                <c:manualLayout>
                  <c:x val="-7.8980752405949253E-4"/>
                  <c:y val="-5.105634967138286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'S-Ref integrity'!$D$2:$D$11</c:f>
              <c:numCache>
                <c:formatCode>General</c:formatCode>
                <c:ptCount val="10"/>
                <c:pt idx="0">
                  <c:v>3</c:v>
                </c:pt>
                <c:pt idx="1">
                  <c:v>3</c:v>
                </c:pt>
                <c:pt idx="2">
                  <c:v>3</c:v>
                </c:pt>
                <c:pt idx="3">
                  <c:v>7.5</c:v>
                </c:pt>
                <c:pt idx="4">
                  <c:v>7.5</c:v>
                </c:pt>
                <c:pt idx="5">
                  <c:v>10</c:v>
                </c:pt>
                <c:pt idx="6">
                  <c:v>3</c:v>
                </c:pt>
                <c:pt idx="7">
                  <c:v>7.5</c:v>
                </c:pt>
                <c:pt idx="8">
                  <c:v>7.5</c:v>
                </c:pt>
                <c:pt idx="9">
                  <c:v>3</c:v>
                </c:pt>
              </c:numCache>
            </c:numRef>
          </c:xVal>
          <c:yVal>
            <c:numRef>
              <c:f>'S-Ref integrity'!$E$2:$E$11</c:f>
              <c:numCache>
                <c:formatCode>General</c:formatCode>
                <c:ptCount val="10"/>
                <c:pt idx="0">
                  <c:v>4.5</c:v>
                </c:pt>
                <c:pt idx="1">
                  <c:v>9.5</c:v>
                </c:pt>
                <c:pt idx="2">
                  <c:v>4.5</c:v>
                </c:pt>
                <c:pt idx="3">
                  <c:v>4.5</c:v>
                </c:pt>
                <c:pt idx="4">
                  <c:v>4.5</c:v>
                </c:pt>
                <c:pt idx="5">
                  <c:v>4.5</c:v>
                </c:pt>
                <c:pt idx="6">
                  <c:v>4.5</c:v>
                </c:pt>
                <c:pt idx="7">
                  <c:v>4.5</c:v>
                </c:pt>
                <c:pt idx="8">
                  <c:v>9.5</c:v>
                </c:pt>
                <c:pt idx="9">
                  <c:v>4.5</c:v>
                </c:pt>
              </c:numCache>
            </c:numRef>
          </c:yVal>
          <c:smooth val="0"/>
          <c:extLst>
            <c:ext xmlns:c16="http://schemas.microsoft.com/office/drawing/2014/chart" uri="{C3380CC4-5D6E-409C-BE32-E72D297353CC}">
              <c16:uniqueId val="{00000000-D32D-410E-B85D-685DB26AC8B3}"/>
            </c:ext>
          </c:extLst>
        </c:ser>
        <c:dLbls>
          <c:showLegendKey val="0"/>
          <c:showVal val="0"/>
          <c:showCatName val="0"/>
          <c:showSerName val="0"/>
          <c:showPercent val="0"/>
          <c:showBubbleSize val="0"/>
        </c:dLbls>
        <c:axId val="821736616"/>
        <c:axId val="821738256"/>
      </c:scatterChart>
      <c:valAx>
        <c:axId val="821736616"/>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1738256"/>
        <c:crosses val="autoZero"/>
        <c:crossBetween val="midCat"/>
      </c:valAx>
      <c:valAx>
        <c:axId val="821738256"/>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17366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'Ref. int. Trend'!$B$12</c:f>
              <c:strCache>
                <c:ptCount val="1"/>
                <c:pt idx="0">
                  <c:v>Posttest</c:v>
                </c:pt>
              </c:strCache>
            </c:strRef>
          </c:tx>
          <c:spPr>
            <a:ln w="19050" cap="rnd">
              <a:solidFill>
                <a:schemeClr val="accent1"/>
              </a:solidFill>
              <a:round/>
            </a:ln>
            <a:effectLst/>
          </c:spPr>
          <c:marker>
            <c:symbol val="none"/>
          </c:marker>
          <c:xVal>
            <c:strRef>
              <c:f>'Ref. int. Trend'!$A$13:$A$17</c:f>
              <c:strCache>
                <c:ptCount val="5"/>
                <c:pt idx="0">
                  <c:v>A great deal</c:v>
                </c:pt>
                <c:pt idx="1">
                  <c:v>A lot</c:v>
                </c:pt>
                <c:pt idx="2">
                  <c:v>A moderate amount</c:v>
                </c:pt>
                <c:pt idx="3">
                  <c:v>A little</c:v>
                </c:pt>
                <c:pt idx="4">
                  <c:v>None at all</c:v>
                </c:pt>
              </c:strCache>
            </c:strRef>
          </c:xVal>
          <c:yVal>
            <c:numRef>
              <c:f>'Ref. int. Trend'!$B$13:$B$17</c:f>
              <c:numCache>
                <c:formatCode>0%</c:formatCode>
                <c:ptCount val="5"/>
                <c:pt idx="0">
                  <c:v>0.2</c:v>
                </c:pt>
                <c:pt idx="1">
                  <c:v>0.4</c:v>
                </c:pt>
                <c:pt idx="2">
                  <c:v>0.4</c:v>
                </c:pt>
                <c:pt idx="3">
                  <c:v>0</c:v>
                </c:pt>
                <c:pt idx="4">
                  <c:v>0</c:v>
                </c:pt>
              </c:numCache>
            </c:numRef>
          </c:yVal>
          <c:smooth val="1"/>
          <c:extLst>
            <c:ext xmlns:c16="http://schemas.microsoft.com/office/drawing/2014/chart" uri="{C3380CC4-5D6E-409C-BE32-E72D297353CC}">
              <c16:uniqueId val="{00000000-472B-442D-8C4A-7DBDDA79F795}"/>
            </c:ext>
          </c:extLst>
        </c:ser>
        <c:ser>
          <c:idx val="1"/>
          <c:order val="1"/>
          <c:tx>
            <c:strRef>
              <c:f>'Ref. int. Trend'!$C$12</c:f>
              <c:strCache>
                <c:ptCount val="1"/>
                <c:pt idx="0">
                  <c:v>Pretest</c:v>
                </c:pt>
              </c:strCache>
            </c:strRef>
          </c:tx>
          <c:spPr>
            <a:ln w="19050" cap="rnd">
              <a:solidFill>
                <a:schemeClr val="accent2"/>
              </a:solidFill>
              <a:round/>
            </a:ln>
            <a:effectLst/>
          </c:spPr>
          <c:marker>
            <c:symbol val="none"/>
          </c:marker>
          <c:xVal>
            <c:strRef>
              <c:f>'Ref. int. Trend'!$A$13:$A$17</c:f>
              <c:strCache>
                <c:ptCount val="5"/>
                <c:pt idx="0">
                  <c:v>A great deal</c:v>
                </c:pt>
                <c:pt idx="1">
                  <c:v>A lot</c:v>
                </c:pt>
                <c:pt idx="2">
                  <c:v>A moderate amount</c:v>
                </c:pt>
                <c:pt idx="3">
                  <c:v>A little</c:v>
                </c:pt>
                <c:pt idx="4">
                  <c:v>None at all</c:v>
                </c:pt>
              </c:strCache>
            </c:strRef>
          </c:xVal>
          <c:yVal>
            <c:numRef>
              <c:f>'Ref. int. Trend'!$C$13:$C$17</c:f>
              <c:numCache>
                <c:formatCode>0%</c:formatCode>
                <c:ptCount val="5"/>
                <c:pt idx="0">
                  <c:v>0.2</c:v>
                </c:pt>
                <c:pt idx="1">
                  <c:v>0.8</c:v>
                </c:pt>
                <c:pt idx="2">
                  <c:v>0</c:v>
                </c:pt>
                <c:pt idx="3">
                  <c:v>0</c:v>
                </c:pt>
                <c:pt idx="4">
                  <c:v>0</c:v>
                </c:pt>
              </c:numCache>
            </c:numRef>
          </c:yVal>
          <c:smooth val="1"/>
          <c:extLst>
            <c:ext xmlns:c16="http://schemas.microsoft.com/office/drawing/2014/chart" uri="{C3380CC4-5D6E-409C-BE32-E72D297353CC}">
              <c16:uniqueId val="{00000001-472B-442D-8C4A-7DBDDA79F795}"/>
            </c:ext>
          </c:extLst>
        </c:ser>
        <c:dLbls>
          <c:showLegendKey val="0"/>
          <c:showVal val="0"/>
          <c:showCatName val="0"/>
          <c:showSerName val="0"/>
          <c:showPercent val="0"/>
          <c:showBubbleSize val="0"/>
        </c:dLbls>
        <c:axId val="833447296"/>
        <c:axId val="833449264"/>
      </c:scatterChart>
      <c:valAx>
        <c:axId val="833447296"/>
        <c:scaling>
          <c:orientation val="minMax"/>
        </c:scaling>
        <c:delete val="0"/>
        <c:axPos val="b"/>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3449264"/>
        <c:crosses val="autoZero"/>
        <c:crossBetween val="midCat"/>
      </c:valAx>
      <c:valAx>
        <c:axId val="833449264"/>
        <c:scaling>
          <c:orientation val="minMax"/>
        </c:scaling>
        <c:delete val="0"/>
        <c:axPos val="l"/>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344729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GB"/>
              <a:t>(y-1) Threshold</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cap="rnd">
                <a:solidFill>
                  <a:schemeClr val="accent1"/>
                </a:solidFill>
                <a:round/>
              </a:ln>
              <a:effectLst>
                <a:outerShdw blurRad="57150" dist="19050" dir="5400000" algn="ctr" rotWithShape="0">
                  <a:srgbClr val="000000">
                    <a:alpha val="63000"/>
                  </a:srgbClr>
                </a:outerShdw>
              </a:effectLst>
            </c:spPr>
          </c:marker>
          <c:trendline>
            <c:spPr>
              <a:ln w="19050" cap="rnd">
                <a:solidFill>
                  <a:schemeClr val="accent1"/>
                </a:solidFill>
              </a:ln>
              <a:effectLst/>
            </c:spPr>
            <c:trendlineType val="linear"/>
            <c:dispRSqr val="1"/>
            <c:dispEq val="0"/>
            <c:trendlineLbl>
              <c:layout>
                <c:manualLayout>
                  <c:x val="1.6929133858267716E-4"/>
                  <c:y val="-6.2941385752628115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'S-Rel integrity'!$D$2:$D$11</c:f>
              <c:numCache>
                <c:formatCode>General</c:formatCode>
                <c:ptCount val="10"/>
                <c:pt idx="0">
                  <c:v>5</c:v>
                </c:pt>
                <c:pt idx="1">
                  <c:v>5</c:v>
                </c:pt>
                <c:pt idx="2">
                  <c:v>5</c:v>
                </c:pt>
                <c:pt idx="3">
                  <c:v>5</c:v>
                </c:pt>
                <c:pt idx="4">
                  <c:v>1</c:v>
                </c:pt>
                <c:pt idx="5">
                  <c:v>5</c:v>
                </c:pt>
                <c:pt idx="6">
                  <c:v>5</c:v>
                </c:pt>
                <c:pt idx="7">
                  <c:v>5</c:v>
                </c:pt>
                <c:pt idx="8">
                  <c:v>1</c:v>
                </c:pt>
                <c:pt idx="9">
                  <c:v>1</c:v>
                </c:pt>
              </c:numCache>
            </c:numRef>
          </c:xVal>
          <c:yVal>
            <c:numRef>
              <c:f>'S-Rel integrity'!$E$2:$E$11</c:f>
              <c:numCache>
                <c:formatCode>General</c:formatCode>
                <c:ptCount val="10"/>
                <c:pt idx="0">
                  <c:v>8.5</c:v>
                </c:pt>
                <c:pt idx="1">
                  <c:v>8.5</c:v>
                </c:pt>
                <c:pt idx="2">
                  <c:v>1</c:v>
                </c:pt>
                <c:pt idx="3">
                  <c:v>4</c:v>
                </c:pt>
                <c:pt idx="4">
                  <c:v>8.5</c:v>
                </c:pt>
                <c:pt idx="5">
                  <c:v>4</c:v>
                </c:pt>
                <c:pt idx="6">
                  <c:v>4</c:v>
                </c:pt>
                <c:pt idx="7">
                  <c:v>4</c:v>
                </c:pt>
                <c:pt idx="8">
                  <c:v>8.5</c:v>
                </c:pt>
                <c:pt idx="9">
                  <c:v>4</c:v>
                </c:pt>
              </c:numCache>
            </c:numRef>
          </c:yVal>
          <c:smooth val="0"/>
          <c:extLst>
            <c:ext xmlns:c16="http://schemas.microsoft.com/office/drawing/2014/chart" uri="{C3380CC4-5D6E-409C-BE32-E72D297353CC}">
              <c16:uniqueId val="{00000000-08E9-4E79-B950-A23121130AF5}"/>
            </c:ext>
          </c:extLst>
        </c:ser>
        <c:dLbls>
          <c:showLegendKey val="0"/>
          <c:showVal val="0"/>
          <c:showCatName val="0"/>
          <c:showSerName val="0"/>
          <c:showPercent val="0"/>
          <c:showBubbleSize val="0"/>
        </c:dLbls>
        <c:axId val="821760560"/>
        <c:axId val="821754984"/>
      </c:scatterChart>
      <c:valAx>
        <c:axId val="821760560"/>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1754984"/>
        <c:crosses val="autoZero"/>
        <c:crossBetween val="midCat"/>
      </c:valAx>
      <c:valAx>
        <c:axId val="821754984"/>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176056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'Rel. int. Trend'!$B$12</c:f>
              <c:strCache>
                <c:ptCount val="1"/>
                <c:pt idx="0">
                  <c:v>Posttest</c:v>
                </c:pt>
              </c:strCache>
            </c:strRef>
          </c:tx>
          <c:spPr>
            <a:ln w="19050" cap="rnd">
              <a:solidFill>
                <a:schemeClr val="accent1"/>
              </a:solidFill>
              <a:round/>
            </a:ln>
            <a:effectLst/>
          </c:spPr>
          <c:marker>
            <c:symbol val="none"/>
          </c:marker>
          <c:xVal>
            <c:strRef>
              <c:f>'Rel. int. Trend'!$A$13:$A$17</c:f>
              <c:strCache>
                <c:ptCount val="5"/>
                <c:pt idx="0">
                  <c:v>A great deal</c:v>
                </c:pt>
                <c:pt idx="1">
                  <c:v>A lot</c:v>
                </c:pt>
                <c:pt idx="2">
                  <c:v>A moderate amount</c:v>
                </c:pt>
                <c:pt idx="3">
                  <c:v>A little</c:v>
                </c:pt>
                <c:pt idx="4">
                  <c:v>None at all</c:v>
                </c:pt>
              </c:strCache>
            </c:strRef>
          </c:xVal>
          <c:yVal>
            <c:numRef>
              <c:f>'Rel. int. Trend'!$B$13:$B$17</c:f>
              <c:numCache>
                <c:formatCode>0%</c:formatCode>
                <c:ptCount val="5"/>
                <c:pt idx="0">
                  <c:v>0.6</c:v>
                </c:pt>
                <c:pt idx="1">
                  <c:v>0.3</c:v>
                </c:pt>
                <c:pt idx="2">
                  <c:v>0.1</c:v>
                </c:pt>
                <c:pt idx="3">
                  <c:v>0</c:v>
                </c:pt>
                <c:pt idx="4">
                  <c:v>0</c:v>
                </c:pt>
              </c:numCache>
            </c:numRef>
          </c:yVal>
          <c:smooth val="1"/>
          <c:extLst>
            <c:ext xmlns:c16="http://schemas.microsoft.com/office/drawing/2014/chart" uri="{C3380CC4-5D6E-409C-BE32-E72D297353CC}">
              <c16:uniqueId val="{00000000-4745-4CA9-B8F8-C0A4065D07A1}"/>
            </c:ext>
          </c:extLst>
        </c:ser>
        <c:ser>
          <c:idx val="1"/>
          <c:order val="1"/>
          <c:tx>
            <c:strRef>
              <c:f>'Rel. int. Trend'!$C$12</c:f>
              <c:strCache>
                <c:ptCount val="1"/>
                <c:pt idx="0">
                  <c:v>Pretest</c:v>
                </c:pt>
              </c:strCache>
            </c:strRef>
          </c:tx>
          <c:spPr>
            <a:ln w="19050" cap="rnd">
              <a:solidFill>
                <a:schemeClr val="accent2"/>
              </a:solidFill>
              <a:round/>
            </a:ln>
            <a:effectLst/>
          </c:spPr>
          <c:marker>
            <c:symbol val="none"/>
          </c:marker>
          <c:xVal>
            <c:strRef>
              <c:f>'Rel. int. Trend'!$A$13:$A$17</c:f>
              <c:strCache>
                <c:ptCount val="5"/>
                <c:pt idx="0">
                  <c:v>A great deal</c:v>
                </c:pt>
                <c:pt idx="1">
                  <c:v>A lot</c:v>
                </c:pt>
                <c:pt idx="2">
                  <c:v>A moderate amount</c:v>
                </c:pt>
                <c:pt idx="3">
                  <c:v>A little</c:v>
                </c:pt>
                <c:pt idx="4">
                  <c:v>None at all</c:v>
                </c:pt>
              </c:strCache>
            </c:strRef>
          </c:xVal>
          <c:yVal>
            <c:numRef>
              <c:f>'Rel. int. Trend'!$C$13:$C$17</c:f>
              <c:numCache>
                <c:formatCode>0%</c:formatCode>
                <c:ptCount val="5"/>
                <c:pt idx="0">
                  <c:v>0.1</c:v>
                </c:pt>
                <c:pt idx="1">
                  <c:v>0.5</c:v>
                </c:pt>
                <c:pt idx="2">
                  <c:v>0.4</c:v>
                </c:pt>
                <c:pt idx="3">
                  <c:v>0</c:v>
                </c:pt>
                <c:pt idx="4">
                  <c:v>0</c:v>
                </c:pt>
              </c:numCache>
            </c:numRef>
          </c:yVal>
          <c:smooth val="1"/>
          <c:extLst>
            <c:ext xmlns:c16="http://schemas.microsoft.com/office/drawing/2014/chart" uri="{C3380CC4-5D6E-409C-BE32-E72D297353CC}">
              <c16:uniqueId val="{00000001-4745-4CA9-B8F8-C0A4065D07A1}"/>
            </c:ext>
          </c:extLst>
        </c:ser>
        <c:dLbls>
          <c:showLegendKey val="0"/>
          <c:showVal val="0"/>
          <c:showCatName val="0"/>
          <c:showSerName val="0"/>
          <c:showPercent val="0"/>
          <c:showBubbleSize val="0"/>
        </c:dLbls>
        <c:axId val="705300160"/>
        <c:axId val="705301144"/>
      </c:scatterChart>
      <c:valAx>
        <c:axId val="705300160"/>
        <c:scaling>
          <c:orientation val="minMax"/>
        </c:scaling>
        <c:delete val="0"/>
        <c:axPos val="b"/>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301144"/>
        <c:crosses val="autoZero"/>
        <c:crossBetween val="midCat"/>
      </c:valAx>
      <c:valAx>
        <c:axId val="705301144"/>
        <c:scaling>
          <c:orientation val="minMax"/>
        </c:scaling>
        <c:delete val="0"/>
        <c:axPos val="l"/>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30016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Functional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0D93-4A08-9FB0-71D3FADC4D07}"/>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0D93-4A08-9FB0-71D3FADC4D07}"/>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0D93-4A08-9FB0-71D3FADC4D0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'Baseline Demographics'!$A$20:$A$22</c:f>
              <c:strCache>
                <c:ptCount val="3"/>
                <c:pt idx="0">
                  <c:v>Management</c:v>
                </c:pt>
                <c:pt idx="1">
                  <c:v>Analytical</c:v>
                </c:pt>
                <c:pt idx="2">
                  <c:v>Technical</c:v>
                </c:pt>
              </c:strCache>
            </c:strRef>
          </c:cat>
          <c:val>
            <c:numRef>
              <c:f>'Baseline Demographics'!$B$20:$B$22</c:f>
              <c:numCache>
                <c:formatCode>General</c:formatCode>
                <c:ptCount val="3"/>
                <c:pt idx="0">
                  <c:v>4</c:v>
                </c:pt>
                <c:pt idx="1">
                  <c:v>5</c:v>
                </c:pt>
                <c:pt idx="2">
                  <c:v>7</c:v>
                </c:pt>
              </c:numCache>
            </c:numRef>
          </c:val>
          <c:extLst>
            <c:ext xmlns:c16="http://schemas.microsoft.com/office/drawing/2014/chart" uri="{C3380CC4-5D6E-409C-BE32-E72D297353CC}">
              <c16:uniqueId val="{00000000-690D-47C7-8D13-EC423BBCBDD5}"/>
            </c:ext>
          </c:extLst>
        </c:ser>
        <c:dLbls>
          <c:dLblPos val="bestFit"/>
          <c:showLegendKey val="0"/>
          <c:showVal val="1"/>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Ambiguity</a:t>
            </a:r>
            <a:r>
              <a:rPr lang="en-GB" baseline="0"/>
              <a:t> (comparative trend)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Amb.Trend!$B$12</c:f>
              <c:strCache>
                <c:ptCount val="1"/>
                <c:pt idx="0">
                  <c:v>Posttest</c:v>
                </c:pt>
              </c:strCache>
            </c:strRef>
          </c:tx>
          <c:spPr>
            <a:ln w="19050" cap="rnd">
              <a:solidFill>
                <a:schemeClr val="accent1"/>
              </a:solidFill>
              <a:round/>
            </a:ln>
            <a:effectLst/>
          </c:spPr>
          <c:marker>
            <c:symbol val="none"/>
          </c:marker>
          <c:xVal>
            <c:strRef>
              <c:f>Amb.Trend!$A$13:$A$17</c:f>
              <c:strCache>
                <c:ptCount val="5"/>
                <c:pt idx="0">
                  <c:v>Strongly Agree</c:v>
                </c:pt>
                <c:pt idx="1">
                  <c:v>Somewhat Agree</c:v>
                </c:pt>
                <c:pt idx="2">
                  <c:v>Neutral</c:v>
                </c:pt>
                <c:pt idx="3">
                  <c:v>Somewhat Disagree</c:v>
                </c:pt>
                <c:pt idx="4">
                  <c:v>Strongly Disagree</c:v>
                </c:pt>
              </c:strCache>
            </c:strRef>
          </c:xVal>
          <c:yVal>
            <c:numRef>
              <c:f>Amb.Trend!$B$13:$B$17</c:f>
              <c:numCache>
                <c:formatCode>0%</c:formatCode>
                <c:ptCount val="5"/>
                <c:pt idx="0">
                  <c:v>0.4</c:v>
                </c:pt>
                <c:pt idx="1">
                  <c:v>0.3</c:v>
                </c:pt>
                <c:pt idx="2">
                  <c:v>0.2</c:v>
                </c:pt>
                <c:pt idx="3">
                  <c:v>0</c:v>
                </c:pt>
                <c:pt idx="4">
                  <c:v>0.1</c:v>
                </c:pt>
              </c:numCache>
            </c:numRef>
          </c:yVal>
          <c:smooth val="1"/>
          <c:extLst>
            <c:ext xmlns:c16="http://schemas.microsoft.com/office/drawing/2014/chart" uri="{C3380CC4-5D6E-409C-BE32-E72D297353CC}">
              <c16:uniqueId val="{00000000-67FD-4446-ADA0-14C049BE8445}"/>
            </c:ext>
          </c:extLst>
        </c:ser>
        <c:ser>
          <c:idx val="1"/>
          <c:order val="1"/>
          <c:tx>
            <c:strRef>
              <c:f>Amb.Trend!$C$12</c:f>
              <c:strCache>
                <c:ptCount val="1"/>
                <c:pt idx="0">
                  <c:v>Pretest</c:v>
                </c:pt>
              </c:strCache>
            </c:strRef>
          </c:tx>
          <c:spPr>
            <a:ln w="19050" cap="rnd">
              <a:solidFill>
                <a:schemeClr val="accent2"/>
              </a:solidFill>
              <a:round/>
            </a:ln>
            <a:effectLst/>
          </c:spPr>
          <c:marker>
            <c:symbol val="none"/>
          </c:marker>
          <c:xVal>
            <c:strRef>
              <c:f>Amb.Trend!$A$13:$A$17</c:f>
              <c:strCache>
                <c:ptCount val="5"/>
                <c:pt idx="0">
                  <c:v>Strongly Agree</c:v>
                </c:pt>
                <c:pt idx="1">
                  <c:v>Somewhat Agree</c:v>
                </c:pt>
                <c:pt idx="2">
                  <c:v>Neutral</c:v>
                </c:pt>
                <c:pt idx="3">
                  <c:v>Somewhat Disagree</c:v>
                </c:pt>
                <c:pt idx="4">
                  <c:v>Strongly Disagree</c:v>
                </c:pt>
              </c:strCache>
            </c:strRef>
          </c:xVal>
          <c:yVal>
            <c:numRef>
              <c:f>Amb.Trend!$C$13:$C$17</c:f>
              <c:numCache>
                <c:formatCode>0%</c:formatCode>
                <c:ptCount val="5"/>
                <c:pt idx="0">
                  <c:v>0.6</c:v>
                </c:pt>
                <c:pt idx="1">
                  <c:v>0.4</c:v>
                </c:pt>
                <c:pt idx="2">
                  <c:v>0</c:v>
                </c:pt>
                <c:pt idx="3">
                  <c:v>0</c:v>
                </c:pt>
                <c:pt idx="4">
                  <c:v>0</c:v>
                </c:pt>
              </c:numCache>
            </c:numRef>
          </c:yVal>
          <c:smooth val="1"/>
          <c:extLst>
            <c:ext xmlns:c16="http://schemas.microsoft.com/office/drawing/2014/chart" uri="{C3380CC4-5D6E-409C-BE32-E72D297353CC}">
              <c16:uniqueId val="{00000001-67FD-4446-ADA0-14C049BE8445}"/>
            </c:ext>
          </c:extLst>
        </c:ser>
        <c:dLbls>
          <c:showLegendKey val="0"/>
          <c:showVal val="0"/>
          <c:showCatName val="0"/>
          <c:showSerName val="0"/>
          <c:showPercent val="0"/>
          <c:showBubbleSize val="0"/>
        </c:dLbls>
        <c:axId val="820575544"/>
        <c:axId val="820573904"/>
      </c:scatterChart>
      <c:valAx>
        <c:axId val="8205755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Ordinal's</a:t>
                </a:r>
              </a:p>
              <a:p>
                <a:pPr>
                  <a:defRPr sz="1000" b="0" i="0" u="none" strike="noStrike" kern="1200" baseline="0">
                    <a:solidFill>
                      <a:schemeClr val="tx1">
                        <a:lumMod val="65000"/>
                        <a:lumOff val="35000"/>
                      </a:schemeClr>
                    </a:solidFill>
                    <a:latin typeface="+mn-lt"/>
                    <a:ea typeface="+mn-ea"/>
                    <a:cs typeface="+mn-cs"/>
                  </a:defRPr>
                </a:pPr>
                <a:r>
                  <a:rPr lang="en-GB"/>
                  <a:t> number value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0573904"/>
        <c:crosses val="autoZero"/>
        <c:crossBetween val="midCat"/>
      </c:valAx>
      <c:valAx>
        <c:axId val="82057390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Ordinal's</a:t>
                </a:r>
                <a:r>
                  <a:rPr lang="en-GB" baseline="0"/>
                  <a:t> appearance %</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057554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Ops.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32F9-4E42-93D8-D3DB1CB9699E}"/>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32F9-4E42-93D8-D3DB1CB9699E}"/>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32F9-4E42-93D8-D3DB1CB9699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'Baseline Demographics'!$C$20:$C$22</c:f>
              <c:strCache>
                <c:ptCount val="3"/>
                <c:pt idx="0">
                  <c:v>User</c:v>
                </c:pt>
                <c:pt idx="1">
                  <c:v>Analyst</c:v>
                </c:pt>
                <c:pt idx="2">
                  <c:v>Developer</c:v>
                </c:pt>
              </c:strCache>
            </c:strRef>
          </c:cat>
          <c:val>
            <c:numRef>
              <c:f>'Baseline Demographics'!$D$20:$D$22</c:f>
              <c:numCache>
                <c:formatCode>General</c:formatCode>
                <c:ptCount val="3"/>
                <c:pt idx="0">
                  <c:v>3</c:v>
                </c:pt>
                <c:pt idx="1">
                  <c:v>8</c:v>
                </c:pt>
                <c:pt idx="2">
                  <c:v>5</c:v>
                </c:pt>
              </c:numCache>
            </c:numRef>
          </c:val>
          <c:extLst>
            <c:ext xmlns:c16="http://schemas.microsoft.com/office/drawing/2014/chart" uri="{C3380CC4-5D6E-409C-BE32-E72D297353CC}">
              <c16:uniqueId val="{00000000-CDC7-4F48-A57A-F1443BC92F69}"/>
            </c:ext>
          </c:extLst>
        </c:ser>
        <c:dLbls>
          <c:dLblPos val="bestFit"/>
          <c:showLegendKey val="0"/>
          <c:showVal val="1"/>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Role</a:t>
            </a:r>
            <a:r>
              <a:rPr lang="en-GB" baseline="0"/>
              <a:t> distribution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42FF-4226-B913-4E0CE416B574}"/>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42FF-4226-B913-4E0CE416B574}"/>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42FF-4226-B913-4E0CE416B574}"/>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42FF-4226-B913-4E0CE416B574}"/>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42FF-4226-B913-4E0CE416B574}"/>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42FF-4226-B913-4E0CE416B574}"/>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42FF-4226-B913-4E0CE416B57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'Baseline Demographics'!$E$20:$E$26</c:f>
              <c:strCache>
                <c:ptCount val="7"/>
                <c:pt idx="0">
                  <c:v>Team Leader</c:v>
                </c:pt>
                <c:pt idx="1">
                  <c:v>Team Member</c:v>
                </c:pt>
                <c:pt idx="2">
                  <c:v>Business Analyst/Architect</c:v>
                </c:pt>
                <c:pt idx="3">
                  <c:v>Product Owner</c:v>
                </c:pt>
                <c:pt idx="4">
                  <c:v>Systems Architect</c:v>
                </c:pt>
                <c:pt idx="5">
                  <c:v>Systems Developer</c:v>
                </c:pt>
                <c:pt idx="6">
                  <c:v>Other: Management</c:v>
                </c:pt>
              </c:strCache>
            </c:strRef>
          </c:cat>
          <c:val>
            <c:numRef>
              <c:f>'Baseline Demographics'!$F$20:$F$26</c:f>
              <c:numCache>
                <c:formatCode>General</c:formatCode>
                <c:ptCount val="7"/>
                <c:pt idx="0">
                  <c:v>1</c:v>
                </c:pt>
                <c:pt idx="1">
                  <c:v>1</c:v>
                </c:pt>
                <c:pt idx="2">
                  <c:v>5</c:v>
                </c:pt>
                <c:pt idx="3">
                  <c:v>3</c:v>
                </c:pt>
                <c:pt idx="4">
                  <c:v>1</c:v>
                </c:pt>
                <c:pt idx="5">
                  <c:v>3</c:v>
                </c:pt>
                <c:pt idx="6">
                  <c:v>2</c:v>
                </c:pt>
              </c:numCache>
            </c:numRef>
          </c:val>
          <c:extLst>
            <c:ext xmlns:c16="http://schemas.microsoft.com/office/drawing/2014/chart" uri="{C3380CC4-5D6E-409C-BE32-E72D297353CC}">
              <c16:uniqueId val="{00000000-AC9A-4932-B6A0-1DE6C04D647D}"/>
            </c:ext>
          </c:extLst>
        </c:ser>
        <c:dLbls>
          <c:dLblPos val="bestFit"/>
          <c:showLegendKey val="0"/>
          <c:showVal val="1"/>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Expertise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15BC-4216-A49D-6CD9983F19C1}"/>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15BC-4216-A49D-6CD9983F19C1}"/>
              </c:ext>
            </c:extLst>
          </c:dPt>
          <c:cat>
            <c:strRef>
              <c:f>'Baseline Demographics'!$H$20:$H$21</c:f>
              <c:strCache>
                <c:ptCount val="2"/>
                <c:pt idx="0">
                  <c:v>&lt; 10 years</c:v>
                </c:pt>
                <c:pt idx="1">
                  <c:v>&gt; 10 years</c:v>
                </c:pt>
              </c:strCache>
            </c:strRef>
          </c:cat>
          <c:val>
            <c:numRef>
              <c:f>'Baseline Demographics'!$I$20:$I$21</c:f>
              <c:numCache>
                <c:formatCode>General</c:formatCode>
                <c:ptCount val="2"/>
                <c:pt idx="0">
                  <c:v>4</c:v>
                </c:pt>
                <c:pt idx="1">
                  <c:v>12</c:v>
                </c:pt>
              </c:numCache>
            </c:numRef>
          </c:val>
          <c:extLst>
            <c:ext xmlns:c16="http://schemas.microsoft.com/office/drawing/2014/chart" uri="{C3380CC4-5D6E-409C-BE32-E72D297353CC}">
              <c16:uniqueId val="{00000000-7E59-460E-8453-EA8B9FCFDD4D}"/>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4F66-4611-866A-133610AD2639}"/>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4F66-4611-866A-133610AD2639}"/>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4F66-4611-866A-133610AD2639}"/>
              </c:ext>
            </c:extLst>
          </c:dPt>
          <c:cat>
            <c:strRef>
              <c:f>'Baseline Demographics'!$J$20:$J$22</c:f>
              <c:strCache>
                <c:ptCount val="3"/>
                <c:pt idx="0">
                  <c:v>1 to 5</c:v>
                </c:pt>
                <c:pt idx="1">
                  <c:v>5 to 10</c:v>
                </c:pt>
                <c:pt idx="2">
                  <c:v>&gt; 10</c:v>
                </c:pt>
              </c:strCache>
            </c:strRef>
          </c:cat>
          <c:val>
            <c:numRef>
              <c:f>'Baseline Demographics'!$K$20:$K$22</c:f>
              <c:numCache>
                <c:formatCode>General</c:formatCode>
                <c:ptCount val="3"/>
                <c:pt idx="0">
                  <c:v>4</c:v>
                </c:pt>
                <c:pt idx="1">
                  <c:v>6</c:v>
                </c:pt>
                <c:pt idx="2">
                  <c:v>6</c:v>
                </c:pt>
              </c:numCache>
            </c:numRef>
          </c:val>
          <c:extLst>
            <c:ext xmlns:c16="http://schemas.microsoft.com/office/drawing/2014/chart" uri="{C3380CC4-5D6E-409C-BE32-E72D297353CC}">
              <c16:uniqueId val="{00000000-E252-4775-B9CB-089FC89CACD6}"/>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GB"/>
              <a:t>Fragmentation coefficient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cap="rnd">
                <a:solidFill>
                  <a:schemeClr val="accent1"/>
                </a:solidFill>
                <a:round/>
              </a:ln>
              <a:effectLst>
                <a:outerShdw blurRad="57150" dist="19050" dir="5400000" algn="ctr" rotWithShape="0">
                  <a:srgbClr val="000000">
                    <a:alpha val="63000"/>
                  </a:srgbClr>
                </a:outerShdw>
              </a:effectLst>
            </c:spPr>
          </c:marker>
          <c:trendline>
            <c:spPr>
              <a:ln w="19050" cap="rnd">
                <a:solidFill>
                  <a:schemeClr val="accent1"/>
                </a:solidFill>
              </a:ln>
              <a:effectLst/>
            </c:spPr>
            <c:trendlineType val="linear"/>
            <c:dispRSqr val="1"/>
            <c:dispEq val="0"/>
            <c:trendlineLbl>
              <c:layout>
                <c:manualLayout>
                  <c:x val="-3.9774715660542432E-3"/>
                  <c:y val="-5.779182019325276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Fragmentation!$D$2:$D$11</c:f>
              <c:numCache>
                <c:formatCode>General</c:formatCode>
                <c:ptCount val="10"/>
                <c:pt idx="0">
                  <c:v>2</c:v>
                </c:pt>
                <c:pt idx="1">
                  <c:v>7</c:v>
                </c:pt>
                <c:pt idx="2">
                  <c:v>7</c:v>
                </c:pt>
                <c:pt idx="3">
                  <c:v>7</c:v>
                </c:pt>
                <c:pt idx="4">
                  <c:v>2</c:v>
                </c:pt>
                <c:pt idx="5">
                  <c:v>7</c:v>
                </c:pt>
                <c:pt idx="6">
                  <c:v>2</c:v>
                </c:pt>
                <c:pt idx="7">
                  <c:v>7</c:v>
                </c:pt>
                <c:pt idx="8">
                  <c:v>4</c:v>
                </c:pt>
                <c:pt idx="9">
                  <c:v>10</c:v>
                </c:pt>
              </c:numCache>
            </c:numRef>
          </c:xVal>
          <c:yVal>
            <c:numRef>
              <c:f>Fragmentation!$E$2:$E$11</c:f>
              <c:numCache>
                <c:formatCode>General</c:formatCode>
                <c:ptCount val="10"/>
                <c:pt idx="0">
                  <c:v>4</c:v>
                </c:pt>
                <c:pt idx="1">
                  <c:v>8</c:v>
                </c:pt>
                <c:pt idx="2">
                  <c:v>8</c:v>
                </c:pt>
                <c:pt idx="3">
                  <c:v>8</c:v>
                </c:pt>
                <c:pt idx="4">
                  <c:v>8</c:v>
                </c:pt>
                <c:pt idx="5">
                  <c:v>2</c:v>
                </c:pt>
                <c:pt idx="6">
                  <c:v>1</c:v>
                </c:pt>
                <c:pt idx="7">
                  <c:v>8</c:v>
                </c:pt>
                <c:pt idx="8">
                  <c:v>4</c:v>
                </c:pt>
                <c:pt idx="9">
                  <c:v>4</c:v>
                </c:pt>
              </c:numCache>
            </c:numRef>
          </c:yVal>
          <c:smooth val="0"/>
          <c:extLst>
            <c:ext xmlns:c16="http://schemas.microsoft.com/office/drawing/2014/chart" uri="{C3380CC4-5D6E-409C-BE32-E72D297353CC}">
              <c16:uniqueId val="{00000000-29FE-49C2-86C0-8BD592ED6812}"/>
            </c:ext>
          </c:extLst>
        </c:ser>
        <c:dLbls>
          <c:showLegendKey val="0"/>
          <c:showVal val="0"/>
          <c:showCatName val="0"/>
          <c:showSerName val="0"/>
          <c:showPercent val="0"/>
          <c:showBubbleSize val="0"/>
        </c:dLbls>
        <c:axId val="760385512"/>
        <c:axId val="760385840"/>
      </c:scatterChart>
      <c:valAx>
        <c:axId val="760385512"/>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0385840"/>
        <c:crosses val="autoZero"/>
        <c:crossBetween val="midCat"/>
      </c:valAx>
      <c:valAx>
        <c:axId val="760385840"/>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03855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Fragmentation trend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'Frag. Trend'!$B$12</c:f>
              <c:strCache>
                <c:ptCount val="1"/>
                <c:pt idx="0">
                  <c:v>Posttest</c:v>
                </c:pt>
              </c:strCache>
            </c:strRef>
          </c:tx>
          <c:spPr>
            <a:ln w="19050" cap="rnd">
              <a:solidFill>
                <a:schemeClr val="accent1"/>
              </a:solidFill>
              <a:round/>
            </a:ln>
            <a:effectLst/>
          </c:spPr>
          <c:marker>
            <c:symbol val="none"/>
          </c:marker>
          <c:xVal>
            <c:strRef>
              <c:f>'Frag. Trend'!$A$13:$A$17</c:f>
              <c:strCache>
                <c:ptCount val="5"/>
                <c:pt idx="0">
                  <c:v>Strongly Agree</c:v>
                </c:pt>
                <c:pt idx="1">
                  <c:v>Somewhat Agree</c:v>
                </c:pt>
                <c:pt idx="2">
                  <c:v>Neutral</c:v>
                </c:pt>
                <c:pt idx="3">
                  <c:v>Somewhat Disagree</c:v>
                </c:pt>
                <c:pt idx="4">
                  <c:v>Strongly Disagree</c:v>
                </c:pt>
              </c:strCache>
            </c:strRef>
          </c:xVal>
          <c:yVal>
            <c:numRef>
              <c:f>'Frag. Trend'!$B$13:$B$17</c:f>
              <c:numCache>
                <c:formatCode>0%</c:formatCode>
                <c:ptCount val="5"/>
                <c:pt idx="0">
                  <c:v>0.1</c:v>
                </c:pt>
                <c:pt idx="1">
                  <c:v>0.5</c:v>
                </c:pt>
                <c:pt idx="2">
                  <c:v>0</c:v>
                </c:pt>
                <c:pt idx="3">
                  <c:v>0.1</c:v>
                </c:pt>
                <c:pt idx="4">
                  <c:v>0.3</c:v>
                </c:pt>
              </c:numCache>
            </c:numRef>
          </c:yVal>
          <c:smooth val="1"/>
          <c:extLst>
            <c:ext xmlns:c16="http://schemas.microsoft.com/office/drawing/2014/chart" uri="{C3380CC4-5D6E-409C-BE32-E72D297353CC}">
              <c16:uniqueId val="{00000000-5ED2-4211-8D98-0557C293B780}"/>
            </c:ext>
          </c:extLst>
        </c:ser>
        <c:ser>
          <c:idx val="1"/>
          <c:order val="1"/>
          <c:tx>
            <c:strRef>
              <c:f>'Frag. Trend'!$C$12</c:f>
              <c:strCache>
                <c:ptCount val="1"/>
                <c:pt idx="0">
                  <c:v>Pretest</c:v>
                </c:pt>
              </c:strCache>
            </c:strRef>
          </c:tx>
          <c:spPr>
            <a:ln w="19050" cap="rnd">
              <a:solidFill>
                <a:schemeClr val="accent2"/>
              </a:solidFill>
              <a:round/>
            </a:ln>
            <a:effectLst/>
          </c:spPr>
          <c:marker>
            <c:symbol val="none"/>
          </c:marker>
          <c:xVal>
            <c:strRef>
              <c:f>'Frag. Trend'!$A$13:$A$17</c:f>
              <c:strCache>
                <c:ptCount val="5"/>
                <c:pt idx="0">
                  <c:v>Strongly Agree</c:v>
                </c:pt>
                <c:pt idx="1">
                  <c:v>Somewhat Agree</c:v>
                </c:pt>
                <c:pt idx="2">
                  <c:v>Neutral</c:v>
                </c:pt>
                <c:pt idx="3">
                  <c:v>Somewhat Disagree</c:v>
                </c:pt>
                <c:pt idx="4">
                  <c:v>Strongly Disagree</c:v>
                </c:pt>
              </c:strCache>
            </c:strRef>
          </c:xVal>
          <c:yVal>
            <c:numRef>
              <c:f>'Frag. Trend'!$C$13:$C$17</c:f>
              <c:numCache>
                <c:formatCode>0%</c:formatCode>
                <c:ptCount val="5"/>
                <c:pt idx="0">
                  <c:v>0.5</c:v>
                </c:pt>
                <c:pt idx="1">
                  <c:v>0.3</c:v>
                </c:pt>
                <c:pt idx="2">
                  <c:v>0.1</c:v>
                </c:pt>
                <c:pt idx="3">
                  <c:v>0.1</c:v>
                </c:pt>
                <c:pt idx="4">
                  <c:v>0</c:v>
                </c:pt>
              </c:numCache>
            </c:numRef>
          </c:yVal>
          <c:smooth val="1"/>
          <c:extLst>
            <c:ext xmlns:c16="http://schemas.microsoft.com/office/drawing/2014/chart" uri="{C3380CC4-5D6E-409C-BE32-E72D297353CC}">
              <c16:uniqueId val="{00000001-5ED2-4211-8D98-0557C293B780}"/>
            </c:ext>
          </c:extLst>
        </c:ser>
        <c:dLbls>
          <c:showLegendKey val="0"/>
          <c:showVal val="0"/>
          <c:showCatName val="0"/>
          <c:showSerName val="0"/>
          <c:showPercent val="0"/>
          <c:showBubbleSize val="0"/>
        </c:dLbls>
        <c:axId val="459219440"/>
        <c:axId val="459217144"/>
      </c:scatterChart>
      <c:valAx>
        <c:axId val="459219440"/>
        <c:scaling>
          <c:orientation val="minMax"/>
        </c:scaling>
        <c:delete val="0"/>
        <c:axPos val="b"/>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9217144"/>
        <c:crosses val="autoZero"/>
        <c:crossBetween val="midCat"/>
      </c:valAx>
      <c:valAx>
        <c:axId val="459217144"/>
        <c:scaling>
          <c:orientation val="minMax"/>
        </c:scaling>
        <c:delete val="0"/>
        <c:axPos val="l"/>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921944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GB"/>
              <a:t>Shared uncertainty</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cap="rnd">
                <a:solidFill>
                  <a:schemeClr val="accent1"/>
                </a:solidFill>
                <a:round/>
              </a:ln>
              <a:effectLst>
                <a:outerShdw blurRad="57150" dist="19050" dir="5400000" algn="ctr" rotWithShape="0">
                  <a:srgbClr val="000000">
                    <a:alpha val="63000"/>
                  </a:srgbClr>
                </a:outerShdw>
              </a:effectLst>
            </c:spPr>
          </c:marker>
          <c:trendline>
            <c:spPr>
              <a:ln w="19050" cap="rnd">
                <a:solidFill>
                  <a:schemeClr val="accent1"/>
                </a:solidFill>
              </a:ln>
              <a:effectLst/>
            </c:spPr>
            <c:trendlineType val="linear"/>
            <c:dispRSqr val="1"/>
            <c:dispEq val="0"/>
            <c:trendlineLbl>
              <c:layout>
                <c:manualLayout>
                  <c:x val="-9.9750656167979009E-3"/>
                  <c:y val="5.1700533522591449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'Shared uncertainty'!$D$2:$D$11</c:f>
              <c:numCache>
                <c:formatCode>General</c:formatCode>
                <c:ptCount val="10"/>
                <c:pt idx="0">
                  <c:v>8.5</c:v>
                </c:pt>
                <c:pt idx="1">
                  <c:v>8.5</c:v>
                </c:pt>
                <c:pt idx="2">
                  <c:v>8.5</c:v>
                </c:pt>
                <c:pt idx="3">
                  <c:v>8.5</c:v>
                </c:pt>
                <c:pt idx="4">
                  <c:v>4.5</c:v>
                </c:pt>
                <c:pt idx="5">
                  <c:v>4.5</c:v>
                </c:pt>
                <c:pt idx="6">
                  <c:v>4.5</c:v>
                </c:pt>
                <c:pt idx="7">
                  <c:v>4.5</c:v>
                </c:pt>
                <c:pt idx="8">
                  <c:v>2</c:v>
                </c:pt>
                <c:pt idx="9">
                  <c:v>1</c:v>
                </c:pt>
              </c:numCache>
            </c:numRef>
          </c:xVal>
          <c:yVal>
            <c:numRef>
              <c:f>'Shared uncertainty'!$E$2:$E$11</c:f>
              <c:numCache>
                <c:formatCode>General</c:formatCode>
                <c:ptCount val="10"/>
                <c:pt idx="0">
                  <c:v>3.5</c:v>
                </c:pt>
                <c:pt idx="1">
                  <c:v>1.5</c:v>
                </c:pt>
                <c:pt idx="2">
                  <c:v>5.5</c:v>
                </c:pt>
                <c:pt idx="3">
                  <c:v>8.5</c:v>
                </c:pt>
                <c:pt idx="4">
                  <c:v>3.5</c:v>
                </c:pt>
                <c:pt idx="5">
                  <c:v>1.5</c:v>
                </c:pt>
                <c:pt idx="6">
                  <c:v>8.5</c:v>
                </c:pt>
                <c:pt idx="7">
                  <c:v>8.5</c:v>
                </c:pt>
                <c:pt idx="8">
                  <c:v>8.5</c:v>
                </c:pt>
                <c:pt idx="9">
                  <c:v>5.5</c:v>
                </c:pt>
              </c:numCache>
            </c:numRef>
          </c:yVal>
          <c:smooth val="0"/>
          <c:extLst>
            <c:ext xmlns:c16="http://schemas.microsoft.com/office/drawing/2014/chart" uri="{C3380CC4-5D6E-409C-BE32-E72D297353CC}">
              <c16:uniqueId val="{00000000-C5EE-4066-B117-E27D6A7DA3D4}"/>
            </c:ext>
          </c:extLst>
        </c:ser>
        <c:dLbls>
          <c:showLegendKey val="0"/>
          <c:showVal val="0"/>
          <c:showCatName val="0"/>
          <c:showSerName val="0"/>
          <c:showPercent val="0"/>
          <c:showBubbleSize val="0"/>
        </c:dLbls>
        <c:axId val="635046648"/>
        <c:axId val="635044024"/>
      </c:scatterChart>
      <c:valAx>
        <c:axId val="63504664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5044024"/>
        <c:crosses val="autoZero"/>
        <c:crossBetween val="midCat"/>
      </c:valAx>
      <c:valAx>
        <c:axId val="635044024"/>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50466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Uncertainty trend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'Uncert. Trend'!$B$12</c:f>
              <c:strCache>
                <c:ptCount val="1"/>
                <c:pt idx="0">
                  <c:v>Posttest</c:v>
                </c:pt>
              </c:strCache>
            </c:strRef>
          </c:tx>
          <c:spPr>
            <a:ln w="19050" cap="rnd">
              <a:solidFill>
                <a:schemeClr val="accent1"/>
              </a:solidFill>
              <a:round/>
            </a:ln>
            <a:effectLst/>
          </c:spPr>
          <c:marker>
            <c:symbol val="none"/>
          </c:marker>
          <c:xVal>
            <c:strRef>
              <c:f>'Uncert. Trend'!$A$13:$A$17</c:f>
              <c:strCache>
                <c:ptCount val="5"/>
                <c:pt idx="0">
                  <c:v>A great deal</c:v>
                </c:pt>
                <c:pt idx="1">
                  <c:v>A lot</c:v>
                </c:pt>
                <c:pt idx="2">
                  <c:v>A moderate amount</c:v>
                </c:pt>
                <c:pt idx="3">
                  <c:v>A little</c:v>
                </c:pt>
                <c:pt idx="4">
                  <c:v>None at all</c:v>
                </c:pt>
              </c:strCache>
            </c:strRef>
          </c:xVal>
          <c:yVal>
            <c:numRef>
              <c:f>'Uncert. Trend'!$B$13:$B$17</c:f>
              <c:numCache>
                <c:formatCode>0%</c:formatCode>
                <c:ptCount val="5"/>
                <c:pt idx="0">
                  <c:v>0.4</c:v>
                </c:pt>
                <c:pt idx="1">
                  <c:v>0.4</c:v>
                </c:pt>
                <c:pt idx="2">
                  <c:v>0.1</c:v>
                </c:pt>
                <c:pt idx="3">
                  <c:v>0.1</c:v>
                </c:pt>
                <c:pt idx="4">
                  <c:v>0</c:v>
                </c:pt>
              </c:numCache>
            </c:numRef>
          </c:yVal>
          <c:smooth val="1"/>
          <c:extLst>
            <c:ext xmlns:c16="http://schemas.microsoft.com/office/drawing/2014/chart" uri="{C3380CC4-5D6E-409C-BE32-E72D297353CC}">
              <c16:uniqueId val="{00000000-72F6-4D89-B0BB-A44706DAC45C}"/>
            </c:ext>
          </c:extLst>
        </c:ser>
        <c:ser>
          <c:idx val="1"/>
          <c:order val="1"/>
          <c:tx>
            <c:strRef>
              <c:f>'Uncert. Trend'!$C$12</c:f>
              <c:strCache>
                <c:ptCount val="1"/>
                <c:pt idx="0">
                  <c:v>Pretest</c:v>
                </c:pt>
              </c:strCache>
            </c:strRef>
          </c:tx>
          <c:spPr>
            <a:ln w="19050" cap="rnd">
              <a:solidFill>
                <a:schemeClr val="accent2"/>
              </a:solidFill>
              <a:round/>
            </a:ln>
            <a:effectLst/>
          </c:spPr>
          <c:marker>
            <c:symbol val="none"/>
          </c:marker>
          <c:xVal>
            <c:strRef>
              <c:f>'Uncert. Trend'!$A$13:$A$17</c:f>
              <c:strCache>
                <c:ptCount val="5"/>
                <c:pt idx="0">
                  <c:v>A great deal</c:v>
                </c:pt>
                <c:pt idx="1">
                  <c:v>A lot</c:v>
                </c:pt>
                <c:pt idx="2">
                  <c:v>A moderate amount</c:v>
                </c:pt>
                <c:pt idx="3">
                  <c:v>A little</c:v>
                </c:pt>
                <c:pt idx="4">
                  <c:v>None at all</c:v>
                </c:pt>
              </c:strCache>
            </c:strRef>
          </c:xVal>
          <c:yVal>
            <c:numRef>
              <c:f>'Uncert. Trend'!$C$13:$C$17</c:f>
              <c:numCache>
                <c:formatCode>0%</c:formatCode>
                <c:ptCount val="5"/>
                <c:pt idx="0">
                  <c:v>0.2</c:v>
                </c:pt>
                <c:pt idx="1">
                  <c:v>0.2</c:v>
                </c:pt>
                <c:pt idx="2">
                  <c:v>0.2</c:v>
                </c:pt>
                <c:pt idx="3">
                  <c:v>0.4</c:v>
                </c:pt>
                <c:pt idx="4">
                  <c:v>0</c:v>
                </c:pt>
              </c:numCache>
            </c:numRef>
          </c:yVal>
          <c:smooth val="1"/>
          <c:extLst>
            <c:ext xmlns:c16="http://schemas.microsoft.com/office/drawing/2014/chart" uri="{C3380CC4-5D6E-409C-BE32-E72D297353CC}">
              <c16:uniqueId val="{00000001-72F6-4D89-B0BB-A44706DAC45C}"/>
            </c:ext>
          </c:extLst>
        </c:ser>
        <c:dLbls>
          <c:showLegendKey val="0"/>
          <c:showVal val="0"/>
          <c:showCatName val="0"/>
          <c:showSerName val="0"/>
          <c:showPercent val="0"/>
          <c:showBubbleSize val="0"/>
        </c:dLbls>
        <c:axId val="713157136"/>
        <c:axId val="713161728"/>
      </c:scatterChart>
      <c:valAx>
        <c:axId val="713157136"/>
        <c:scaling>
          <c:orientation val="minMax"/>
        </c:scaling>
        <c:delete val="0"/>
        <c:axPos val="b"/>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3161728"/>
        <c:crosses val="autoZero"/>
        <c:crossBetween val="midCat"/>
      </c:valAx>
      <c:valAx>
        <c:axId val="713161728"/>
        <c:scaling>
          <c:orientation val="minMax"/>
        </c:scaling>
        <c:delete val="0"/>
        <c:axPos val="l"/>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315713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GB"/>
              <a:t>Multiple interpretations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cap="rnd">
                <a:solidFill>
                  <a:schemeClr val="accent1"/>
                </a:solidFill>
                <a:round/>
              </a:ln>
              <a:effectLst>
                <a:outerShdw blurRad="57150" dist="19050" dir="5400000" algn="ctr" rotWithShape="0">
                  <a:srgbClr val="000000">
                    <a:alpha val="63000"/>
                  </a:srgbClr>
                </a:outerShdw>
              </a:effectLst>
            </c:spPr>
          </c:marker>
          <c:trendline>
            <c:spPr>
              <a:ln w="19050" cap="rnd">
                <a:solidFill>
                  <a:schemeClr val="accent1"/>
                </a:solidFill>
              </a:ln>
              <a:effectLst/>
            </c:spPr>
            <c:trendlineType val="linear"/>
            <c:dispRSqr val="1"/>
            <c:dispEq val="0"/>
            <c:trendlineLbl>
              <c:layout>
                <c:manualLayout>
                  <c:x val="-8.0872703412073494E-3"/>
                  <c:y val="-4.934919905945212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'S-Group Construct'!$D$2:$D$11</c:f>
              <c:numCache>
                <c:formatCode>General</c:formatCode>
                <c:ptCount val="10"/>
                <c:pt idx="0">
                  <c:v>9.5</c:v>
                </c:pt>
                <c:pt idx="1">
                  <c:v>6</c:v>
                </c:pt>
                <c:pt idx="2">
                  <c:v>1</c:v>
                </c:pt>
                <c:pt idx="3">
                  <c:v>6</c:v>
                </c:pt>
                <c:pt idx="4">
                  <c:v>3</c:v>
                </c:pt>
                <c:pt idx="5">
                  <c:v>6</c:v>
                </c:pt>
                <c:pt idx="6">
                  <c:v>9.5</c:v>
                </c:pt>
                <c:pt idx="7">
                  <c:v>6</c:v>
                </c:pt>
                <c:pt idx="8">
                  <c:v>6</c:v>
                </c:pt>
                <c:pt idx="9">
                  <c:v>2</c:v>
                </c:pt>
              </c:numCache>
            </c:numRef>
          </c:xVal>
          <c:yVal>
            <c:numRef>
              <c:f>'S-Group Construct'!$E$2:$E$11</c:f>
              <c:numCache>
                <c:formatCode>General</c:formatCode>
                <c:ptCount val="10"/>
                <c:pt idx="0">
                  <c:v>6</c:v>
                </c:pt>
                <c:pt idx="1">
                  <c:v>9</c:v>
                </c:pt>
                <c:pt idx="2">
                  <c:v>6</c:v>
                </c:pt>
                <c:pt idx="3">
                  <c:v>3</c:v>
                </c:pt>
                <c:pt idx="4">
                  <c:v>9</c:v>
                </c:pt>
                <c:pt idx="5">
                  <c:v>9</c:v>
                </c:pt>
                <c:pt idx="6">
                  <c:v>3</c:v>
                </c:pt>
                <c:pt idx="7">
                  <c:v>6</c:v>
                </c:pt>
                <c:pt idx="8">
                  <c:v>1</c:v>
                </c:pt>
                <c:pt idx="9">
                  <c:v>3</c:v>
                </c:pt>
              </c:numCache>
            </c:numRef>
          </c:yVal>
          <c:smooth val="0"/>
          <c:extLst>
            <c:ext xmlns:c16="http://schemas.microsoft.com/office/drawing/2014/chart" uri="{C3380CC4-5D6E-409C-BE32-E72D297353CC}">
              <c16:uniqueId val="{00000000-1BA9-4507-B64C-ECA1A39052E2}"/>
            </c:ext>
          </c:extLst>
        </c:ser>
        <c:dLbls>
          <c:showLegendKey val="0"/>
          <c:showVal val="0"/>
          <c:showCatName val="0"/>
          <c:showSerName val="0"/>
          <c:showPercent val="0"/>
          <c:showBubbleSize val="0"/>
        </c:dLbls>
        <c:axId val="822038952"/>
        <c:axId val="822044200"/>
      </c:scatterChart>
      <c:valAx>
        <c:axId val="822038952"/>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2044200"/>
        <c:crosses val="autoZero"/>
        <c:crossBetween val="midCat"/>
      </c:valAx>
      <c:valAx>
        <c:axId val="822044200"/>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203895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Construction trend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'Constr. Trend'!$B$12</c:f>
              <c:strCache>
                <c:ptCount val="1"/>
                <c:pt idx="0">
                  <c:v>Posttest</c:v>
                </c:pt>
              </c:strCache>
            </c:strRef>
          </c:tx>
          <c:spPr>
            <a:ln w="19050" cap="rnd">
              <a:solidFill>
                <a:schemeClr val="accent1"/>
              </a:solidFill>
              <a:round/>
            </a:ln>
            <a:effectLst/>
          </c:spPr>
          <c:marker>
            <c:symbol val="none"/>
          </c:marker>
          <c:xVal>
            <c:strRef>
              <c:f>'Constr. Trend'!$A$13:$A$17</c:f>
              <c:strCache>
                <c:ptCount val="5"/>
                <c:pt idx="0">
                  <c:v>Much higher</c:v>
                </c:pt>
                <c:pt idx="1">
                  <c:v>Slightly higher</c:v>
                </c:pt>
                <c:pt idx="2">
                  <c:v>About the same</c:v>
                </c:pt>
                <c:pt idx="3">
                  <c:v>Slightly lower</c:v>
                </c:pt>
                <c:pt idx="4">
                  <c:v>Much lower</c:v>
                </c:pt>
              </c:strCache>
            </c:strRef>
          </c:xVal>
          <c:yVal>
            <c:numRef>
              <c:f>'Constr. Trend'!$B$13:$B$17</c:f>
              <c:numCache>
                <c:formatCode>0%</c:formatCode>
                <c:ptCount val="5"/>
                <c:pt idx="0">
                  <c:v>0.2</c:v>
                </c:pt>
                <c:pt idx="1">
                  <c:v>0.5</c:v>
                </c:pt>
                <c:pt idx="2">
                  <c:v>0.1</c:v>
                </c:pt>
                <c:pt idx="3">
                  <c:v>0.1</c:v>
                </c:pt>
                <c:pt idx="4">
                  <c:v>0.1</c:v>
                </c:pt>
              </c:numCache>
            </c:numRef>
          </c:yVal>
          <c:smooth val="1"/>
          <c:extLst>
            <c:ext xmlns:c16="http://schemas.microsoft.com/office/drawing/2014/chart" uri="{C3380CC4-5D6E-409C-BE32-E72D297353CC}">
              <c16:uniqueId val="{00000000-8BA6-4758-8332-B19642DFBF82}"/>
            </c:ext>
          </c:extLst>
        </c:ser>
        <c:ser>
          <c:idx val="1"/>
          <c:order val="1"/>
          <c:tx>
            <c:strRef>
              <c:f>'Constr. Trend'!$C$12</c:f>
              <c:strCache>
                <c:ptCount val="1"/>
                <c:pt idx="0">
                  <c:v>Pretest</c:v>
                </c:pt>
              </c:strCache>
            </c:strRef>
          </c:tx>
          <c:spPr>
            <a:ln w="19050" cap="rnd">
              <a:solidFill>
                <a:schemeClr val="accent2"/>
              </a:solidFill>
              <a:round/>
            </a:ln>
            <a:effectLst/>
          </c:spPr>
          <c:marker>
            <c:symbol val="none"/>
          </c:marker>
          <c:xVal>
            <c:strRef>
              <c:f>'Constr. Trend'!$A$13:$A$17</c:f>
              <c:strCache>
                <c:ptCount val="5"/>
                <c:pt idx="0">
                  <c:v>Much higher</c:v>
                </c:pt>
                <c:pt idx="1">
                  <c:v>Slightly higher</c:v>
                </c:pt>
                <c:pt idx="2">
                  <c:v>About the same</c:v>
                </c:pt>
                <c:pt idx="3">
                  <c:v>Slightly lower</c:v>
                </c:pt>
                <c:pt idx="4">
                  <c:v>Much lower</c:v>
                </c:pt>
              </c:strCache>
            </c:strRef>
          </c:xVal>
          <c:yVal>
            <c:numRef>
              <c:f>'Constr. Trend'!$C$13:$C$17</c:f>
              <c:numCache>
                <c:formatCode>0%</c:formatCode>
                <c:ptCount val="5"/>
                <c:pt idx="0">
                  <c:v>0.3</c:v>
                </c:pt>
                <c:pt idx="1">
                  <c:v>0.3</c:v>
                </c:pt>
                <c:pt idx="2">
                  <c:v>0.3</c:v>
                </c:pt>
                <c:pt idx="3">
                  <c:v>0.1</c:v>
                </c:pt>
                <c:pt idx="4">
                  <c:v>0</c:v>
                </c:pt>
              </c:numCache>
            </c:numRef>
          </c:yVal>
          <c:smooth val="1"/>
          <c:extLst>
            <c:ext xmlns:c16="http://schemas.microsoft.com/office/drawing/2014/chart" uri="{C3380CC4-5D6E-409C-BE32-E72D297353CC}">
              <c16:uniqueId val="{00000001-8BA6-4758-8332-B19642DFBF82}"/>
            </c:ext>
          </c:extLst>
        </c:ser>
        <c:dLbls>
          <c:showLegendKey val="0"/>
          <c:showVal val="0"/>
          <c:showCatName val="0"/>
          <c:showSerName val="0"/>
          <c:showPercent val="0"/>
          <c:showBubbleSize val="0"/>
        </c:dLbls>
        <c:axId val="459231904"/>
        <c:axId val="459225016"/>
      </c:scatterChart>
      <c:valAx>
        <c:axId val="459231904"/>
        <c:scaling>
          <c:orientation val="minMax"/>
        </c:scaling>
        <c:delete val="0"/>
        <c:axPos val="b"/>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9225016"/>
        <c:crosses val="autoZero"/>
        <c:crossBetween val="midCat"/>
      </c:valAx>
      <c:valAx>
        <c:axId val="459225016"/>
        <c:scaling>
          <c:orientation val="minMax"/>
        </c:scaling>
        <c:delete val="0"/>
        <c:axPos val="l"/>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923190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GB"/>
              <a:t>Group dialoguing</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cap="rnd">
                <a:solidFill>
                  <a:schemeClr val="accent1"/>
                </a:solidFill>
                <a:round/>
              </a:ln>
              <a:effectLst>
                <a:outerShdw blurRad="57150" dist="19050" dir="5400000" algn="ctr" rotWithShape="0">
                  <a:srgbClr val="000000">
                    <a:alpha val="63000"/>
                  </a:srgbClr>
                </a:outerShdw>
              </a:effectLst>
            </c:spPr>
          </c:marker>
          <c:trendline>
            <c:spPr>
              <a:ln w="19050" cap="rnd">
                <a:solidFill>
                  <a:schemeClr val="accent1"/>
                </a:solidFill>
              </a:ln>
              <a:effectLst/>
            </c:spPr>
            <c:trendlineType val="linear"/>
            <c:dispRSqr val="1"/>
            <c:dispEq val="0"/>
            <c:trendlineLbl>
              <c:layout>
                <c:manualLayout>
                  <c:x val="3.1146106736657918E-4"/>
                  <c:y val="-2.3366939685286449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'S-Group Dialogue'!$D$2:$D$11</c:f>
              <c:numCache>
                <c:formatCode>General</c:formatCode>
                <c:ptCount val="10"/>
                <c:pt idx="0">
                  <c:v>9</c:v>
                </c:pt>
                <c:pt idx="1">
                  <c:v>9</c:v>
                </c:pt>
                <c:pt idx="2">
                  <c:v>5</c:v>
                </c:pt>
                <c:pt idx="3">
                  <c:v>5</c:v>
                </c:pt>
                <c:pt idx="4">
                  <c:v>5</c:v>
                </c:pt>
                <c:pt idx="5">
                  <c:v>5</c:v>
                </c:pt>
                <c:pt idx="6">
                  <c:v>5</c:v>
                </c:pt>
                <c:pt idx="7">
                  <c:v>1.5</c:v>
                </c:pt>
                <c:pt idx="8">
                  <c:v>1.5</c:v>
                </c:pt>
                <c:pt idx="9">
                  <c:v>9</c:v>
                </c:pt>
              </c:numCache>
            </c:numRef>
          </c:xVal>
          <c:yVal>
            <c:numRef>
              <c:f>'S-Group Dialogue'!$E$2:$E$11</c:f>
              <c:numCache>
                <c:formatCode>General</c:formatCode>
                <c:ptCount val="10"/>
                <c:pt idx="0">
                  <c:v>6.5</c:v>
                </c:pt>
                <c:pt idx="1">
                  <c:v>1</c:v>
                </c:pt>
                <c:pt idx="2">
                  <c:v>6.5</c:v>
                </c:pt>
                <c:pt idx="3">
                  <c:v>6.5</c:v>
                </c:pt>
                <c:pt idx="4">
                  <c:v>6.5</c:v>
                </c:pt>
                <c:pt idx="5">
                  <c:v>3</c:v>
                </c:pt>
                <c:pt idx="6">
                  <c:v>3</c:v>
                </c:pt>
                <c:pt idx="7">
                  <c:v>10</c:v>
                </c:pt>
                <c:pt idx="8">
                  <c:v>3</c:v>
                </c:pt>
                <c:pt idx="9">
                  <c:v>9</c:v>
                </c:pt>
              </c:numCache>
            </c:numRef>
          </c:yVal>
          <c:smooth val="0"/>
          <c:extLst>
            <c:ext xmlns:c16="http://schemas.microsoft.com/office/drawing/2014/chart" uri="{C3380CC4-5D6E-409C-BE32-E72D297353CC}">
              <c16:uniqueId val="{00000000-E8CC-456A-8C38-4415C3301957}"/>
            </c:ext>
          </c:extLst>
        </c:ser>
        <c:dLbls>
          <c:showLegendKey val="0"/>
          <c:showVal val="0"/>
          <c:showCatName val="0"/>
          <c:showSerName val="0"/>
          <c:showPercent val="0"/>
          <c:showBubbleSize val="0"/>
        </c:dLbls>
        <c:axId val="634383192"/>
        <c:axId val="634381880"/>
      </c:scatterChart>
      <c:valAx>
        <c:axId val="634383192"/>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381880"/>
        <c:crosses val="autoZero"/>
        <c:crossBetween val="midCat"/>
      </c:valAx>
      <c:valAx>
        <c:axId val="634381880"/>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38319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9</xdr:col>
      <xdr:colOff>395287</xdr:colOff>
      <xdr:row>12</xdr:row>
      <xdr:rowOff>147638</xdr:rowOff>
    </xdr:from>
    <xdr:to>
      <xdr:col>17</xdr:col>
      <xdr:colOff>90487</xdr:colOff>
      <xdr:row>27</xdr:row>
      <xdr:rowOff>114301</xdr:rowOff>
    </xdr:to>
    <xdr:graphicFrame macro="">
      <xdr:nvGraphicFramePr>
        <xdr:cNvPr id="4" name="Chart 3">
          <a:extLst>
            <a:ext uri="{FF2B5EF4-FFF2-40B4-BE49-F238E27FC236}">
              <a16:creationId xmlns:a16="http://schemas.microsoft.com/office/drawing/2014/main" id="{22DD7D6A-8A8C-4A6E-804B-8316B49B896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80962</xdr:colOff>
      <xdr:row>2</xdr:row>
      <xdr:rowOff>119062</xdr:rowOff>
    </xdr:from>
    <xdr:to>
      <xdr:col>10</xdr:col>
      <xdr:colOff>385762</xdr:colOff>
      <xdr:row>17</xdr:row>
      <xdr:rowOff>4762</xdr:rowOff>
    </xdr:to>
    <xdr:graphicFrame macro="">
      <xdr:nvGraphicFramePr>
        <xdr:cNvPr id="2" name="Chart 1">
          <a:extLst>
            <a:ext uri="{FF2B5EF4-FFF2-40B4-BE49-F238E27FC236}">
              <a16:creationId xmlns:a16="http://schemas.microsoft.com/office/drawing/2014/main" id="{BB5B300F-DB70-48DC-A195-0E7DBEEE470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100012</xdr:colOff>
      <xdr:row>0</xdr:row>
      <xdr:rowOff>90488</xdr:rowOff>
    </xdr:from>
    <xdr:to>
      <xdr:col>12</xdr:col>
      <xdr:colOff>404812</xdr:colOff>
      <xdr:row>16</xdr:row>
      <xdr:rowOff>1</xdr:rowOff>
    </xdr:to>
    <xdr:graphicFrame macro="">
      <xdr:nvGraphicFramePr>
        <xdr:cNvPr id="2" name="Chart 1">
          <a:extLst>
            <a:ext uri="{FF2B5EF4-FFF2-40B4-BE49-F238E27FC236}">
              <a16:creationId xmlns:a16="http://schemas.microsoft.com/office/drawing/2014/main" id="{76F5CA71-68BF-4D03-9A9A-A2AFF613E64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100012</xdr:colOff>
      <xdr:row>3</xdr:row>
      <xdr:rowOff>61912</xdr:rowOff>
    </xdr:from>
    <xdr:to>
      <xdr:col>8</xdr:col>
      <xdr:colOff>523875</xdr:colOff>
      <xdr:row>17</xdr:row>
      <xdr:rowOff>138112</xdr:rowOff>
    </xdr:to>
    <xdr:graphicFrame macro="">
      <xdr:nvGraphicFramePr>
        <xdr:cNvPr id="2" name="Chart 1">
          <a:extLst>
            <a:ext uri="{FF2B5EF4-FFF2-40B4-BE49-F238E27FC236}">
              <a16:creationId xmlns:a16="http://schemas.microsoft.com/office/drawing/2014/main" id="{3619A621-8334-4338-9685-5CC73FAF10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119062</xdr:colOff>
      <xdr:row>0</xdr:row>
      <xdr:rowOff>33337</xdr:rowOff>
    </xdr:from>
    <xdr:to>
      <xdr:col>12</xdr:col>
      <xdr:colOff>423862</xdr:colOff>
      <xdr:row>16</xdr:row>
      <xdr:rowOff>9525</xdr:rowOff>
    </xdr:to>
    <xdr:graphicFrame macro="">
      <xdr:nvGraphicFramePr>
        <xdr:cNvPr id="2" name="Chart 1">
          <a:extLst>
            <a:ext uri="{FF2B5EF4-FFF2-40B4-BE49-F238E27FC236}">
              <a16:creationId xmlns:a16="http://schemas.microsoft.com/office/drawing/2014/main" id="{9FAA81CB-11B3-486F-9413-853665B7736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3</xdr:col>
      <xdr:colOff>147637</xdr:colOff>
      <xdr:row>3</xdr:row>
      <xdr:rowOff>80962</xdr:rowOff>
    </xdr:from>
    <xdr:to>
      <xdr:col>8</xdr:col>
      <xdr:colOff>514350</xdr:colOff>
      <xdr:row>17</xdr:row>
      <xdr:rowOff>157162</xdr:rowOff>
    </xdr:to>
    <xdr:graphicFrame macro="">
      <xdr:nvGraphicFramePr>
        <xdr:cNvPr id="2" name="Chart 1">
          <a:extLst>
            <a:ext uri="{FF2B5EF4-FFF2-40B4-BE49-F238E27FC236}">
              <a16:creationId xmlns:a16="http://schemas.microsoft.com/office/drawing/2014/main" id="{7457A8BA-19D7-44AC-BD66-BFB4A5D2D3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138112</xdr:colOff>
      <xdr:row>0</xdr:row>
      <xdr:rowOff>33337</xdr:rowOff>
    </xdr:from>
    <xdr:to>
      <xdr:col>12</xdr:col>
      <xdr:colOff>442912</xdr:colOff>
      <xdr:row>16</xdr:row>
      <xdr:rowOff>9525</xdr:rowOff>
    </xdr:to>
    <xdr:graphicFrame macro="">
      <xdr:nvGraphicFramePr>
        <xdr:cNvPr id="3" name="Chart 2">
          <a:extLst>
            <a:ext uri="{FF2B5EF4-FFF2-40B4-BE49-F238E27FC236}">
              <a16:creationId xmlns:a16="http://schemas.microsoft.com/office/drawing/2014/main" id="{4F66C89B-EB96-465C-B051-AF99B9B29E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147637</xdr:colOff>
      <xdr:row>3</xdr:row>
      <xdr:rowOff>80962</xdr:rowOff>
    </xdr:from>
    <xdr:to>
      <xdr:col>8</xdr:col>
      <xdr:colOff>523875</xdr:colOff>
      <xdr:row>17</xdr:row>
      <xdr:rowOff>157162</xdr:rowOff>
    </xdr:to>
    <xdr:graphicFrame macro="">
      <xdr:nvGraphicFramePr>
        <xdr:cNvPr id="2" name="Chart 1">
          <a:extLst>
            <a:ext uri="{FF2B5EF4-FFF2-40B4-BE49-F238E27FC236}">
              <a16:creationId xmlns:a16="http://schemas.microsoft.com/office/drawing/2014/main" id="{98BA958E-0CF9-40A8-AB0F-CA83F43FBA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128587</xdr:colOff>
      <xdr:row>0</xdr:row>
      <xdr:rowOff>71437</xdr:rowOff>
    </xdr:from>
    <xdr:to>
      <xdr:col>12</xdr:col>
      <xdr:colOff>433387</xdr:colOff>
      <xdr:row>15</xdr:row>
      <xdr:rowOff>304800</xdr:rowOff>
    </xdr:to>
    <xdr:graphicFrame macro="">
      <xdr:nvGraphicFramePr>
        <xdr:cNvPr id="2" name="Chart 1">
          <a:extLst>
            <a:ext uri="{FF2B5EF4-FFF2-40B4-BE49-F238E27FC236}">
              <a16:creationId xmlns:a16="http://schemas.microsoft.com/office/drawing/2014/main" id="{0CE7EA54-1470-4AFB-8852-481FD2EF381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3</xdr:col>
      <xdr:colOff>80962</xdr:colOff>
      <xdr:row>2</xdr:row>
      <xdr:rowOff>33337</xdr:rowOff>
    </xdr:from>
    <xdr:to>
      <xdr:col>8</xdr:col>
      <xdr:colOff>466725</xdr:colOff>
      <xdr:row>16</xdr:row>
      <xdr:rowOff>109537</xdr:rowOff>
    </xdr:to>
    <xdr:graphicFrame macro="">
      <xdr:nvGraphicFramePr>
        <xdr:cNvPr id="2" name="Chart 1">
          <a:extLst>
            <a:ext uri="{FF2B5EF4-FFF2-40B4-BE49-F238E27FC236}">
              <a16:creationId xmlns:a16="http://schemas.microsoft.com/office/drawing/2014/main" id="{121258F8-6E9F-4180-BE32-262B906C3F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22</xdr:row>
      <xdr:rowOff>100012</xdr:rowOff>
    </xdr:from>
    <xdr:to>
      <xdr:col>1</xdr:col>
      <xdr:colOff>2457450</xdr:colOff>
      <xdr:row>32</xdr:row>
      <xdr:rowOff>123825</xdr:rowOff>
    </xdr:to>
    <xdr:graphicFrame macro="">
      <xdr:nvGraphicFramePr>
        <xdr:cNvPr id="6" name="Chart 5">
          <a:extLst>
            <a:ext uri="{FF2B5EF4-FFF2-40B4-BE49-F238E27FC236}">
              <a16:creationId xmlns:a16="http://schemas.microsoft.com/office/drawing/2014/main" id="{918F36C2-B90A-4104-8D3F-370C0C6D6A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80962</xdr:colOff>
      <xdr:row>22</xdr:row>
      <xdr:rowOff>90487</xdr:rowOff>
    </xdr:from>
    <xdr:to>
      <xdr:col>3</xdr:col>
      <xdr:colOff>2242762</xdr:colOff>
      <xdr:row>32</xdr:row>
      <xdr:rowOff>115087</xdr:rowOff>
    </xdr:to>
    <xdr:graphicFrame macro="">
      <xdr:nvGraphicFramePr>
        <xdr:cNvPr id="7" name="Chart 6">
          <a:extLst>
            <a:ext uri="{FF2B5EF4-FFF2-40B4-BE49-F238E27FC236}">
              <a16:creationId xmlns:a16="http://schemas.microsoft.com/office/drawing/2014/main" id="{8A4DE556-BBBF-4329-B229-13DCD3A54A4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71437</xdr:colOff>
      <xdr:row>26</xdr:row>
      <xdr:rowOff>71437</xdr:rowOff>
    </xdr:from>
    <xdr:to>
      <xdr:col>5</xdr:col>
      <xdr:colOff>2357437</xdr:colOff>
      <xdr:row>40</xdr:row>
      <xdr:rowOff>147637</xdr:rowOff>
    </xdr:to>
    <xdr:graphicFrame macro="">
      <xdr:nvGraphicFramePr>
        <xdr:cNvPr id="8" name="Chart 7">
          <a:extLst>
            <a:ext uri="{FF2B5EF4-FFF2-40B4-BE49-F238E27FC236}">
              <a16:creationId xmlns:a16="http://schemas.microsoft.com/office/drawing/2014/main" id="{22BF1584-1E46-468C-A7F0-C59FC9F05C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22</xdr:row>
      <xdr:rowOff>14287</xdr:rowOff>
    </xdr:from>
    <xdr:to>
      <xdr:col>8</xdr:col>
      <xdr:colOff>1733175</xdr:colOff>
      <xdr:row>32</xdr:row>
      <xdr:rowOff>38887</xdr:rowOff>
    </xdr:to>
    <xdr:graphicFrame macro="">
      <xdr:nvGraphicFramePr>
        <xdr:cNvPr id="9" name="Chart 8">
          <a:extLst>
            <a:ext uri="{FF2B5EF4-FFF2-40B4-BE49-F238E27FC236}">
              <a16:creationId xmlns:a16="http://schemas.microsoft.com/office/drawing/2014/main" id="{8851FE39-FF14-4271-8896-6A2A4D743CD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85725</xdr:colOff>
      <xdr:row>22</xdr:row>
      <xdr:rowOff>71437</xdr:rowOff>
    </xdr:from>
    <xdr:to>
      <xdr:col>11</xdr:col>
      <xdr:colOff>123450</xdr:colOff>
      <xdr:row>32</xdr:row>
      <xdr:rowOff>96037</xdr:rowOff>
    </xdr:to>
    <xdr:graphicFrame macro="">
      <xdr:nvGraphicFramePr>
        <xdr:cNvPr id="10" name="Chart 9">
          <a:extLst>
            <a:ext uri="{FF2B5EF4-FFF2-40B4-BE49-F238E27FC236}">
              <a16:creationId xmlns:a16="http://schemas.microsoft.com/office/drawing/2014/main" id="{3193E3FC-A35C-4479-98AC-C2E149A11D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76201</xdr:colOff>
      <xdr:row>2</xdr:row>
      <xdr:rowOff>100012</xdr:rowOff>
    </xdr:from>
    <xdr:to>
      <xdr:col>8</xdr:col>
      <xdr:colOff>542926</xdr:colOff>
      <xdr:row>17</xdr:row>
      <xdr:rowOff>176212</xdr:rowOff>
    </xdr:to>
    <xdr:graphicFrame macro="">
      <xdr:nvGraphicFramePr>
        <xdr:cNvPr id="6" name="Chart 5">
          <a:extLst>
            <a:ext uri="{FF2B5EF4-FFF2-40B4-BE49-F238E27FC236}">
              <a16:creationId xmlns:a16="http://schemas.microsoft.com/office/drawing/2014/main" id="{C3A12645-CB4A-4408-8A41-D96D317798F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195262</xdr:colOff>
      <xdr:row>0</xdr:row>
      <xdr:rowOff>52388</xdr:rowOff>
    </xdr:from>
    <xdr:to>
      <xdr:col>12</xdr:col>
      <xdr:colOff>500062</xdr:colOff>
      <xdr:row>16</xdr:row>
      <xdr:rowOff>1</xdr:rowOff>
    </xdr:to>
    <xdr:graphicFrame macro="">
      <xdr:nvGraphicFramePr>
        <xdr:cNvPr id="3" name="Chart 2">
          <a:extLst>
            <a:ext uri="{FF2B5EF4-FFF2-40B4-BE49-F238E27FC236}">
              <a16:creationId xmlns:a16="http://schemas.microsoft.com/office/drawing/2014/main" id="{2987C75C-72B1-4535-AF62-279D8973BE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100012</xdr:colOff>
      <xdr:row>2</xdr:row>
      <xdr:rowOff>100012</xdr:rowOff>
    </xdr:from>
    <xdr:to>
      <xdr:col>8</xdr:col>
      <xdr:colOff>552450</xdr:colOff>
      <xdr:row>17</xdr:row>
      <xdr:rowOff>176212</xdr:rowOff>
    </xdr:to>
    <xdr:graphicFrame macro="">
      <xdr:nvGraphicFramePr>
        <xdr:cNvPr id="3" name="Chart 2">
          <a:extLst>
            <a:ext uri="{FF2B5EF4-FFF2-40B4-BE49-F238E27FC236}">
              <a16:creationId xmlns:a16="http://schemas.microsoft.com/office/drawing/2014/main" id="{228FD8E1-271A-4B3A-95B2-4B6676D11F7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90487</xdr:colOff>
      <xdr:row>0</xdr:row>
      <xdr:rowOff>90487</xdr:rowOff>
    </xdr:from>
    <xdr:to>
      <xdr:col>12</xdr:col>
      <xdr:colOff>395287</xdr:colOff>
      <xdr:row>16</xdr:row>
      <xdr:rowOff>0</xdr:rowOff>
    </xdr:to>
    <xdr:graphicFrame macro="">
      <xdr:nvGraphicFramePr>
        <xdr:cNvPr id="2" name="Chart 1">
          <a:extLst>
            <a:ext uri="{FF2B5EF4-FFF2-40B4-BE49-F238E27FC236}">
              <a16:creationId xmlns:a16="http://schemas.microsoft.com/office/drawing/2014/main" id="{233FB27E-9B8E-4F8B-BED7-2BB7FE2E15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109537</xdr:colOff>
      <xdr:row>3</xdr:row>
      <xdr:rowOff>80962</xdr:rowOff>
    </xdr:from>
    <xdr:to>
      <xdr:col>8</xdr:col>
      <xdr:colOff>561975</xdr:colOff>
      <xdr:row>17</xdr:row>
      <xdr:rowOff>157162</xdr:rowOff>
    </xdr:to>
    <xdr:graphicFrame macro="">
      <xdr:nvGraphicFramePr>
        <xdr:cNvPr id="2" name="Chart 1">
          <a:extLst>
            <a:ext uri="{FF2B5EF4-FFF2-40B4-BE49-F238E27FC236}">
              <a16:creationId xmlns:a16="http://schemas.microsoft.com/office/drawing/2014/main" id="{3A5B580A-37B1-406A-BDB2-335C48D9977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5</xdr:col>
      <xdr:colOff>100012</xdr:colOff>
      <xdr:row>0</xdr:row>
      <xdr:rowOff>71437</xdr:rowOff>
    </xdr:from>
    <xdr:to>
      <xdr:col>12</xdr:col>
      <xdr:colOff>404812</xdr:colOff>
      <xdr:row>16</xdr:row>
      <xdr:rowOff>0</xdr:rowOff>
    </xdr:to>
    <xdr:graphicFrame macro="">
      <xdr:nvGraphicFramePr>
        <xdr:cNvPr id="2" name="Chart 1">
          <a:extLst>
            <a:ext uri="{FF2B5EF4-FFF2-40B4-BE49-F238E27FC236}">
              <a16:creationId xmlns:a16="http://schemas.microsoft.com/office/drawing/2014/main" id="{C4175FBA-AEF5-47C9-80F1-05C9FBE76FB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138112</xdr:colOff>
      <xdr:row>3</xdr:row>
      <xdr:rowOff>90487</xdr:rowOff>
    </xdr:from>
    <xdr:to>
      <xdr:col>8</xdr:col>
      <xdr:colOff>581025</xdr:colOff>
      <xdr:row>17</xdr:row>
      <xdr:rowOff>166687</xdr:rowOff>
    </xdr:to>
    <xdr:graphicFrame macro="">
      <xdr:nvGraphicFramePr>
        <xdr:cNvPr id="2" name="Chart 1">
          <a:extLst>
            <a:ext uri="{FF2B5EF4-FFF2-40B4-BE49-F238E27FC236}">
              <a16:creationId xmlns:a16="http://schemas.microsoft.com/office/drawing/2014/main" id="{F74F70EC-37BC-43A0-891E-D60C6D20A6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5</xdr:col>
      <xdr:colOff>71437</xdr:colOff>
      <xdr:row>0</xdr:row>
      <xdr:rowOff>80962</xdr:rowOff>
    </xdr:from>
    <xdr:to>
      <xdr:col>12</xdr:col>
      <xdr:colOff>376237</xdr:colOff>
      <xdr:row>15</xdr:row>
      <xdr:rowOff>314325</xdr:rowOff>
    </xdr:to>
    <xdr:graphicFrame macro="">
      <xdr:nvGraphicFramePr>
        <xdr:cNvPr id="2" name="Chart 1">
          <a:extLst>
            <a:ext uri="{FF2B5EF4-FFF2-40B4-BE49-F238E27FC236}">
              <a16:creationId xmlns:a16="http://schemas.microsoft.com/office/drawing/2014/main" id="{19EA6724-FEAE-4F45-998D-A41EDACA55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2A0ED-7650-4C68-A9C5-55E891548E3A}">
  <sheetPr>
    <tabColor theme="9"/>
  </sheetPr>
  <dimension ref="A2:I15"/>
  <sheetViews>
    <sheetView workbookViewId="0">
      <selection activeCell="A8" sqref="A8:E10"/>
    </sheetView>
  </sheetViews>
  <sheetFormatPr defaultRowHeight="15" x14ac:dyDescent="0.25"/>
  <cols>
    <col min="1" max="1" width="22" bestFit="1" customWidth="1"/>
    <col min="2" max="2" width="10.85546875" customWidth="1"/>
    <col min="7" max="7" width="19.85546875" customWidth="1"/>
    <col min="8" max="8" width="26.28515625" customWidth="1"/>
  </cols>
  <sheetData>
    <row r="2" spans="1:9" x14ac:dyDescent="0.25">
      <c r="A2" s="415" t="s">
        <v>124</v>
      </c>
      <c r="B2" s="415"/>
      <c r="C2" s="415"/>
      <c r="D2" s="415"/>
      <c r="E2" s="415"/>
      <c r="F2" s="51"/>
      <c r="G2" s="415" t="s">
        <v>136</v>
      </c>
      <c r="H2" s="415"/>
      <c r="I2" s="51"/>
    </row>
    <row r="3" spans="1:9" s="260" customFormat="1" ht="24" x14ac:dyDescent="0.25">
      <c r="A3" s="417" t="s">
        <v>5</v>
      </c>
      <c r="B3" s="417"/>
      <c r="C3" s="366" t="s">
        <v>111</v>
      </c>
      <c r="D3" s="367" t="s">
        <v>125</v>
      </c>
      <c r="E3" s="368" t="s">
        <v>126</v>
      </c>
      <c r="F3" s="369"/>
      <c r="G3" s="370" t="s">
        <v>5</v>
      </c>
      <c r="H3" s="371" t="s">
        <v>171</v>
      </c>
      <c r="I3" s="369"/>
    </row>
    <row r="4" spans="1:9" ht="24" x14ac:dyDescent="0.25">
      <c r="A4" s="418" t="s">
        <v>171</v>
      </c>
      <c r="B4" s="55" t="s">
        <v>127</v>
      </c>
      <c r="C4" s="56" t="s">
        <v>137</v>
      </c>
      <c r="D4" s="57">
        <v>3.5</v>
      </c>
      <c r="E4" s="58">
        <v>3.5</v>
      </c>
      <c r="F4" s="51"/>
      <c r="G4" s="55" t="s">
        <v>132</v>
      </c>
      <c r="H4" s="70" t="s">
        <v>143</v>
      </c>
      <c r="I4" s="51"/>
    </row>
    <row r="5" spans="1:9" ht="24" x14ac:dyDescent="0.25">
      <c r="A5" s="419"/>
      <c r="B5" s="59" t="s">
        <v>128</v>
      </c>
      <c r="C5" s="60" t="s">
        <v>139</v>
      </c>
      <c r="D5" s="61">
        <v>4.083333333333333</v>
      </c>
      <c r="E5" s="62">
        <v>24.5</v>
      </c>
      <c r="F5" s="51"/>
      <c r="G5" s="65" t="s">
        <v>133</v>
      </c>
      <c r="H5" s="71">
        <v>5.7779571123597238E-2</v>
      </c>
      <c r="I5" s="51"/>
    </row>
    <row r="6" spans="1:9" x14ac:dyDescent="0.25">
      <c r="A6" s="419"/>
      <c r="B6" s="59" t="s">
        <v>129</v>
      </c>
      <c r="C6" s="60" t="s">
        <v>140</v>
      </c>
      <c r="D6" s="63"/>
      <c r="E6" s="64"/>
      <c r="F6" s="51"/>
      <c r="G6" s="416" t="s">
        <v>135</v>
      </c>
      <c r="H6" s="416"/>
      <c r="I6" s="51"/>
    </row>
    <row r="7" spans="1:9" x14ac:dyDescent="0.25">
      <c r="A7" s="420"/>
      <c r="B7" s="65" t="s">
        <v>108</v>
      </c>
      <c r="C7" s="66">
        <v>10</v>
      </c>
      <c r="D7" s="67"/>
      <c r="E7" s="68"/>
      <c r="F7" s="51"/>
      <c r="G7" s="416" t="s">
        <v>142</v>
      </c>
      <c r="H7" s="416"/>
      <c r="I7" s="51"/>
    </row>
    <row r="8" spans="1:9" x14ac:dyDescent="0.25">
      <c r="A8" s="416" t="s">
        <v>234</v>
      </c>
      <c r="B8" s="416"/>
      <c r="C8" s="416"/>
      <c r="D8" s="416"/>
      <c r="E8" s="416"/>
      <c r="F8" s="51"/>
    </row>
    <row r="9" spans="1:9" x14ac:dyDescent="0.25">
      <c r="A9" s="421" t="s">
        <v>235</v>
      </c>
      <c r="B9" s="421"/>
      <c r="C9" s="421"/>
      <c r="D9" s="421"/>
      <c r="E9" s="421"/>
      <c r="F9" s="51"/>
    </row>
    <row r="10" spans="1:9" x14ac:dyDescent="0.25">
      <c r="A10" s="416" t="s">
        <v>236</v>
      </c>
      <c r="B10" s="416"/>
      <c r="C10" s="416"/>
      <c r="D10" s="416"/>
      <c r="E10" s="416"/>
      <c r="F10" s="51"/>
    </row>
    <row r="12" spans="1:9" x14ac:dyDescent="0.25">
      <c r="A12" s="415" t="s">
        <v>165</v>
      </c>
      <c r="B12" s="415"/>
      <c r="C12" s="415"/>
      <c r="D12" s="415"/>
      <c r="E12" s="415"/>
      <c r="F12" s="415"/>
      <c r="G12" s="51"/>
    </row>
    <row r="13" spans="1:9" ht="24.75" x14ac:dyDescent="0.25">
      <c r="A13" s="69" t="s">
        <v>5</v>
      </c>
      <c r="B13" s="52" t="s">
        <v>111</v>
      </c>
      <c r="C13" s="53" t="s">
        <v>53</v>
      </c>
      <c r="D13" s="53" t="s">
        <v>87</v>
      </c>
      <c r="E13" s="53" t="s">
        <v>119</v>
      </c>
      <c r="F13" s="54" t="s">
        <v>120</v>
      </c>
      <c r="G13" s="51"/>
    </row>
    <row r="14" spans="1:9" x14ac:dyDescent="0.25">
      <c r="A14" s="55" t="s">
        <v>170</v>
      </c>
      <c r="B14" s="192">
        <v>10</v>
      </c>
      <c r="C14" s="193">
        <v>1.4</v>
      </c>
      <c r="D14" s="194">
        <v>0.5163977794943222</v>
      </c>
      <c r="E14" s="57">
        <v>1</v>
      </c>
      <c r="F14" s="58">
        <v>2</v>
      </c>
      <c r="G14" s="51"/>
    </row>
    <row r="15" spans="1:9" x14ac:dyDescent="0.25">
      <c r="A15" s="65" t="s">
        <v>169</v>
      </c>
      <c r="B15" s="66">
        <v>10</v>
      </c>
      <c r="C15" s="195">
        <v>2.1</v>
      </c>
      <c r="D15" s="196">
        <v>1.2866839377079189</v>
      </c>
      <c r="E15" s="197">
        <v>1</v>
      </c>
      <c r="F15" s="198">
        <v>5</v>
      </c>
      <c r="G15" s="51"/>
    </row>
  </sheetData>
  <mergeCells count="10">
    <mergeCell ref="G2:H2"/>
    <mergeCell ref="G6:H6"/>
    <mergeCell ref="G7:H7"/>
    <mergeCell ref="A12:F12"/>
    <mergeCell ref="A2:E2"/>
    <mergeCell ref="A3:B3"/>
    <mergeCell ref="A4:A7"/>
    <mergeCell ref="A8:E8"/>
    <mergeCell ref="A9:E9"/>
    <mergeCell ref="A10:E10"/>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8218D-9052-49B9-9CBB-A8B35191F4A9}">
  <sheetPr>
    <tabColor theme="9"/>
  </sheetPr>
  <dimension ref="A2:J15"/>
  <sheetViews>
    <sheetView workbookViewId="0">
      <selection activeCell="A8" sqref="A8:E10"/>
    </sheetView>
  </sheetViews>
  <sheetFormatPr defaultRowHeight="15" x14ac:dyDescent="0.25"/>
  <cols>
    <col min="1" max="1" width="22" bestFit="1" customWidth="1"/>
    <col min="9" max="9" width="24.140625" customWidth="1"/>
  </cols>
  <sheetData>
    <row r="2" spans="1:10" x14ac:dyDescent="0.25">
      <c r="A2" s="438" t="s">
        <v>124</v>
      </c>
      <c r="B2" s="438"/>
      <c r="C2" s="438"/>
      <c r="D2" s="438"/>
      <c r="E2" s="438"/>
      <c r="F2" s="276"/>
      <c r="H2" s="436" t="s">
        <v>136</v>
      </c>
      <c r="I2" s="436"/>
      <c r="J2" s="297"/>
    </row>
    <row r="3" spans="1:10" s="260" customFormat="1" ht="24" x14ac:dyDescent="0.25">
      <c r="A3" s="439" t="s">
        <v>5</v>
      </c>
      <c r="B3" s="439"/>
      <c r="C3" s="300" t="s">
        <v>111</v>
      </c>
      <c r="D3" s="301" t="s">
        <v>125</v>
      </c>
      <c r="E3" s="302" t="s">
        <v>126</v>
      </c>
      <c r="F3" s="297"/>
      <c r="H3" s="298" t="s">
        <v>5</v>
      </c>
      <c r="I3" s="299" t="s">
        <v>192</v>
      </c>
      <c r="J3" s="297"/>
    </row>
    <row r="4" spans="1:10" ht="24" x14ac:dyDescent="0.25">
      <c r="A4" s="440" t="s">
        <v>192</v>
      </c>
      <c r="B4" s="280" t="s">
        <v>127</v>
      </c>
      <c r="C4" s="281" t="s">
        <v>150</v>
      </c>
      <c r="D4" s="282">
        <v>2</v>
      </c>
      <c r="E4" s="283">
        <v>4</v>
      </c>
      <c r="F4" s="276"/>
      <c r="H4" s="280" t="s">
        <v>132</v>
      </c>
      <c r="I4" s="295" t="s">
        <v>155</v>
      </c>
      <c r="J4" s="297"/>
    </row>
    <row r="5" spans="1:10" ht="36" x14ac:dyDescent="0.25">
      <c r="A5" s="441"/>
      <c r="B5" s="284" t="s">
        <v>128</v>
      </c>
      <c r="C5" s="285" t="s">
        <v>188</v>
      </c>
      <c r="D5" s="286">
        <v>5.8571428571428568</v>
      </c>
      <c r="E5" s="287">
        <v>41</v>
      </c>
      <c r="F5" s="276"/>
      <c r="H5" s="290" t="s">
        <v>133</v>
      </c>
      <c r="I5" s="296">
        <v>2.675100158140228E-2</v>
      </c>
      <c r="J5" s="297"/>
    </row>
    <row r="6" spans="1:10" x14ac:dyDescent="0.25">
      <c r="A6" s="441"/>
      <c r="B6" s="284" t="s">
        <v>129</v>
      </c>
      <c r="C6" s="285" t="s">
        <v>144</v>
      </c>
      <c r="D6" s="288"/>
      <c r="E6" s="289"/>
      <c r="F6" s="276"/>
      <c r="H6" s="437" t="s">
        <v>135</v>
      </c>
      <c r="I6" s="437"/>
      <c r="J6" s="297"/>
    </row>
    <row r="7" spans="1:10" x14ac:dyDescent="0.25">
      <c r="A7" s="442"/>
      <c r="B7" s="290" t="s">
        <v>108</v>
      </c>
      <c r="C7" s="291">
        <v>10</v>
      </c>
      <c r="D7" s="292"/>
      <c r="E7" s="293"/>
      <c r="F7" s="276"/>
      <c r="H7" s="437" t="s">
        <v>142</v>
      </c>
      <c r="I7" s="437"/>
      <c r="J7" s="297"/>
    </row>
    <row r="8" spans="1:10" x14ac:dyDescent="0.25">
      <c r="A8" s="437" t="s">
        <v>193</v>
      </c>
      <c r="B8" s="437"/>
      <c r="C8" s="437"/>
      <c r="D8" s="437"/>
      <c r="E8" s="437"/>
      <c r="F8" s="276"/>
    </row>
    <row r="9" spans="1:10" x14ac:dyDescent="0.25">
      <c r="A9" s="437" t="s">
        <v>194</v>
      </c>
      <c r="B9" s="437"/>
      <c r="C9" s="437"/>
      <c r="D9" s="437"/>
      <c r="E9" s="437"/>
      <c r="F9" s="276"/>
    </row>
    <row r="10" spans="1:10" x14ac:dyDescent="0.25">
      <c r="A10" s="437" t="s">
        <v>195</v>
      </c>
      <c r="B10" s="437"/>
      <c r="C10" s="437"/>
      <c r="D10" s="437"/>
      <c r="E10" s="437"/>
      <c r="F10" s="276"/>
    </row>
    <row r="12" spans="1:10" x14ac:dyDescent="0.25">
      <c r="A12" s="438" t="s">
        <v>165</v>
      </c>
      <c r="B12" s="438"/>
      <c r="C12" s="438"/>
      <c r="D12" s="438"/>
      <c r="E12" s="438"/>
      <c r="F12" s="438"/>
      <c r="G12" s="276"/>
    </row>
    <row r="13" spans="1:10" ht="24.75" x14ac:dyDescent="0.25">
      <c r="A13" s="294" t="s">
        <v>5</v>
      </c>
      <c r="B13" s="277" t="s">
        <v>111</v>
      </c>
      <c r="C13" s="278" t="s">
        <v>53</v>
      </c>
      <c r="D13" s="278" t="s">
        <v>87</v>
      </c>
      <c r="E13" s="278" t="s">
        <v>119</v>
      </c>
      <c r="F13" s="279" t="s">
        <v>120</v>
      </c>
      <c r="G13" s="276"/>
    </row>
    <row r="14" spans="1:10" x14ac:dyDescent="0.25">
      <c r="A14" s="280" t="s">
        <v>196</v>
      </c>
      <c r="B14" s="303">
        <v>10</v>
      </c>
      <c r="C14" s="304">
        <v>2.2000000000000002</v>
      </c>
      <c r="D14" s="305">
        <v>1.0327955589886444</v>
      </c>
      <c r="E14" s="282">
        <v>1</v>
      </c>
      <c r="F14" s="283">
        <v>4</v>
      </c>
      <c r="G14" s="276"/>
    </row>
    <row r="15" spans="1:10" x14ac:dyDescent="0.25">
      <c r="A15" s="290" t="s">
        <v>197</v>
      </c>
      <c r="B15" s="291">
        <v>10</v>
      </c>
      <c r="C15" s="306">
        <v>3.6</v>
      </c>
      <c r="D15" s="307">
        <v>1.2649110640673518</v>
      </c>
      <c r="E15" s="308">
        <v>1</v>
      </c>
      <c r="F15" s="309">
        <v>5</v>
      </c>
      <c r="G15" s="276"/>
    </row>
  </sheetData>
  <mergeCells count="10">
    <mergeCell ref="H2:I2"/>
    <mergeCell ref="H6:I6"/>
    <mergeCell ref="H7:I7"/>
    <mergeCell ref="A12:F12"/>
    <mergeCell ref="A2:E2"/>
    <mergeCell ref="A3:B3"/>
    <mergeCell ref="A4:A7"/>
    <mergeCell ref="A8:E8"/>
    <mergeCell ref="A9:E9"/>
    <mergeCell ref="A10:E1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17D82-2D61-4CB8-B118-4036A9D72179}">
  <dimension ref="A1:S21"/>
  <sheetViews>
    <sheetView workbookViewId="0">
      <selection activeCell="B2" sqref="B2:B11"/>
    </sheetView>
  </sheetViews>
  <sheetFormatPr defaultRowHeight="15" x14ac:dyDescent="0.25"/>
  <cols>
    <col min="1" max="1" width="22.7109375" bestFit="1" customWidth="1"/>
  </cols>
  <sheetData>
    <row r="1" spans="1:19" x14ac:dyDescent="0.25">
      <c r="B1" s="1" t="s">
        <v>35</v>
      </c>
      <c r="C1" s="1" t="s">
        <v>36</v>
      </c>
    </row>
    <row r="2" spans="1:19" x14ac:dyDescent="0.25">
      <c r="B2" s="3">
        <v>1</v>
      </c>
      <c r="C2">
        <v>2</v>
      </c>
      <c r="D2">
        <f>_xlfn.RANK.AVG(B2,$B$2:$B$11,0)</f>
        <v>9.5</v>
      </c>
      <c r="E2">
        <f>_xlfn.RANK.AVG(C2,$C$2:$C$11,0)</f>
        <v>6</v>
      </c>
      <c r="N2" s="17">
        <f t="shared" ref="N2:N11" si="0">B2-$B$13</f>
        <v>-1.4</v>
      </c>
      <c r="O2" s="18">
        <f>N2^2</f>
        <v>1.9599999999999997</v>
      </c>
      <c r="P2" s="17">
        <f>C2-$C$13</f>
        <v>-0.20000000000000018</v>
      </c>
      <c r="Q2" s="19">
        <f>P2^2</f>
        <v>4.000000000000007E-2</v>
      </c>
      <c r="R2">
        <f>SUM(B2:C2)</f>
        <v>3</v>
      </c>
    </row>
    <row r="3" spans="1:19" x14ac:dyDescent="0.25">
      <c r="B3" s="3">
        <v>2</v>
      </c>
      <c r="C3">
        <v>1</v>
      </c>
      <c r="D3">
        <f t="shared" ref="D3:D11" si="1">_xlfn.RANK.AVG(B3,$B$2:$B$11,0)</f>
        <v>6</v>
      </c>
      <c r="E3">
        <f t="shared" ref="E3:E11" si="2">_xlfn.RANK.AVG(C3,$C$2:$C$11,0)</f>
        <v>9</v>
      </c>
      <c r="N3" s="20">
        <f t="shared" si="0"/>
        <v>-0.39999999999999991</v>
      </c>
      <c r="O3" s="21">
        <f t="shared" ref="O3:O11" si="3">N3^2</f>
        <v>0.15999999999999992</v>
      </c>
      <c r="P3" s="17">
        <f t="shared" ref="P3:P11" si="4">C3-$C$13</f>
        <v>-1.2000000000000002</v>
      </c>
      <c r="Q3" s="22">
        <f t="shared" ref="Q3:Q11" si="5">P3^2</f>
        <v>1.4400000000000004</v>
      </c>
      <c r="R3">
        <f t="shared" ref="R3:R11" si="6">SUM(B3:C3)</f>
        <v>3</v>
      </c>
    </row>
    <row r="4" spans="1:19" x14ac:dyDescent="0.25">
      <c r="B4" s="3">
        <v>5</v>
      </c>
      <c r="C4">
        <v>2</v>
      </c>
      <c r="D4">
        <f t="shared" si="1"/>
        <v>1</v>
      </c>
      <c r="E4">
        <f t="shared" si="2"/>
        <v>6</v>
      </c>
      <c r="N4" s="20">
        <f t="shared" si="0"/>
        <v>2.6</v>
      </c>
      <c r="O4" s="21">
        <f t="shared" si="3"/>
        <v>6.7600000000000007</v>
      </c>
      <c r="P4" s="17">
        <f t="shared" si="4"/>
        <v>-0.20000000000000018</v>
      </c>
      <c r="Q4" s="22">
        <f t="shared" si="5"/>
        <v>4.000000000000007E-2</v>
      </c>
      <c r="R4">
        <f t="shared" si="6"/>
        <v>7</v>
      </c>
    </row>
    <row r="5" spans="1:19" x14ac:dyDescent="0.25">
      <c r="B5" s="3">
        <v>2</v>
      </c>
      <c r="C5">
        <v>3</v>
      </c>
      <c r="D5">
        <f t="shared" si="1"/>
        <v>6</v>
      </c>
      <c r="E5">
        <f t="shared" si="2"/>
        <v>3</v>
      </c>
      <c r="N5" s="20">
        <f t="shared" si="0"/>
        <v>-0.39999999999999991</v>
      </c>
      <c r="O5" s="21">
        <f t="shared" si="3"/>
        <v>0.15999999999999992</v>
      </c>
      <c r="P5" s="17">
        <f t="shared" si="4"/>
        <v>0.79999999999999982</v>
      </c>
      <c r="Q5" s="22">
        <f t="shared" si="5"/>
        <v>0.63999999999999968</v>
      </c>
      <c r="R5">
        <f t="shared" si="6"/>
        <v>5</v>
      </c>
    </row>
    <row r="6" spans="1:19" x14ac:dyDescent="0.25">
      <c r="B6" s="3">
        <v>3</v>
      </c>
      <c r="C6">
        <v>1</v>
      </c>
      <c r="D6">
        <f t="shared" si="1"/>
        <v>3</v>
      </c>
      <c r="E6">
        <f t="shared" si="2"/>
        <v>9</v>
      </c>
      <c r="N6" s="20">
        <f t="shared" si="0"/>
        <v>0.60000000000000009</v>
      </c>
      <c r="O6" s="21">
        <f t="shared" si="3"/>
        <v>0.3600000000000001</v>
      </c>
      <c r="P6" s="17">
        <f t="shared" si="4"/>
        <v>-1.2000000000000002</v>
      </c>
      <c r="Q6" s="22">
        <f t="shared" si="5"/>
        <v>1.4400000000000004</v>
      </c>
      <c r="R6">
        <f t="shared" si="6"/>
        <v>4</v>
      </c>
    </row>
    <row r="7" spans="1:19" x14ac:dyDescent="0.25">
      <c r="B7" s="3">
        <v>2</v>
      </c>
      <c r="C7">
        <v>1</v>
      </c>
      <c r="D7">
        <f t="shared" si="1"/>
        <v>6</v>
      </c>
      <c r="E7">
        <f t="shared" si="2"/>
        <v>9</v>
      </c>
      <c r="N7" s="20">
        <f t="shared" si="0"/>
        <v>-0.39999999999999991</v>
      </c>
      <c r="O7" s="21">
        <f t="shared" si="3"/>
        <v>0.15999999999999992</v>
      </c>
      <c r="P7" s="17">
        <f t="shared" si="4"/>
        <v>-1.2000000000000002</v>
      </c>
      <c r="Q7" s="22">
        <f t="shared" si="5"/>
        <v>1.4400000000000004</v>
      </c>
      <c r="R7">
        <f t="shared" si="6"/>
        <v>3</v>
      </c>
    </row>
    <row r="8" spans="1:19" x14ac:dyDescent="0.25">
      <c r="B8" s="3">
        <v>1</v>
      </c>
      <c r="C8">
        <v>3</v>
      </c>
      <c r="D8">
        <f t="shared" si="1"/>
        <v>9.5</v>
      </c>
      <c r="E8">
        <f t="shared" si="2"/>
        <v>3</v>
      </c>
      <c r="N8" s="20">
        <f t="shared" si="0"/>
        <v>-1.4</v>
      </c>
      <c r="O8" s="21">
        <f t="shared" si="3"/>
        <v>1.9599999999999997</v>
      </c>
      <c r="P8" s="17">
        <f t="shared" si="4"/>
        <v>0.79999999999999982</v>
      </c>
      <c r="Q8" s="22">
        <f t="shared" si="5"/>
        <v>0.63999999999999968</v>
      </c>
      <c r="R8">
        <f t="shared" si="6"/>
        <v>4</v>
      </c>
    </row>
    <row r="9" spans="1:19" x14ac:dyDescent="0.25">
      <c r="B9" s="3">
        <v>2</v>
      </c>
      <c r="C9" s="5">
        <v>2</v>
      </c>
      <c r="D9">
        <f t="shared" si="1"/>
        <v>6</v>
      </c>
      <c r="E9">
        <f t="shared" si="2"/>
        <v>6</v>
      </c>
      <c r="N9" s="20">
        <f t="shared" si="0"/>
        <v>-0.39999999999999991</v>
      </c>
      <c r="O9" s="21">
        <f t="shared" si="3"/>
        <v>0.15999999999999992</v>
      </c>
      <c r="P9" s="17">
        <f t="shared" si="4"/>
        <v>-0.20000000000000018</v>
      </c>
      <c r="Q9" s="22">
        <f t="shared" si="5"/>
        <v>4.000000000000007E-2</v>
      </c>
      <c r="R9">
        <f t="shared" si="6"/>
        <v>4</v>
      </c>
    </row>
    <row r="10" spans="1:19" x14ac:dyDescent="0.25">
      <c r="B10" s="3">
        <v>2</v>
      </c>
      <c r="C10">
        <v>4</v>
      </c>
      <c r="D10">
        <f t="shared" si="1"/>
        <v>6</v>
      </c>
      <c r="E10">
        <f t="shared" si="2"/>
        <v>1</v>
      </c>
      <c r="N10" s="20">
        <f t="shared" si="0"/>
        <v>-0.39999999999999991</v>
      </c>
      <c r="O10" s="21">
        <f t="shared" si="3"/>
        <v>0.15999999999999992</v>
      </c>
      <c r="P10" s="17">
        <f t="shared" si="4"/>
        <v>1.7999999999999998</v>
      </c>
      <c r="Q10" s="22">
        <f t="shared" si="5"/>
        <v>3.2399999999999993</v>
      </c>
      <c r="R10">
        <f t="shared" si="6"/>
        <v>6</v>
      </c>
    </row>
    <row r="11" spans="1:19" x14ac:dyDescent="0.25">
      <c r="B11" s="3">
        <v>4</v>
      </c>
      <c r="C11">
        <v>3</v>
      </c>
      <c r="D11">
        <f t="shared" si="1"/>
        <v>2</v>
      </c>
      <c r="E11">
        <f t="shared" si="2"/>
        <v>3</v>
      </c>
      <c r="N11" s="23">
        <f t="shared" si="0"/>
        <v>1.6</v>
      </c>
      <c r="O11" s="24">
        <f t="shared" si="3"/>
        <v>2.5600000000000005</v>
      </c>
      <c r="P11" s="17">
        <f t="shared" si="4"/>
        <v>0.79999999999999982</v>
      </c>
      <c r="Q11" s="25">
        <f t="shared" si="5"/>
        <v>0.63999999999999968</v>
      </c>
      <c r="R11">
        <f t="shared" si="6"/>
        <v>7</v>
      </c>
    </row>
    <row r="12" spans="1:19" x14ac:dyDescent="0.25">
      <c r="A12" t="s">
        <v>92</v>
      </c>
      <c r="B12" s="3">
        <f>_xlfn.VAR.P(B2:B11)</f>
        <v>1.44</v>
      </c>
      <c r="C12" s="3">
        <f>_xlfn.VAR.P(C2:C11)</f>
        <v>0.96</v>
      </c>
      <c r="N12" s="21"/>
      <c r="O12" s="21"/>
      <c r="P12" s="21"/>
      <c r="Q12" s="21"/>
      <c r="R12">
        <f>SUBTOTAL(9,R2:R11)</f>
        <v>46</v>
      </c>
      <c r="S12">
        <f>SUM(B12:C12)</f>
        <v>2.4</v>
      </c>
    </row>
    <row r="13" spans="1:19" x14ac:dyDescent="0.25">
      <c r="A13" t="s">
        <v>53</v>
      </c>
      <c r="B13" s="28">
        <f>AVERAGE(B2:B11)</f>
        <v>2.4</v>
      </c>
      <c r="C13" s="28">
        <f>AVERAGE(C2:C11)</f>
        <v>2.2000000000000002</v>
      </c>
    </row>
    <row r="14" spans="1:19" x14ac:dyDescent="0.25">
      <c r="A14" t="s">
        <v>87</v>
      </c>
      <c r="B14" s="15">
        <f>_xlfn.STDEV.P(B2:B11,C2:C11)</f>
        <v>1.1000000000000001</v>
      </c>
      <c r="C14" s="28"/>
    </row>
    <row r="15" spans="1:19" x14ac:dyDescent="0.25">
      <c r="A15" t="s">
        <v>103</v>
      </c>
      <c r="B15" s="38">
        <f>SQRT(0.0182)</f>
        <v>0.13490737563232041</v>
      </c>
      <c r="C15" s="28"/>
    </row>
    <row r="16" spans="1:19" x14ac:dyDescent="0.25">
      <c r="A16" t="s">
        <v>26</v>
      </c>
      <c r="B16" s="10">
        <f>CORREL(E2:E11,D2:D11)</f>
        <v>-0.13474201390907387</v>
      </c>
      <c r="C16">
        <f>B16*SQRT(B19)/(1-B16^2)</f>
        <v>-0.38815508175745345</v>
      </c>
      <c r="D16" s="2"/>
    </row>
    <row r="17" spans="1:3" x14ac:dyDescent="0.25">
      <c r="A17" t="s">
        <v>27</v>
      </c>
      <c r="B17" s="33">
        <v>10</v>
      </c>
    </row>
    <row r="18" spans="1:3" x14ac:dyDescent="0.25">
      <c r="A18" t="s">
        <v>107</v>
      </c>
      <c r="B18" s="37">
        <f>_xlfn.T.DIST.2T(ABS(C16),B19)</f>
        <v>0.7080260431860006</v>
      </c>
    </row>
    <row r="19" spans="1:3" x14ac:dyDescent="0.25">
      <c r="A19" t="s">
        <v>109</v>
      </c>
      <c r="B19" s="33">
        <f>B17-2</f>
        <v>8</v>
      </c>
    </row>
    <row r="20" spans="1:3" x14ac:dyDescent="0.25">
      <c r="A20" t="s">
        <v>90</v>
      </c>
      <c r="B20" t="s">
        <v>112</v>
      </c>
      <c r="C20" s="16">
        <f>SQRT(SUM(Q1:Q9)/(B17*(B17-1)))</f>
        <v>0.25210227201585383</v>
      </c>
    </row>
    <row r="21" spans="1:3" x14ac:dyDescent="0.25">
      <c r="A21" t="s">
        <v>91</v>
      </c>
      <c r="B21" s="16">
        <f>SQRT(SUM(O2:O13)/(B17*(B17-1)))</f>
        <v>0.4</v>
      </c>
      <c r="C21" s="26" t="s">
        <v>113</v>
      </c>
    </row>
  </sheetData>
  <pageMargins left="0.7" right="0.7" top="0.75" bottom="0.75" header="0.3" footer="0.3"/>
  <pageSetup orientation="portrait" horizontalDpi="4294967293" verticalDpi="4294967293" r:id="rId1"/>
  <ignoredErrors>
    <ignoredError sqref="P2:P11" 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FF83C-3DA4-43BD-B5AD-6687E6792E2B}">
  <sheetPr>
    <tabColor theme="9"/>
  </sheetPr>
  <dimension ref="A1:C18"/>
  <sheetViews>
    <sheetView workbookViewId="0">
      <selection activeCell="B2" sqref="B2:B11"/>
    </sheetView>
  </sheetViews>
  <sheetFormatPr defaultRowHeight="15" x14ac:dyDescent="0.25"/>
  <cols>
    <col min="1" max="1" width="18.85546875" bestFit="1" customWidth="1"/>
    <col min="2" max="3" width="11.7109375" bestFit="1" customWidth="1"/>
  </cols>
  <sheetData>
    <row r="1" spans="1:3" x14ac:dyDescent="0.25">
      <c r="B1" s="1" t="s">
        <v>35</v>
      </c>
      <c r="C1" s="1" t="s">
        <v>36</v>
      </c>
    </row>
    <row r="2" spans="1:3" x14ac:dyDescent="0.25">
      <c r="B2" s="3">
        <v>1</v>
      </c>
      <c r="C2" s="401">
        <v>2</v>
      </c>
    </row>
    <row r="3" spans="1:3" x14ac:dyDescent="0.25">
      <c r="B3" s="3">
        <v>2</v>
      </c>
      <c r="C3" s="401">
        <v>1</v>
      </c>
    </row>
    <row r="4" spans="1:3" x14ac:dyDescent="0.25">
      <c r="B4" s="3">
        <v>5</v>
      </c>
      <c r="C4" s="401">
        <v>2</v>
      </c>
    </row>
    <row r="5" spans="1:3" x14ac:dyDescent="0.25">
      <c r="B5" s="3">
        <v>2</v>
      </c>
      <c r="C5" s="401">
        <v>3</v>
      </c>
    </row>
    <row r="6" spans="1:3" x14ac:dyDescent="0.25">
      <c r="B6" s="3">
        <v>3</v>
      </c>
      <c r="C6" s="401">
        <v>1</v>
      </c>
    </row>
    <row r="7" spans="1:3" x14ac:dyDescent="0.25">
      <c r="B7" s="3">
        <v>2</v>
      </c>
      <c r="C7" s="401">
        <v>1</v>
      </c>
    </row>
    <row r="8" spans="1:3" x14ac:dyDescent="0.25">
      <c r="B8" s="3">
        <v>1</v>
      </c>
      <c r="C8" s="401">
        <v>3</v>
      </c>
    </row>
    <row r="9" spans="1:3" x14ac:dyDescent="0.25">
      <c r="B9" s="3">
        <v>2</v>
      </c>
      <c r="C9" s="5">
        <v>2</v>
      </c>
    </row>
    <row r="10" spans="1:3" x14ac:dyDescent="0.25">
      <c r="B10" s="3">
        <v>2</v>
      </c>
      <c r="C10" s="401">
        <v>4</v>
      </c>
    </row>
    <row r="11" spans="1:3" x14ac:dyDescent="0.25">
      <c r="B11" s="3">
        <v>4</v>
      </c>
      <c r="C11" s="401">
        <v>3</v>
      </c>
    </row>
    <row r="12" spans="1:3" x14ac:dyDescent="0.25">
      <c r="B12" s="3" t="s">
        <v>52</v>
      </c>
      <c r="C12" t="s">
        <v>51</v>
      </c>
    </row>
    <row r="13" spans="1:3" x14ac:dyDescent="0.25">
      <c r="A13" t="s">
        <v>63</v>
      </c>
      <c r="B13" s="13">
        <f>COUNTIF(B2:B11,1)/10</f>
        <v>0.2</v>
      </c>
      <c r="C13" s="13">
        <f>COUNTIF(C2:C11,1)/10</f>
        <v>0.3</v>
      </c>
    </row>
    <row r="14" spans="1:3" x14ac:dyDescent="0.25">
      <c r="A14" t="s">
        <v>64</v>
      </c>
      <c r="B14" s="13">
        <f>COUNTIF(B2:B11,2)/10</f>
        <v>0.5</v>
      </c>
      <c r="C14" s="13">
        <f>COUNTIF(C2:C11,2)/10</f>
        <v>0.3</v>
      </c>
    </row>
    <row r="15" spans="1:3" x14ac:dyDescent="0.25">
      <c r="A15" t="s">
        <v>65</v>
      </c>
      <c r="B15" s="13">
        <f>COUNTIF(B2:B11,3)/10</f>
        <v>0.1</v>
      </c>
      <c r="C15" s="13">
        <f>COUNTIF(C2:C11,3)/10</f>
        <v>0.3</v>
      </c>
    </row>
    <row r="16" spans="1:3" x14ac:dyDescent="0.25">
      <c r="A16" t="s">
        <v>66</v>
      </c>
      <c r="B16" s="13">
        <f>COUNTIF(B2:B11,4)/10</f>
        <v>0.1</v>
      </c>
      <c r="C16" s="13">
        <f>COUNTIF(C2:C11,4)/10</f>
        <v>0.1</v>
      </c>
    </row>
    <row r="17" spans="1:3" x14ac:dyDescent="0.25">
      <c r="A17" t="s">
        <v>67</v>
      </c>
      <c r="B17" s="13">
        <f>COUNTIF(B2:B11,5)/10</f>
        <v>0.1</v>
      </c>
      <c r="C17" s="13">
        <f>COUNTIF(C2:C11,5)/10</f>
        <v>0</v>
      </c>
    </row>
    <row r="18" spans="1:3" x14ac:dyDescent="0.25">
      <c r="A18" t="s">
        <v>87</v>
      </c>
      <c r="B18" s="16">
        <f>_xlfn.STDEV.P(B2:B11)</f>
        <v>1.2</v>
      </c>
      <c r="C18" s="16">
        <f>_xlfn.STDEV.P(C2:C11)</f>
        <v>0.9797958971132712</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8CA2C-1433-4C33-83C7-1736C76909BA}">
  <sheetPr>
    <tabColor theme="9"/>
  </sheetPr>
  <dimension ref="A2:J15"/>
  <sheetViews>
    <sheetView workbookViewId="0">
      <selection activeCell="A8" sqref="A8:E10"/>
    </sheetView>
  </sheetViews>
  <sheetFormatPr defaultRowHeight="15" x14ac:dyDescent="0.25"/>
  <cols>
    <col min="1" max="1" width="21.5703125" bestFit="1" customWidth="1"/>
    <col min="2" max="2" width="7.85546875" bestFit="1" customWidth="1"/>
    <col min="9" max="9" width="39.42578125" customWidth="1"/>
  </cols>
  <sheetData>
    <row r="2" spans="1:10" x14ac:dyDescent="0.25">
      <c r="A2" s="443" t="s">
        <v>124</v>
      </c>
      <c r="B2" s="443"/>
      <c r="C2" s="443"/>
      <c r="D2" s="443"/>
      <c r="E2" s="443"/>
      <c r="F2" s="98"/>
      <c r="H2" s="443" t="s">
        <v>136</v>
      </c>
      <c r="I2" s="443"/>
      <c r="J2" s="98"/>
    </row>
    <row r="3" spans="1:10" s="260" customFormat="1" ht="24" x14ac:dyDescent="0.25">
      <c r="A3" s="445" t="s">
        <v>5</v>
      </c>
      <c r="B3" s="445"/>
      <c r="C3" s="270" t="s">
        <v>111</v>
      </c>
      <c r="D3" s="271" t="s">
        <v>125</v>
      </c>
      <c r="E3" s="272" t="s">
        <v>126</v>
      </c>
      <c r="F3" s="273"/>
      <c r="H3" s="274" t="s">
        <v>5</v>
      </c>
      <c r="I3" s="275" t="s">
        <v>180</v>
      </c>
      <c r="J3" s="273"/>
    </row>
    <row r="4" spans="1:10" ht="24" x14ac:dyDescent="0.25">
      <c r="A4" s="446" t="s">
        <v>180</v>
      </c>
      <c r="B4" s="102" t="s">
        <v>127</v>
      </c>
      <c r="C4" s="103" t="s">
        <v>137</v>
      </c>
      <c r="D4" s="104">
        <v>2.5</v>
      </c>
      <c r="E4" s="105">
        <v>2.5</v>
      </c>
      <c r="F4" s="98"/>
      <c r="H4" s="102" t="s">
        <v>132</v>
      </c>
      <c r="I4" s="117" t="s">
        <v>156</v>
      </c>
      <c r="J4" s="98"/>
    </row>
    <row r="5" spans="1:10" ht="36" x14ac:dyDescent="0.25">
      <c r="A5" s="447"/>
      <c r="B5" s="106" t="s">
        <v>128</v>
      </c>
      <c r="C5" s="107" t="s">
        <v>139</v>
      </c>
      <c r="D5" s="108">
        <v>4.25</v>
      </c>
      <c r="E5" s="109">
        <v>25.5</v>
      </c>
      <c r="F5" s="98"/>
      <c r="H5" s="112" t="s">
        <v>133</v>
      </c>
      <c r="I5" s="118">
        <v>4.7345002085255293E-2</v>
      </c>
      <c r="J5" s="98"/>
    </row>
    <row r="6" spans="1:10" x14ac:dyDescent="0.25">
      <c r="A6" s="447"/>
      <c r="B6" s="106" t="s">
        <v>129</v>
      </c>
      <c r="C6" s="107" t="s">
        <v>140</v>
      </c>
      <c r="D6" s="110"/>
      <c r="E6" s="111"/>
      <c r="F6" s="98"/>
      <c r="H6" s="444" t="s">
        <v>135</v>
      </c>
      <c r="I6" s="444"/>
      <c r="J6" s="98"/>
    </row>
    <row r="7" spans="1:10" x14ac:dyDescent="0.25">
      <c r="A7" s="448"/>
      <c r="B7" s="112" t="s">
        <v>108</v>
      </c>
      <c r="C7" s="113">
        <v>10</v>
      </c>
      <c r="D7" s="114"/>
      <c r="E7" s="115"/>
      <c r="F7" s="98"/>
      <c r="H7" s="444" t="s">
        <v>142</v>
      </c>
      <c r="I7" s="444"/>
      <c r="J7" s="98"/>
    </row>
    <row r="8" spans="1:10" x14ac:dyDescent="0.25">
      <c r="A8" s="444" t="s">
        <v>189</v>
      </c>
      <c r="B8" s="444"/>
      <c r="C8" s="444"/>
      <c r="D8" s="444"/>
      <c r="E8" s="444"/>
      <c r="F8" s="98"/>
    </row>
    <row r="9" spans="1:10" x14ac:dyDescent="0.25">
      <c r="A9" s="444" t="s">
        <v>190</v>
      </c>
      <c r="B9" s="444"/>
      <c r="C9" s="444"/>
      <c r="D9" s="444"/>
      <c r="E9" s="444"/>
      <c r="F9" s="98"/>
    </row>
    <row r="10" spans="1:10" x14ac:dyDescent="0.25">
      <c r="A10" s="444" t="s">
        <v>191</v>
      </c>
      <c r="B10" s="444"/>
      <c r="C10" s="444"/>
      <c r="D10" s="444"/>
      <c r="E10" s="444"/>
      <c r="F10" s="98"/>
    </row>
    <row r="12" spans="1:10" x14ac:dyDescent="0.25">
      <c r="A12" s="443" t="s">
        <v>165</v>
      </c>
      <c r="B12" s="443"/>
      <c r="C12" s="443"/>
      <c r="D12" s="443"/>
      <c r="E12" s="443"/>
      <c r="F12" s="443"/>
      <c r="G12" s="98"/>
    </row>
    <row r="13" spans="1:10" ht="24.75" x14ac:dyDescent="0.25">
      <c r="A13" s="116" t="s">
        <v>5</v>
      </c>
      <c r="B13" s="99" t="s">
        <v>111</v>
      </c>
      <c r="C13" s="100" t="s">
        <v>53</v>
      </c>
      <c r="D13" s="100" t="s">
        <v>87</v>
      </c>
      <c r="E13" s="100" t="s">
        <v>119</v>
      </c>
      <c r="F13" s="101" t="s">
        <v>120</v>
      </c>
      <c r="G13" s="98"/>
    </row>
    <row r="14" spans="1:10" x14ac:dyDescent="0.25">
      <c r="A14" s="102" t="s">
        <v>178</v>
      </c>
      <c r="B14" s="228">
        <v>10</v>
      </c>
      <c r="C14" s="229">
        <v>3.2</v>
      </c>
      <c r="D14" s="230">
        <v>1.1352924243950933</v>
      </c>
      <c r="E14" s="104">
        <v>1</v>
      </c>
      <c r="F14" s="105">
        <v>5</v>
      </c>
      <c r="G14" s="98"/>
    </row>
    <row r="15" spans="1:10" x14ac:dyDescent="0.25">
      <c r="A15" s="112" t="s">
        <v>179</v>
      </c>
      <c r="B15" s="113">
        <v>10</v>
      </c>
      <c r="C15" s="231">
        <v>4.1000000000000005</v>
      </c>
      <c r="D15" s="232">
        <v>0.73786478737262207</v>
      </c>
      <c r="E15" s="233">
        <v>3</v>
      </c>
      <c r="F15" s="234">
        <v>5</v>
      </c>
      <c r="G15" s="98"/>
    </row>
  </sheetData>
  <mergeCells count="10">
    <mergeCell ref="A12:F12"/>
    <mergeCell ref="H2:I2"/>
    <mergeCell ref="H6:I6"/>
    <mergeCell ref="H7:I7"/>
    <mergeCell ref="A2:E2"/>
    <mergeCell ref="A3:B3"/>
    <mergeCell ref="A4:A7"/>
    <mergeCell ref="A8:E8"/>
    <mergeCell ref="A9:E9"/>
    <mergeCell ref="A10:E1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71675C-C545-434D-BFC7-4B08B1A501C1}">
  <dimension ref="A1:S21"/>
  <sheetViews>
    <sheetView workbookViewId="0">
      <selection activeCell="B2" sqref="B2:B11"/>
    </sheetView>
  </sheetViews>
  <sheetFormatPr defaultRowHeight="15" x14ac:dyDescent="0.25"/>
  <cols>
    <col min="1" max="1" width="27.140625" bestFit="1" customWidth="1"/>
  </cols>
  <sheetData>
    <row r="1" spans="1:19" x14ac:dyDescent="0.25">
      <c r="B1" s="1" t="s">
        <v>101</v>
      </c>
      <c r="C1" s="1" t="s">
        <v>102</v>
      </c>
    </row>
    <row r="2" spans="1:19" x14ac:dyDescent="0.25">
      <c r="B2" s="3">
        <v>1</v>
      </c>
      <c r="C2">
        <v>3</v>
      </c>
      <c r="D2">
        <f>_xlfn.RANK.AVG(B2,$B$2:$B$11,0)</f>
        <v>9</v>
      </c>
      <c r="E2">
        <f>_xlfn.RANK.AVG(C2,$C$2:$C$11,0)</f>
        <v>6.5</v>
      </c>
      <c r="N2" s="17">
        <f t="shared" ref="N2:N11" si="0">B2-$B$13</f>
        <v>-0.89999999999999991</v>
      </c>
      <c r="O2" s="18">
        <f>N2^2</f>
        <v>0.80999999999999983</v>
      </c>
      <c r="P2" s="18">
        <f>C2-$C$13</f>
        <v>3</v>
      </c>
      <c r="Q2" s="19">
        <f>P2^2</f>
        <v>9</v>
      </c>
      <c r="R2">
        <f>SUM(B2:C2)</f>
        <v>4</v>
      </c>
    </row>
    <row r="3" spans="1:19" x14ac:dyDescent="0.25">
      <c r="B3" s="3">
        <v>1</v>
      </c>
      <c r="C3">
        <v>5</v>
      </c>
      <c r="D3">
        <f t="shared" ref="D3:D11" si="1">_xlfn.RANK.AVG(B3,$B$2:$B$11,0)</f>
        <v>9</v>
      </c>
      <c r="E3">
        <f t="shared" ref="E3:E11" si="2">_xlfn.RANK.AVG(C3,$C$2:$C$11,0)</f>
        <v>1</v>
      </c>
      <c r="N3" s="20">
        <f t="shared" si="0"/>
        <v>-0.89999999999999991</v>
      </c>
      <c r="O3" s="21">
        <f t="shared" ref="O3:O11" si="3">N3^2</f>
        <v>0.80999999999999983</v>
      </c>
      <c r="P3" s="21">
        <f t="shared" ref="P3:P11" si="4">C3-$C$13</f>
        <v>5</v>
      </c>
      <c r="Q3" s="22">
        <f t="shared" ref="Q3:Q11" si="5">P3^2</f>
        <v>25</v>
      </c>
      <c r="R3">
        <f t="shared" ref="R3:R11" si="6">SUM(B3:C3)</f>
        <v>6</v>
      </c>
    </row>
    <row r="4" spans="1:19" x14ac:dyDescent="0.25">
      <c r="B4" s="3">
        <v>2</v>
      </c>
      <c r="C4">
        <v>3</v>
      </c>
      <c r="D4">
        <f t="shared" si="1"/>
        <v>5</v>
      </c>
      <c r="E4">
        <f t="shared" si="2"/>
        <v>6.5</v>
      </c>
      <c r="N4" s="20">
        <f t="shared" si="0"/>
        <v>0.10000000000000009</v>
      </c>
      <c r="O4" s="21">
        <f t="shared" si="3"/>
        <v>1.0000000000000018E-2</v>
      </c>
      <c r="P4" s="21">
        <f t="shared" si="4"/>
        <v>3</v>
      </c>
      <c r="Q4" s="22">
        <f t="shared" si="5"/>
        <v>9</v>
      </c>
      <c r="R4">
        <f t="shared" si="6"/>
        <v>5</v>
      </c>
    </row>
    <row r="5" spans="1:19" x14ac:dyDescent="0.25">
      <c r="B5" s="3">
        <v>2</v>
      </c>
      <c r="C5">
        <v>3</v>
      </c>
      <c r="D5">
        <f t="shared" si="1"/>
        <v>5</v>
      </c>
      <c r="E5">
        <f t="shared" si="2"/>
        <v>6.5</v>
      </c>
      <c r="N5" s="20">
        <f t="shared" si="0"/>
        <v>0.10000000000000009</v>
      </c>
      <c r="O5" s="21">
        <f t="shared" si="3"/>
        <v>1.0000000000000018E-2</v>
      </c>
      <c r="P5" s="21">
        <f t="shared" si="4"/>
        <v>3</v>
      </c>
      <c r="Q5" s="22">
        <f t="shared" si="5"/>
        <v>9</v>
      </c>
      <c r="R5">
        <f t="shared" si="6"/>
        <v>5</v>
      </c>
    </row>
    <row r="6" spans="1:19" x14ac:dyDescent="0.25">
      <c r="B6" s="3">
        <v>2</v>
      </c>
      <c r="C6">
        <v>3</v>
      </c>
      <c r="D6">
        <f t="shared" si="1"/>
        <v>5</v>
      </c>
      <c r="E6">
        <f t="shared" si="2"/>
        <v>6.5</v>
      </c>
      <c r="N6" s="20">
        <f t="shared" si="0"/>
        <v>0.10000000000000009</v>
      </c>
      <c r="O6" s="21">
        <f t="shared" si="3"/>
        <v>1.0000000000000018E-2</v>
      </c>
      <c r="P6" s="21">
        <f t="shared" si="4"/>
        <v>3</v>
      </c>
      <c r="Q6" s="22">
        <f t="shared" si="5"/>
        <v>9</v>
      </c>
      <c r="R6">
        <f t="shared" si="6"/>
        <v>5</v>
      </c>
    </row>
    <row r="7" spans="1:19" x14ac:dyDescent="0.25">
      <c r="B7" s="3">
        <v>2</v>
      </c>
      <c r="C7">
        <v>4</v>
      </c>
      <c r="D7">
        <f t="shared" si="1"/>
        <v>5</v>
      </c>
      <c r="E7">
        <f t="shared" si="2"/>
        <v>3</v>
      </c>
      <c r="N7" s="20">
        <f t="shared" si="0"/>
        <v>0.10000000000000009</v>
      </c>
      <c r="O7" s="21">
        <f t="shared" si="3"/>
        <v>1.0000000000000018E-2</v>
      </c>
      <c r="P7" s="21">
        <f t="shared" si="4"/>
        <v>4</v>
      </c>
      <c r="Q7" s="22">
        <f t="shared" si="5"/>
        <v>16</v>
      </c>
      <c r="R7">
        <f t="shared" si="6"/>
        <v>6</v>
      </c>
    </row>
    <row r="8" spans="1:19" x14ac:dyDescent="0.25">
      <c r="B8" s="3">
        <v>2</v>
      </c>
      <c r="C8">
        <v>4</v>
      </c>
      <c r="D8">
        <f t="shared" si="1"/>
        <v>5</v>
      </c>
      <c r="E8">
        <f t="shared" si="2"/>
        <v>3</v>
      </c>
      <c r="N8" s="20">
        <f t="shared" si="0"/>
        <v>0.10000000000000009</v>
      </c>
      <c r="O8" s="21">
        <f t="shared" si="3"/>
        <v>1.0000000000000018E-2</v>
      </c>
      <c r="P8" s="21">
        <f t="shared" si="4"/>
        <v>4</v>
      </c>
      <c r="Q8" s="22">
        <f t="shared" si="5"/>
        <v>16</v>
      </c>
      <c r="R8">
        <f t="shared" si="6"/>
        <v>6</v>
      </c>
    </row>
    <row r="9" spans="1:19" x14ac:dyDescent="0.25">
      <c r="B9" s="3">
        <v>3</v>
      </c>
      <c r="C9">
        <v>1</v>
      </c>
      <c r="D9">
        <f t="shared" si="1"/>
        <v>1.5</v>
      </c>
      <c r="E9">
        <f t="shared" si="2"/>
        <v>10</v>
      </c>
      <c r="N9" s="20">
        <f t="shared" si="0"/>
        <v>1.1000000000000001</v>
      </c>
      <c r="O9" s="21">
        <f t="shared" si="3"/>
        <v>1.2100000000000002</v>
      </c>
      <c r="P9" s="21">
        <f t="shared" si="4"/>
        <v>1</v>
      </c>
      <c r="Q9" s="22">
        <f t="shared" si="5"/>
        <v>1</v>
      </c>
      <c r="R9">
        <f t="shared" si="6"/>
        <v>4</v>
      </c>
    </row>
    <row r="10" spans="1:19" x14ac:dyDescent="0.25">
      <c r="B10" s="3">
        <v>3</v>
      </c>
      <c r="C10">
        <v>4</v>
      </c>
      <c r="D10">
        <f t="shared" si="1"/>
        <v>1.5</v>
      </c>
      <c r="E10">
        <f t="shared" si="2"/>
        <v>3</v>
      </c>
      <c r="N10" s="20">
        <f t="shared" si="0"/>
        <v>1.1000000000000001</v>
      </c>
      <c r="O10" s="21">
        <f t="shared" si="3"/>
        <v>1.2100000000000002</v>
      </c>
      <c r="P10" s="21">
        <f t="shared" si="4"/>
        <v>4</v>
      </c>
      <c r="Q10" s="22">
        <f t="shared" si="5"/>
        <v>16</v>
      </c>
      <c r="R10">
        <f t="shared" si="6"/>
        <v>7</v>
      </c>
    </row>
    <row r="11" spans="1:19" x14ac:dyDescent="0.25">
      <c r="B11" s="3">
        <v>1</v>
      </c>
      <c r="C11">
        <v>2</v>
      </c>
      <c r="D11">
        <f t="shared" si="1"/>
        <v>9</v>
      </c>
      <c r="E11">
        <f t="shared" si="2"/>
        <v>9</v>
      </c>
      <c r="N11" s="23">
        <f t="shared" si="0"/>
        <v>-0.89999999999999991</v>
      </c>
      <c r="O11" s="24">
        <f t="shared" si="3"/>
        <v>0.80999999999999983</v>
      </c>
      <c r="P11" s="24">
        <f t="shared" si="4"/>
        <v>2</v>
      </c>
      <c r="Q11" s="25">
        <f t="shared" si="5"/>
        <v>4</v>
      </c>
      <c r="R11">
        <f t="shared" si="6"/>
        <v>3</v>
      </c>
    </row>
    <row r="12" spans="1:19" x14ac:dyDescent="0.25">
      <c r="A12" t="s">
        <v>92</v>
      </c>
      <c r="B12" s="3">
        <f>_xlfn.VAR.P(B2:B11)</f>
        <v>0.49</v>
      </c>
      <c r="C12" s="3">
        <f>_xlfn.VAR.P(C2:C11)</f>
        <v>1.1599999999999999</v>
      </c>
      <c r="N12" s="21"/>
      <c r="O12" s="21"/>
      <c r="P12" s="21"/>
      <c r="Q12" s="21"/>
      <c r="R12">
        <f>SUBTOTAL(9,R2:R11)</f>
        <v>51</v>
      </c>
      <c r="S12">
        <f>SUM(B12:C12)</f>
        <v>1.65</v>
      </c>
    </row>
    <row r="13" spans="1:19" x14ac:dyDescent="0.25">
      <c r="A13" t="s">
        <v>37</v>
      </c>
      <c r="B13" s="28">
        <f>AVERAGE(B2:B11)</f>
        <v>1.9</v>
      </c>
      <c r="C13" s="28"/>
    </row>
    <row r="14" spans="1:19" x14ac:dyDescent="0.25">
      <c r="A14" t="s">
        <v>87</v>
      </c>
      <c r="B14" s="15">
        <f>_xlfn.STDEV.P(B2:B11,C2:C11)</f>
        <v>1.1169153951844339</v>
      </c>
      <c r="C14" s="28"/>
    </row>
    <row r="15" spans="1:19" x14ac:dyDescent="0.25">
      <c r="A15" t="s">
        <v>103</v>
      </c>
      <c r="B15" s="38">
        <f>SQRT(0.0093)</f>
        <v>9.6436507609929542E-2</v>
      </c>
      <c r="C15" s="28"/>
    </row>
    <row r="16" spans="1:19" x14ac:dyDescent="0.25">
      <c r="A16" t="s">
        <v>26</v>
      </c>
      <c r="B16" s="10">
        <f>CORREL(E2:E11,D2:D11)</f>
        <v>-9.6288748973117025E-2</v>
      </c>
      <c r="C16">
        <f>B16*SQRT(B19)/(1-B16^2)</f>
        <v>-0.2748943991973235</v>
      </c>
      <c r="D16" s="2"/>
    </row>
    <row r="17" spans="1:3" x14ac:dyDescent="0.25">
      <c r="A17" t="s">
        <v>27</v>
      </c>
      <c r="B17" s="33">
        <v>10</v>
      </c>
    </row>
    <row r="18" spans="1:3" x14ac:dyDescent="0.25">
      <c r="A18" t="s">
        <v>107</v>
      </c>
      <c r="B18" s="47">
        <f>_xlfn.T.DIST.2T(ABS(C16),B19)</f>
        <v>0.79036326407973756</v>
      </c>
    </row>
    <row r="19" spans="1:3" x14ac:dyDescent="0.25">
      <c r="A19" t="s">
        <v>28</v>
      </c>
      <c r="B19" s="33">
        <f>B17-2</f>
        <v>8</v>
      </c>
    </row>
    <row r="20" spans="1:3" x14ac:dyDescent="0.25">
      <c r="A20" t="s">
        <v>90</v>
      </c>
      <c r="B20" s="26" t="s">
        <v>114</v>
      </c>
      <c r="C20" s="16">
        <f>SQRT(SUM(Q2:Q11)/(B17*(B17-1)))</f>
        <v>1.1254628677422756</v>
      </c>
    </row>
    <row r="21" spans="1:3" x14ac:dyDescent="0.25">
      <c r="A21" t="s">
        <v>91</v>
      </c>
      <c r="B21" s="16">
        <f>SQRT(SUM(O1:O13)/(B17*(B17-1)))</f>
        <v>0.23333333333333334</v>
      </c>
      <c r="C21" s="26" t="s">
        <v>115</v>
      </c>
    </row>
  </sheetData>
  <pageMargins left="0.7" right="0.7" top="0.75" bottom="0.75" header="0.3" footer="0.3"/>
  <pageSetup orientation="portrait" horizontalDpi="4294967293" verticalDpi="4294967293" r:id="rId1"/>
  <ignoredErrors>
    <ignoredError sqref="P2:P11" formula="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F1154-06B5-4A73-987F-1E4DDD0E874A}">
  <sheetPr>
    <tabColor theme="9"/>
  </sheetPr>
  <dimension ref="A1:C18"/>
  <sheetViews>
    <sheetView workbookViewId="0">
      <selection activeCell="B2" sqref="B2:B11"/>
    </sheetView>
  </sheetViews>
  <sheetFormatPr defaultRowHeight="15" x14ac:dyDescent="0.25"/>
  <cols>
    <col min="1" max="1" width="18.85546875" bestFit="1" customWidth="1"/>
  </cols>
  <sheetData>
    <row r="1" spans="1:3" x14ac:dyDescent="0.25">
      <c r="B1" s="1" t="s">
        <v>35</v>
      </c>
      <c r="C1" s="1" t="s">
        <v>36</v>
      </c>
    </row>
    <row r="2" spans="1:3" x14ac:dyDescent="0.25">
      <c r="B2" s="3">
        <v>1</v>
      </c>
      <c r="C2" s="401">
        <v>3</v>
      </c>
    </row>
    <row r="3" spans="1:3" x14ac:dyDescent="0.25">
      <c r="B3" s="3">
        <v>1</v>
      </c>
      <c r="C3" s="401">
        <v>5</v>
      </c>
    </row>
    <row r="4" spans="1:3" x14ac:dyDescent="0.25">
      <c r="B4" s="3">
        <v>2</v>
      </c>
      <c r="C4" s="401">
        <v>3</v>
      </c>
    </row>
    <row r="5" spans="1:3" x14ac:dyDescent="0.25">
      <c r="B5" s="3">
        <v>2</v>
      </c>
      <c r="C5" s="401">
        <v>3</v>
      </c>
    </row>
    <row r="6" spans="1:3" x14ac:dyDescent="0.25">
      <c r="B6" s="3">
        <v>2</v>
      </c>
      <c r="C6" s="401">
        <v>3</v>
      </c>
    </row>
    <row r="7" spans="1:3" x14ac:dyDescent="0.25">
      <c r="B7" s="3">
        <v>2</v>
      </c>
      <c r="C7" s="401">
        <v>4</v>
      </c>
    </row>
    <row r="8" spans="1:3" x14ac:dyDescent="0.25">
      <c r="B8" s="3">
        <v>2</v>
      </c>
      <c r="C8" s="401">
        <v>4</v>
      </c>
    </row>
    <row r="9" spans="1:3" x14ac:dyDescent="0.25">
      <c r="B9" s="3">
        <v>3</v>
      </c>
      <c r="C9" s="401">
        <v>1</v>
      </c>
    </row>
    <row r="10" spans="1:3" x14ac:dyDescent="0.25">
      <c r="B10" s="3">
        <v>3</v>
      </c>
      <c r="C10" s="401">
        <v>4</v>
      </c>
    </row>
    <row r="11" spans="1:3" x14ac:dyDescent="0.25">
      <c r="B11" s="3">
        <v>1</v>
      </c>
      <c r="C11" s="401">
        <v>2</v>
      </c>
    </row>
    <row r="12" spans="1:3" x14ac:dyDescent="0.25">
      <c r="B12" s="3" t="s">
        <v>52</v>
      </c>
      <c r="C12" t="s">
        <v>51</v>
      </c>
    </row>
    <row r="13" spans="1:3" x14ac:dyDescent="0.25">
      <c r="A13" t="s">
        <v>59</v>
      </c>
      <c r="B13" s="13">
        <f>COUNTIF(B2:B11,1)/10</f>
        <v>0.3</v>
      </c>
      <c r="C13" s="13">
        <f>COUNTIF(C2:C11,1)/10</f>
        <v>0.1</v>
      </c>
    </row>
    <row r="14" spans="1:3" x14ac:dyDescent="0.25">
      <c r="A14" t="s">
        <v>60</v>
      </c>
      <c r="B14" s="13">
        <f>COUNTIF(B2:B11,2)/10</f>
        <v>0.5</v>
      </c>
      <c r="C14" s="13">
        <f>COUNTIF(C2:C11,2)/10</f>
        <v>0.1</v>
      </c>
    </row>
    <row r="15" spans="1:3" x14ac:dyDescent="0.25">
      <c r="A15" t="s">
        <v>37</v>
      </c>
      <c r="B15" s="13">
        <f>COUNTIF(B2:B11,3)/10</f>
        <v>0.2</v>
      </c>
      <c r="C15" s="13">
        <f>COUNTIF(C2:C11,3)/10</f>
        <v>0.4</v>
      </c>
    </row>
    <row r="16" spans="1:3" x14ac:dyDescent="0.25">
      <c r="A16" t="s">
        <v>61</v>
      </c>
      <c r="B16" s="13">
        <f>COUNTIF(B2:B11,4)/10</f>
        <v>0</v>
      </c>
      <c r="C16" s="13">
        <f>COUNTIF(C2:C11,4)/10</f>
        <v>0.3</v>
      </c>
    </row>
    <row r="17" spans="1:3" x14ac:dyDescent="0.25">
      <c r="A17" t="s">
        <v>62</v>
      </c>
      <c r="B17" s="13">
        <f>COUNTIF(B2:B11,5)/10</f>
        <v>0</v>
      </c>
      <c r="C17" s="13">
        <f>COUNTIF(C2:C11,5)/10</f>
        <v>0.1</v>
      </c>
    </row>
    <row r="18" spans="1:3" x14ac:dyDescent="0.25">
      <c r="A18" t="s">
        <v>53</v>
      </c>
      <c r="B18">
        <f>MEDIAN(B2:B11)</f>
        <v>2</v>
      </c>
      <c r="C18">
        <f>MEDIAN(C2:C11)</f>
        <v>3</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90830-4089-4EFA-8614-0535515BB92A}">
  <sheetPr>
    <tabColor theme="9"/>
  </sheetPr>
  <dimension ref="A2:J15"/>
  <sheetViews>
    <sheetView workbookViewId="0">
      <selection activeCell="A8" sqref="A8:E10"/>
    </sheetView>
  </sheetViews>
  <sheetFormatPr defaultRowHeight="15" x14ac:dyDescent="0.25"/>
  <cols>
    <col min="1" max="1" width="27.85546875" bestFit="1" customWidth="1"/>
    <col min="9" max="9" width="38.5703125" customWidth="1"/>
  </cols>
  <sheetData>
    <row r="2" spans="1:10" x14ac:dyDescent="0.25">
      <c r="A2" s="449" t="s">
        <v>124</v>
      </c>
      <c r="B2" s="449"/>
      <c r="C2" s="449"/>
      <c r="D2" s="449"/>
      <c r="E2" s="449"/>
      <c r="F2" s="235"/>
      <c r="H2" s="449" t="s">
        <v>136</v>
      </c>
      <c r="I2" s="449"/>
      <c r="J2" s="235"/>
    </row>
    <row r="3" spans="1:10" s="260" customFormat="1" ht="24" x14ac:dyDescent="0.25">
      <c r="A3" s="451" t="s">
        <v>5</v>
      </c>
      <c r="B3" s="451"/>
      <c r="C3" s="256" t="s">
        <v>111</v>
      </c>
      <c r="D3" s="257" t="s">
        <v>125</v>
      </c>
      <c r="E3" s="258" t="s">
        <v>126</v>
      </c>
      <c r="F3" s="259"/>
      <c r="H3" s="261" t="s">
        <v>5</v>
      </c>
      <c r="I3" s="262" t="s">
        <v>181</v>
      </c>
      <c r="J3" s="259"/>
    </row>
    <row r="4" spans="1:10" ht="24" x14ac:dyDescent="0.25">
      <c r="A4" s="452" t="s">
        <v>181</v>
      </c>
      <c r="B4" s="239" t="s">
        <v>127</v>
      </c>
      <c r="C4" s="240" t="s">
        <v>187</v>
      </c>
      <c r="D4" s="241">
        <v>0</v>
      </c>
      <c r="E4" s="242">
        <v>0</v>
      </c>
      <c r="F4" s="235"/>
      <c r="H4" s="239" t="s">
        <v>132</v>
      </c>
      <c r="I4" s="254" t="s">
        <v>157</v>
      </c>
      <c r="J4" s="235"/>
    </row>
    <row r="5" spans="1:10" ht="36" x14ac:dyDescent="0.25">
      <c r="A5" s="453"/>
      <c r="B5" s="243" t="s">
        <v>128</v>
      </c>
      <c r="C5" s="244" t="s">
        <v>188</v>
      </c>
      <c r="D5" s="245">
        <v>4</v>
      </c>
      <c r="E5" s="246">
        <v>28</v>
      </c>
      <c r="F5" s="235"/>
      <c r="H5" s="249" t="s">
        <v>133</v>
      </c>
      <c r="I5" s="255">
        <v>1.4058605323737285E-2</v>
      </c>
      <c r="J5" s="235"/>
    </row>
    <row r="6" spans="1:10" x14ac:dyDescent="0.25">
      <c r="A6" s="453"/>
      <c r="B6" s="243" t="s">
        <v>129</v>
      </c>
      <c r="C6" s="244" t="s">
        <v>140</v>
      </c>
      <c r="D6" s="247"/>
      <c r="E6" s="248"/>
      <c r="F6" s="235"/>
      <c r="H6" s="450" t="s">
        <v>135</v>
      </c>
      <c r="I6" s="450"/>
      <c r="J6" s="235"/>
    </row>
    <row r="7" spans="1:10" x14ac:dyDescent="0.25">
      <c r="A7" s="454"/>
      <c r="B7" s="249" t="s">
        <v>108</v>
      </c>
      <c r="C7" s="250">
        <v>10</v>
      </c>
      <c r="D7" s="251"/>
      <c r="E7" s="252"/>
      <c r="F7" s="235"/>
      <c r="H7" s="450" t="s">
        <v>142</v>
      </c>
      <c r="I7" s="450"/>
      <c r="J7" s="235"/>
    </row>
    <row r="8" spans="1:10" x14ac:dyDescent="0.25">
      <c r="A8" s="450" t="s">
        <v>182</v>
      </c>
      <c r="B8" s="450"/>
      <c r="C8" s="450"/>
      <c r="D8" s="450"/>
      <c r="E8" s="450"/>
      <c r="F8" s="235"/>
    </row>
    <row r="9" spans="1:10" x14ac:dyDescent="0.25">
      <c r="A9" s="450" t="s">
        <v>183</v>
      </c>
      <c r="B9" s="450"/>
      <c r="C9" s="450"/>
      <c r="D9" s="450"/>
      <c r="E9" s="450"/>
      <c r="F9" s="235"/>
    </row>
    <row r="10" spans="1:10" x14ac:dyDescent="0.25">
      <c r="A10" s="450" t="s">
        <v>184</v>
      </c>
      <c r="B10" s="450"/>
      <c r="C10" s="450"/>
      <c r="D10" s="450"/>
      <c r="E10" s="450"/>
      <c r="F10" s="235"/>
    </row>
    <row r="12" spans="1:10" x14ac:dyDescent="0.25">
      <c r="A12" s="449" t="s">
        <v>165</v>
      </c>
      <c r="B12" s="449"/>
      <c r="C12" s="449"/>
      <c r="D12" s="449"/>
      <c r="E12" s="449"/>
      <c r="F12" s="449"/>
      <c r="G12" s="235"/>
    </row>
    <row r="13" spans="1:10" ht="25.5" customHeight="1" x14ac:dyDescent="0.25">
      <c r="A13" s="253" t="s">
        <v>5</v>
      </c>
      <c r="B13" s="236" t="s">
        <v>111</v>
      </c>
      <c r="C13" s="237" t="s">
        <v>53</v>
      </c>
      <c r="D13" s="237" t="s">
        <v>87</v>
      </c>
      <c r="E13" s="237" t="s">
        <v>119</v>
      </c>
      <c r="F13" s="238" t="s">
        <v>120</v>
      </c>
      <c r="G13" s="235"/>
    </row>
    <row r="14" spans="1:10" x14ac:dyDescent="0.25">
      <c r="A14" s="239" t="s">
        <v>185</v>
      </c>
      <c r="B14" s="263">
        <v>10</v>
      </c>
      <c r="C14" s="264">
        <v>3</v>
      </c>
      <c r="D14" s="265">
        <v>1.1547005383792515</v>
      </c>
      <c r="E14" s="241">
        <v>1</v>
      </c>
      <c r="F14" s="242">
        <v>5</v>
      </c>
      <c r="G14" s="235"/>
    </row>
    <row r="15" spans="1:10" x14ac:dyDescent="0.25">
      <c r="A15" s="249" t="s">
        <v>186</v>
      </c>
      <c r="B15" s="250">
        <v>10</v>
      </c>
      <c r="C15" s="266">
        <v>4.3999999999999986</v>
      </c>
      <c r="D15" s="267">
        <v>0.69920589878010075</v>
      </c>
      <c r="E15" s="268">
        <v>3</v>
      </c>
      <c r="F15" s="269">
        <v>5</v>
      </c>
      <c r="G15" s="235"/>
    </row>
  </sheetData>
  <mergeCells count="10">
    <mergeCell ref="H2:I2"/>
    <mergeCell ref="H6:I6"/>
    <mergeCell ref="H7:I7"/>
    <mergeCell ref="A12:F12"/>
    <mergeCell ref="A2:E2"/>
    <mergeCell ref="A3:B3"/>
    <mergeCell ref="A4:A7"/>
    <mergeCell ref="A8:E8"/>
    <mergeCell ref="A9:E9"/>
    <mergeCell ref="A10:E1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DDC8F-05A3-4D0C-A076-5F6DEBDE8CEB}">
  <dimension ref="A1:S21"/>
  <sheetViews>
    <sheetView workbookViewId="0">
      <selection activeCell="B2" sqref="B2:B11"/>
    </sheetView>
  </sheetViews>
  <sheetFormatPr defaultRowHeight="15" x14ac:dyDescent="0.25"/>
  <cols>
    <col min="1" max="1" width="27.140625" bestFit="1" customWidth="1"/>
    <col min="2" max="2" width="9.85546875" bestFit="1" customWidth="1"/>
  </cols>
  <sheetData>
    <row r="1" spans="1:19" x14ac:dyDescent="0.25">
      <c r="B1" s="1" t="s">
        <v>38</v>
      </c>
      <c r="C1" s="1" t="s">
        <v>39</v>
      </c>
    </row>
    <row r="2" spans="1:19" x14ac:dyDescent="0.25">
      <c r="B2" s="3">
        <v>1</v>
      </c>
      <c r="C2" s="401">
        <v>2</v>
      </c>
      <c r="D2">
        <f>_xlfn.RANK.AVG(B2,$B$2:$B$11,0)</f>
        <v>8</v>
      </c>
      <c r="E2">
        <f>_xlfn.RANK.AVG(C2,$C$2:$C$11,0)</f>
        <v>8.5</v>
      </c>
      <c r="N2" s="17">
        <f t="shared" ref="N2:N11" si="0">B2-$B$13</f>
        <v>-0.60000000000000009</v>
      </c>
      <c r="O2" s="18">
        <f>N2^2</f>
        <v>0.3600000000000001</v>
      </c>
      <c r="P2" s="18">
        <f>C2-$C$13</f>
        <v>-1</v>
      </c>
      <c r="Q2" s="19">
        <f>P2^2</f>
        <v>1</v>
      </c>
      <c r="R2">
        <f>SUM(B2:C2)</f>
        <v>3</v>
      </c>
    </row>
    <row r="3" spans="1:19" x14ac:dyDescent="0.25">
      <c r="B3" s="3">
        <v>1</v>
      </c>
      <c r="C3" s="401">
        <v>3</v>
      </c>
      <c r="D3">
        <f t="shared" ref="D3:D11" si="1">_xlfn.RANK.AVG(B3,$B$2:$B$11,0)</f>
        <v>8</v>
      </c>
      <c r="E3">
        <f t="shared" ref="E3:E11" si="2">_xlfn.RANK.AVG(C3,$C$2:$C$11,0)</f>
        <v>5.5</v>
      </c>
      <c r="N3" s="20">
        <f t="shared" si="0"/>
        <v>-0.60000000000000009</v>
      </c>
      <c r="O3" s="21">
        <f t="shared" ref="O3:O11" si="3">N3^2</f>
        <v>0.3600000000000001</v>
      </c>
      <c r="P3" s="21">
        <f t="shared" ref="P3:P11" si="4">C3-$C$13</f>
        <v>0</v>
      </c>
      <c r="Q3" s="22">
        <f t="shared" ref="Q3:Q11" si="5">P3^2</f>
        <v>0</v>
      </c>
      <c r="R3">
        <f t="shared" ref="R3:R11" si="6">SUM(B3:C3)</f>
        <v>4</v>
      </c>
    </row>
    <row r="4" spans="1:19" x14ac:dyDescent="0.25">
      <c r="B4" s="3">
        <v>1</v>
      </c>
      <c r="C4" s="401">
        <v>3</v>
      </c>
      <c r="D4">
        <f t="shared" si="1"/>
        <v>8</v>
      </c>
      <c r="E4">
        <f t="shared" si="2"/>
        <v>5.5</v>
      </c>
      <c r="N4" s="20">
        <f t="shared" si="0"/>
        <v>-0.60000000000000009</v>
      </c>
      <c r="O4" s="21">
        <f t="shared" si="3"/>
        <v>0.3600000000000001</v>
      </c>
      <c r="P4" s="21">
        <f t="shared" si="4"/>
        <v>0</v>
      </c>
      <c r="Q4" s="22">
        <f t="shared" si="5"/>
        <v>0</v>
      </c>
      <c r="R4">
        <f t="shared" si="6"/>
        <v>4</v>
      </c>
    </row>
    <row r="5" spans="1:19" x14ac:dyDescent="0.25">
      <c r="B5" s="3">
        <v>2</v>
      </c>
      <c r="C5" s="401">
        <v>2</v>
      </c>
      <c r="D5">
        <f t="shared" si="1"/>
        <v>3.5</v>
      </c>
      <c r="E5">
        <f t="shared" si="2"/>
        <v>8.5</v>
      </c>
      <c r="N5" s="20">
        <f t="shared" si="0"/>
        <v>0.39999999999999991</v>
      </c>
      <c r="O5" s="21">
        <f t="shared" si="3"/>
        <v>0.15999999999999992</v>
      </c>
      <c r="P5" s="21">
        <f t="shared" si="4"/>
        <v>-1</v>
      </c>
      <c r="Q5" s="22">
        <f t="shared" si="5"/>
        <v>1</v>
      </c>
      <c r="R5">
        <f t="shared" si="6"/>
        <v>4</v>
      </c>
    </row>
    <row r="6" spans="1:19" x14ac:dyDescent="0.25">
      <c r="B6" s="3">
        <v>2</v>
      </c>
      <c r="C6" s="401">
        <v>4</v>
      </c>
      <c r="D6">
        <f t="shared" si="1"/>
        <v>3.5</v>
      </c>
      <c r="E6">
        <f t="shared" si="2"/>
        <v>2.5</v>
      </c>
      <c r="N6" s="20">
        <f t="shared" si="0"/>
        <v>0.39999999999999991</v>
      </c>
      <c r="O6" s="21">
        <f t="shared" si="3"/>
        <v>0.15999999999999992</v>
      </c>
      <c r="P6" s="21">
        <f t="shared" si="4"/>
        <v>1</v>
      </c>
      <c r="Q6" s="22">
        <f t="shared" si="5"/>
        <v>1</v>
      </c>
      <c r="R6">
        <f t="shared" si="6"/>
        <v>6</v>
      </c>
    </row>
    <row r="7" spans="1:19" x14ac:dyDescent="0.25">
      <c r="B7" s="3">
        <v>1</v>
      </c>
      <c r="C7" s="401">
        <v>1</v>
      </c>
      <c r="D7">
        <f t="shared" si="1"/>
        <v>8</v>
      </c>
      <c r="E7">
        <f t="shared" si="2"/>
        <v>10</v>
      </c>
      <c r="N7" s="20">
        <f t="shared" si="0"/>
        <v>-0.60000000000000009</v>
      </c>
      <c r="O7" s="21">
        <f t="shared" si="3"/>
        <v>0.3600000000000001</v>
      </c>
      <c r="P7" s="21">
        <f t="shared" si="4"/>
        <v>-2</v>
      </c>
      <c r="Q7" s="22">
        <f t="shared" si="5"/>
        <v>4</v>
      </c>
      <c r="R7">
        <f t="shared" si="6"/>
        <v>2</v>
      </c>
    </row>
    <row r="8" spans="1:19" x14ac:dyDescent="0.25">
      <c r="B8" s="3">
        <v>1</v>
      </c>
      <c r="C8" s="401">
        <v>3</v>
      </c>
      <c r="D8">
        <f t="shared" si="1"/>
        <v>8</v>
      </c>
      <c r="E8">
        <f t="shared" si="2"/>
        <v>5.5</v>
      </c>
      <c r="N8" s="20">
        <f t="shared" si="0"/>
        <v>-0.60000000000000009</v>
      </c>
      <c r="O8" s="21">
        <f t="shared" si="3"/>
        <v>0.3600000000000001</v>
      </c>
      <c r="P8" s="21">
        <f t="shared" si="4"/>
        <v>0</v>
      </c>
      <c r="Q8" s="22">
        <f t="shared" si="5"/>
        <v>0</v>
      </c>
      <c r="R8">
        <f t="shared" si="6"/>
        <v>4</v>
      </c>
    </row>
    <row r="9" spans="1:19" x14ac:dyDescent="0.25">
      <c r="B9" s="3">
        <v>2</v>
      </c>
      <c r="C9" s="401">
        <v>4</v>
      </c>
      <c r="D9">
        <f t="shared" si="1"/>
        <v>3.5</v>
      </c>
      <c r="E9">
        <f t="shared" si="2"/>
        <v>2.5</v>
      </c>
      <c r="N9" s="20">
        <f t="shared" si="0"/>
        <v>0.39999999999999991</v>
      </c>
      <c r="O9" s="21">
        <f t="shared" si="3"/>
        <v>0.15999999999999992</v>
      </c>
      <c r="P9" s="21">
        <f t="shared" si="4"/>
        <v>1</v>
      </c>
      <c r="Q9" s="22">
        <f t="shared" si="5"/>
        <v>1</v>
      </c>
      <c r="R9">
        <f t="shared" si="6"/>
        <v>6</v>
      </c>
    </row>
    <row r="10" spans="1:19" x14ac:dyDescent="0.25">
      <c r="A10">
        <v>1</v>
      </c>
      <c r="B10" s="3">
        <v>2</v>
      </c>
      <c r="C10" s="401">
        <v>5</v>
      </c>
      <c r="D10">
        <f t="shared" si="1"/>
        <v>3.5</v>
      </c>
      <c r="E10">
        <f t="shared" si="2"/>
        <v>1</v>
      </c>
      <c r="N10" s="20">
        <f t="shared" si="0"/>
        <v>0.39999999999999991</v>
      </c>
      <c r="O10" s="21">
        <f t="shared" si="3"/>
        <v>0.15999999999999992</v>
      </c>
      <c r="P10" s="21">
        <f t="shared" si="4"/>
        <v>2</v>
      </c>
      <c r="Q10" s="22">
        <f t="shared" si="5"/>
        <v>4</v>
      </c>
      <c r="R10">
        <f t="shared" si="6"/>
        <v>7</v>
      </c>
    </row>
    <row r="11" spans="1:19" x14ac:dyDescent="0.25">
      <c r="B11" s="3">
        <v>3</v>
      </c>
      <c r="C11" s="401">
        <v>3</v>
      </c>
      <c r="D11">
        <f t="shared" si="1"/>
        <v>1</v>
      </c>
      <c r="E11">
        <f t="shared" si="2"/>
        <v>5.5</v>
      </c>
      <c r="N11" s="23">
        <f t="shared" si="0"/>
        <v>1.4</v>
      </c>
      <c r="O11" s="24">
        <f t="shared" si="3"/>
        <v>1.9599999999999997</v>
      </c>
      <c r="P11" s="24">
        <f t="shared" si="4"/>
        <v>0</v>
      </c>
      <c r="Q11" s="25">
        <f t="shared" si="5"/>
        <v>0</v>
      </c>
      <c r="R11">
        <f t="shared" si="6"/>
        <v>6</v>
      </c>
    </row>
    <row r="12" spans="1:19" x14ac:dyDescent="0.25">
      <c r="A12" t="s">
        <v>92</v>
      </c>
      <c r="B12" s="3">
        <f>_xlfn.VAR.P(B2:B11)</f>
        <v>0.44</v>
      </c>
      <c r="C12" s="3">
        <f>_xlfn.VAR.P(C2:C11)</f>
        <v>1.2</v>
      </c>
      <c r="N12" s="21"/>
      <c r="O12" s="21"/>
      <c r="P12" s="21"/>
      <c r="Q12" s="21"/>
      <c r="R12">
        <f>SUBTOTAL(9,R2:R11)</f>
        <v>46</v>
      </c>
      <c r="S12">
        <f>SUM(B12:C12)</f>
        <v>1.64</v>
      </c>
    </row>
    <row r="13" spans="1:19" x14ac:dyDescent="0.25">
      <c r="A13" t="s">
        <v>53</v>
      </c>
      <c r="B13" s="28">
        <f>AVERAGE(B2:B11)</f>
        <v>1.6</v>
      </c>
      <c r="C13" s="28">
        <f>AVERAGE(C2:C11)</f>
        <v>3</v>
      </c>
    </row>
    <row r="14" spans="1:19" x14ac:dyDescent="0.25">
      <c r="A14" t="s">
        <v>88</v>
      </c>
      <c r="B14" s="15">
        <f>_xlfn.STDEV.P(B2:B11,C2:C11)</f>
        <v>1.1445523142259597</v>
      </c>
      <c r="C14" s="28"/>
    </row>
    <row r="15" spans="1:19" x14ac:dyDescent="0.25">
      <c r="A15" t="s">
        <v>103</v>
      </c>
      <c r="B15" s="38">
        <f>SQRT(0.2206)</f>
        <v>0.4696807426326951</v>
      </c>
      <c r="C15" s="15"/>
    </row>
    <row r="16" spans="1:19" x14ac:dyDescent="0.25">
      <c r="A16" t="s">
        <v>26</v>
      </c>
      <c r="B16" s="10">
        <f>CORREL(E2:E11,D2:D11)</f>
        <v>0.46966821831386207</v>
      </c>
      <c r="C16">
        <f>B16*SQRT(B19)/(1-B16^2)</f>
        <v>1.7043909117941456</v>
      </c>
      <c r="D16" s="2"/>
    </row>
    <row r="17" spans="1:3" x14ac:dyDescent="0.25">
      <c r="A17" t="s">
        <v>27</v>
      </c>
      <c r="B17" s="33">
        <v>10</v>
      </c>
    </row>
    <row r="18" spans="1:3" x14ac:dyDescent="0.25">
      <c r="A18" t="s">
        <v>107</v>
      </c>
      <c r="B18" s="47">
        <f>_xlfn.T.DIST.2T(ABS(C16),B19)</f>
        <v>0.12670778970896621</v>
      </c>
    </row>
    <row r="19" spans="1:3" x14ac:dyDescent="0.25">
      <c r="A19" t="s">
        <v>109</v>
      </c>
      <c r="B19" s="33">
        <f>B17-2</f>
        <v>8</v>
      </c>
    </row>
    <row r="20" spans="1:3" x14ac:dyDescent="0.25">
      <c r="A20" t="s">
        <v>90</v>
      </c>
      <c r="B20" s="26" t="s">
        <v>100</v>
      </c>
      <c r="C20" s="16">
        <f>SQRT(SUM(Q2:Q10)/(B17*(B17-1)))</f>
        <v>0.36514837167011072</v>
      </c>
    </row>
    <row r="21" spans="1:3" x14ac:dyDescent="0.25">
      <c r="A21" t="s">
        <v>91</v>
      </c>
      <c r="B21" s="16">
        <f>SQRT(SUM(O2:O11)/(B17*(B17-1)))</f>
        <v>0.22110831935702666</v>
      </c>
      <c r="C21" s="26" t="s">
        <v>93</v>
      </c>
    </row>
  </sheetData>
  <pageMargins left="0.7" right="0.7" top="0.75" bottom="0.75" header="0.3" footer="0.3"/>
  <pageSetup orientation="portrait" horizontalDpi="4294967293" verticalDpi="4294967293"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CB535-AC38-48CC-BE63-84311208E2C0}">
  <sheetPr>
    <tabColor theme="9"/>
  </sheetPr>
  <dimension ref="A1:D18"/>
  <sheetViews>
    <sheetView topLeftCell="B1" workbookViewId="0">
      <selection activeCell="C2" sqref="C2:C11"/>
    </sheetView>
  </sheetViews>
  <sheetFormatPr defaultRowHeight="15" x14ac:dyDescent="0.25"/>
  <cols>
    <col min="1" max="1" width="18.85546875" bestFit="1" customWidth="1"/>
    <col min="2" max="2" width="18.85546875" customWidth="1"/>
    <col min="3" max="4" width="11.7109375" bestFit="1" customWidth="1"/>
  </cols>
  <sheetData>
    <row r="1" spans="1:4" x14ac:dyDescent="0.25">
      <c r="C1" s="1" t="s">
        <v>38</v>
      </c>
      <c r="D1" s="1" t="s">
        <v>39</v>
      </c>
    </row>
    <row r="2" spans="1:4" x14ac:dyDescent="0.25">
      <c r="C2" s="3">
        <v>1</v>
      </c>
      <c r="D2">
        <v>2</v>
      </c>
    </row>
    <row r="3" spans="1:4" x14ac:dyDescent="0.25">
      <c r="C3" s="3">
        <v>1</v>
      </c>
      <c r="D3">
        <v>3</v>
      </c>
    </row>
    <row r="4" spans="1:4" x14ac:dyDescent="0.25">
      <c r="C4" s="3">
        <v>1</v>
      </c>
      <c r="D4">
        <v>3</v>
      </c>
    </row>
    <row r="5" spans="1:4" x14ac:dyDescent="0.25">
      <c r="C5" s="3">
        <v>2</v>
      </c>
      <c r="D5">
        <v>2</v>
      </c>
    </row>
    <row r="6" spans="1:4" x14ac:dyDescent="0.25">
      <c r="C6" s="3">
        <v>2</v>
      </c>
      <c r="D6">
        <v>4</v>
      </c>
    </row>
    <row r="7" spans="1:4" x14ac:dyDescent="0.25">
      <c r="C7" s="3">
        <v>1</v>
      </c>
      <c r="D7">
        <v>1</v>
      </c>
    </row>
    <row r="8" spans="1:4" x14ac:dyDescent="0.25">
      <c r="C8" s="3">
        <v>1</v>
      </c>
      <c r="D8">
        <v>3</v>
      </c>
    </row>
    <row r="9" spans="1:4" x14ac:dyDescent="0.25">
      <c r="C9" s="3">
        <v>2</v>
      </c>
      <c r="D9">
        <v>4</v>
      </c>
    </row>
    <row r="10" spans="1:4" x14ac:dyDescent="0.25">
      <c r="C10" s="3">
        <v>2</v>
      </c>
      <c r="D10">
        <v>5</v>
      </c>
    </row>
    <row r="11" spans="1:4" x14ac:dyDescent="0.25">
      <c r="C11" s="3">
        <v>3</v>
      </c>
      <c r="D11">
        <v>3</v>
      </c>
    </row>
    <row r="12" spans="1:4" x14ac:dyDescent="0.25">
      <c r="C12" s="3" t="s">
        <v>52</v>
      </c>
      <c r="D12" t="s">
        <v>51</v>
      </c>
    </row>
    <row r="13" spans="1:4" x14ac:dyDescent="0.25">
      <c r="A13" t="s">
        <v>54</v>
      </c>
      <c r="B13" t="s">
        <v>59</v>
      </c>
      <c r="C13" s="13">
        <f>COUNTIF(C2:C11,1)/10</f>
        <v>0.5</v>
      </c>
      <c r="D13" s="13">
        <f>COUNTIF(D2:D11,1)/10</f>
        <v>0.1</v>
      </c>
    </row>
    <row r="14" spans="1:4" x14ac:dyDescent="0.25">
      <c r="A14" t="s">
        <v>55</v>
      </c>
      <c r="B14" t="s">
        <v>60</v>
      </c>
      <c r="C14" s="13">
        <f>COUNTIF(C2:C11,2)/10</f>
        <v>0.4</v>
      </c>
      <c r="D14" s="13">
        <f>COUNTIF(D2:D11,2)/10</f>
        <v>0.2</v>
      </c>
    </row>
    <row r="15" spans="1:4" x14ac:dyDescent="0.25">
      <c r="A15" t="s">
        <v>56</v>
      </c>
      <c r="B15" t="s">
        <v>37</v>
      </c>
      <c r="C15" s="13">
        <f>COUNTIF(C2:C11,3)/10</f>
        <v>0.1</v>
      </c>
      <c r="D15" s="13">
        <f>COUNTIF(D2:D11,3)/10</f>
        <v>0.4</v>
      </c>
    </row>
    <row r="16" spans="1:4" x14ac:dyDescent="0.25">
      <c r="A16" t="s">
        <v>57</v>
      </c>
      <c r="B16" t="s">
        <v>61</v>
      </c>
      <c r="C16" s="13">
        <f>COUNTIF(C2:C11,4)/10</f>
        <v>0</v>
      </c>
      <c r="D16" s="13">
        <f>COUNTIF(D2:D11,4)/10</f>
        <v>0.2</v>
      </c>
    </row>
    <row r="17" spans="1:4" x14ac:dyDescent="0.25">
      <c r="A17" t="s">
        <v>58</v>
      </c>
      <c r="B17" t="s">
        <v>62</v>
      </c>
      <c r="C17" s="13">
        <f>COUNTIF(C2:C11,5)/10</f>
        <v>0</v>
      </c>
      <c r="D17" s="13">
        <f>COUNTIF(D2:D11,5)/10</f>
        <v>0.1</v>
      </c>
    </row>
    <row r="18" spans="1:4" x14ac:dyDescent="0.25">
      <c r="A18" t="s">
        <v>53</v>
      </c>
      <c r="B18" t="s">
        <v>87</v>
      </c>
      <c r="C18" s="16">
        <f>_xlfn.STDEV.P(C2:C11)</f>
        <v>0.66332495807107994</v>
      </c>
      <c r="D18" s="16">
        <f>_xlfn.STDEV.P(D2:D11)</f>
        <v>1.0954451150103321</v>
      </c>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FD8FF-E975-4CD6-B3F2-A95CFBDB902C}">
  <sheetPr>
    <tabColor theme="9"/>
  </sheetPr>
  <dimension ref="A2:J15"/>
  <sheetViews>
    <sheetView workbookViewId="0">
      <selection activeCell="H2" sqref="H2:I7"/>
    </sheetView>
  </sheetViews>
  <sheetFormatPr defaultRowHeight="15" x14ac:dyDescent="0.25"/>
  <cols>
    <col min="1" max="1" width="20.85546875" bestFit="1" customWidth="1"/>
    <col min="9" max="9" width="24.5703125" customWidth="1"/>
  </cols>
  <sheetData>
    <row r="2" spans="1:10" x14ac:dyDescent="0.25">
      <c r="A2" s="455" t="s">
        <v>124</v>
      </c>
      <c r="B2" s="455"/>
      <c r="C2" s="455"/>
      <c r="D2" s="455"/>
      <c r="E2" s="455"/>
      <c r="F2" s="119"/>
      <c r="H2" s="455" t="s">
        <v>136</v>
      </c>
      <c r="I2" s="455"/>
      <c r="J2" s="119"/>
    </row>
    <row r="3" spans="1:10" s="260" customFormat="1" ht="24" x14ac:dyDescent="0.25">
      <c r="A3" s="457" t="s">
        <v>5</v>
      </c>
      <c r="B3" s="457"/>
      <c r="C3" s="310" t="s">
        <v>111</v>
      </c>
      <c r="D3" s="311" t="s">
        <v>125</v>
      </c>
      <c r="E3" s="312" t="s">
        <v>126</v>
      </c>
      <c r="F3" s="313"/>
      <c r="H3" s="314" t="s">
        <v>5</v>
      </c>
      <c r="I3" s="315" t="s">
        <v>198</v>
      </c>
      <c r="J3" s="313"/>
    </row>
    <row r="4" spans="1:10" ht="24" x14ac:dyDescent="0.25">
      <c r="A4" s="458" t="s">
        <v>198</v>
      </c>
      <c r="B4" s="123" t="s">
        <v>127</v>
      </c>
      <c r="C4" s="124" t="s">
        <v>130</v>
      </c>
      <c r="D4" s="125">
        <v>2.5</v>
      </c>
      <c r="E4" s="126">
        <v>7.5</v>
      </c>
      <c r="F4" s="119"/>
      <c r="H4" s="123" t="s">
        <v>132</v>
      </c>
      <c r="I4" s="138" t="s">
        <v>158</v>
      </c>
      <c r="J4" s="119"/>
    </row>
    <row r="5" spans="1:10" ht="36" x14ac:dyDescent="0.25">
      <c r="A5" s="459"/>
      <c r="B5" s="127" t="s">
        <v>128</v>
      </c>
      <c r="C5" s="128" t="s">
        <v>161</v>
      </c>
      <c r="D5" s="129">
        <v>5.125</v>
      </c>
      <c r="E5" s="130">
        <v>20.5</v>
      </c>
      <c r="F5" s="119"/>
      <c r="H5" s="133" t="s">
        <v>133</v>
      </c>
      <c r="I5" s="139">
        <v>0.25963977138128663</v>
      </c>
      <c r="J5" s="119"/>
    </row>
    <row r="6" spans="1:10" x14ac:dyDescent="0.25">
      <c r="A6" s="459"/>
      <c r="B6" s="127" t="s">
        <v>129</v>
      </c>
      <c r="C6" s="128" t="s">
        <v>140</v>
      </c>
      <c r="D6" s="131"/>
      <c r="E6" s="132"/>
      <c r="F6" s="119"/>
      <c r="H6" s="456" t="s">
        <v>135</v>
      </c>
      <c r="I6" s="456"/>
      <c r="J6" s="119"/>
    </row>
    <row r="7" spans="1:10" x14ac:dyDescent="0.25">
      <c r="A7" s="460"/>
      <c r="B7" s="133" t="s">
        <v>108</v>
      </c>
      <c r="C7" s="134">
        <v>10</v>
      </c>
      <c r="D7" s="135"/>
      <c r="E7" s="136"/>
      <c r="F7" s="119"/>
      <c r="H7" s="456" t="s">
        <v>142</v>
      </c>
      <c r="I7" s="456"/>
      <c r="J7" s="119"/>
    </row>
    <row r="8" spans="1:10" x14ac:dyDescent="0.25">
      <c r="A8" s="456" t="s">
        <v>199</v>
      </c>
      <c r="B8" s="456"/>
      <c r="C8" s="456"/>
      <c r="D8" s="456"/>
      <c r="E8" s="456"/>
      <c r="F8" s="119"/>
    </row>
    <row r="9" spans="1:10" x14ac:dyDescent="0.25">
      <c r="A9" s="456" t="s">
        <v>200</v>
      </c>
      <c r="B9" s="456"/>
      <c r="C9" s="456"/>
      <c r="D9" s="456"/>
      <c r="E9" s="456"/>
      <c r="F9" s="119"/>
    </row>
    <row r="10" spans="1:10" x14ac:dyDescent="0.25">
      <c r="A10" s="456" t="s">
        <v>201</v>
      </c>
      <c r="B10" s="456"/>
      <c r="C10" s="456"/>
      <c r="D10" s="456"/>
      <c r="E10" s="456"/>
      <c r="F10" s="119"/>
    </row>
    <row r="12" spans="1:10" x14ac:dyDescent="0.25">
      <c r="A12" s="455" t="s">
        <v>165</v>
      </c>
      <c r="B12" s="455"/>
      <c r="C12" s="455"/>
      <c r="D12" s="455"/>
      <c r="E12" s="455"/>
      <c r="F12" s="455"/>
      <c r="G12" s="119"/>
    </row>
    <row r="13" spans="1:10" ht="24.75" x14ac:dyDescent="0.25">
      <c r="A13" s="137" t="s">
        <v>5</v>
      </c>
      <c r="B13" s="120" t="s">
        <v>111</v>
      </c>
      <c r="C13" s="121" t="s">
        <v>53</v>
      </c>
      <c r="D13" s="121" t="s">
        <v>87</v>
      </c>
      <c r="E13" s="121" t="s">
        <v>119</v>
      </c>
      <c r="F13" s="122" t="s">
        <v>120</v>
      </c>
      <c r="G13" s="119"/>
    </row>
    <row r="14" spans="1:10" x14ac:dyDescent="0.25">
      <c r="A14" s="123" t="s">
        <v>223</v>
      </c>
      <c r="B14" s="372">
        <v>10</v>
      </c>
      <c r="C14" s="373">
        <v>3.6999999999999997</v>
      </c>
      <c r="D14" s="374">
        <v>1.2516655570345725</v>
      </c>
      <c r="E14" s="125">
        <v>1</v>
      </c>
      <c r="F14" s="126">
        <v>5</v>
      </c>
      <c r="G14" s="119"/>
    </row>
    <row r="15" spans="1:10" x14ac:dyDescent="0.25">
      <c r="A15" s="133" t="s">
        <v>224</v>
      </c>
      <c r="B15" s="134">
        <v>10</v>
      </c>
      <c r="C15" s="375">
        <v>4.0999999999999996</v>
      </c>
      <c r="D15" s="376">
        <v>0.73786478737262184</v>
      </c>
      <c r="E15" s="377">
        <v>3</v>
      </c>
      <c r="F15" s="378">
        <v>5</v>
      </c>
      <c r="G15" s="119"/>
    </row>
  </sheetData>
  <mergeCells count="10">
    <mergeCell ref="A12:F12"/>
    <mergeCell ref="H2:I2"/>
    <mergeCell ref="H6:I6"/>
    <mergeCell ref="H7:I7"/>
    <mergeCell ref="A2:E2"/>
    <mergeCell ref="A3:B3"/>
    <mergeCell ref="A4:A7"/>
    <mergeCell ref="A8:E8"/>
    <mergeCell ref="A9:E9"/>
    <mergeCell ref="A10:E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2"/>
  <sheetViews>
    <sheetView workbookViewId="0">
      <pane ySplit="1" topLeftCell="A2" activePane="bottomLeft" state="frozen"/>
      <selection pane="bottomLeft" activeCell="B2" sqref="B2:B11"/>
    </sheetView>
  </sheetViews>
  <sheetFormatPr defaultRowHeight="15" x14ac:dyDescent="0.25"/>
  <cols>
    <col min="1" max="1" width="27.140625" bestFit="1" customWidth="1"/>
    <col min="2" max="2" width="12.42578125" customWidth="1"/>
    <col min="3" max="3" width="11.42578125" customWidth="1"/>
    <col min="4" max="4" width="12.5703125" bestFit="1" customWidth="1"/>
    <col min="5" max="5" width="14.5703125" customWidth="1"/>
  </cols>
  <sheetData>
    <row r="1" spans="1:19" ht="17.25" x14ac:dyDescent="0.25">
      <c r="B1" s="1" t="s">
        <v>30</v>
      </c>
      <c r="C1" s="1" t="s">
        <v>29</v>
      </c>
      <c r="D1" s="422" t="s">
        <v>118</v>
      </c>
      <c r="E1" s="422"/>
      <c r="F1" t="s">
        <v>105</v>
      </c>
      <c r="G1" t="s">
        <v>106</v>
      </c>
    </row>
    <row r="2" spans="1:19" x14ac:dyDescent="0.25">
      <c r="B2" s="3">
        <v>1</v>
      </c>
      <c r="C2">
        <v>1</v>
      </c>
      <c r="D2">
        <f>_xlfn.RANK.AVG(B2,$B$2:$B$11,0)</f>
        <v>8.5</v>
      </c>
      <c r="E2">
        <f>_xlfn.RANK.AVG(C2,$C$2:$C$11,0)</f>
        <v>7.5</v>
      </c>
      <c r="F2">
        <f>D2-E2</f>
        <v>1</v>
      </c>
      <c r="G2">
        <f>F2^2</f>
        <v>1</v>
      </c>
      <c r="N2" s="17">
        <f>B2-$B$13</f>
        <v>-1.1000000000000001</v>
      </c>
      <c r="O2" s="18">
        <f>N2^2</f>
        <v>1.2100000000000002</v>
      </c>
      <c r="P2" s="17">
        <f>C2-$C$13</f>
        <v>-0.39999999999999991</v>
      </c>
      <c r="Q2" s="19">
        <f>P2^2</f>
        <v>0.15999999999999992</v>
      </c>
      <c r="R2">
        <f>SUM(B2:C2)</f>
        <v>2</v>
      </c>
    </row>
    <row r="3" spans="1:19" x14ac:dyDescent="0.25">
      <c r="B3" s="3">
        <v>1</v>
      </c>
      <c r="C3">
        <v>1</v>
      </c>
      <c r="D3">
        <f t="shared" ref="D3:D11" si="0">_xlfn.RANK.AVG(B3,$B$2:$B$11,0)</f>
        <v>8.5</v>
      </c>
      <c r="E3">
        <f t="shared" ref="E3:E11" si="1">_xlfn.RANK.AVG(C3,$C$2:$C$11,0)</f>
        <v>7.5</v>
      </c>
      <c r="F3">
        <f>D3-E3</f>
        <v>1</v>
      </c>
      <c r="G3">
        <f t="shared" ref="G3:G11" si="2">F3^2</f>
        <v>1</v>
      </c>
      <c r="N3" s="20">
        <f t="shared" ref="N3:N11" si="3">B3-$B$13</f>
        <v>-1.1000000000000001</v>
      </c>
      <c r="O3" s="21">
        <f t="shared" ref="O3:O11" si="4">N3^2</f>
        <v>1.2100000000000002</v>
      </c>
      <c r="P3" s="17">
        <f t="shared" ref="P3:P11" si="5">C3-$C$13</f>
        <v>-0.39999999999999991</v>
      </c>
      <c r="Q3" s="22">
        <f t="shared" ref="Q3:Q11" si="6">P3^2</f>
        <v>0.15999999999999992</v>
      </c>
      <c r="R3">
        <f t="shared" ref="R3:R11" si="7">SUM(B3:C3)</f>
        <v>2</v>
      </c>
    </row>
    <row r="4" spans="1:19" x14ac:dyDescent="0.25">
      <c r="B4" s="3">
        <v>1</v>
      </c>
      <c r="C4">
        <v>1</v>
      </c>
      <c r="D4">
        <f t="shared" si="0"/>
        <v>8.5</v>
      </c>
      <c r="E4">
        <f t="shared" si="1"/>
        <v>7.5</v>
      </c>
      <c r="F4">
        <f t="shared" ref="F4:F11" si="8">D4-E4</f>
        <v>1</v>
      </c>
      <c r="G4">
        <f t="shared" si="2"/>
        <v>1</v>
      </c>
      <c r="N4" s="20">
        <f t="shared" si="3"/>
        <v>-1.1000000000000001</v>
      </c>
      <c r="O4" s="21">
        <f t="shared" si="4"/>
        <v>1.2100000000000002</v>
      </c>
      <c r="P4" s="17">
        <f t="shared" si="5"/>
        <v>-0.39999999999999991</v>
      </c>
      <c r="Q4" s="22">
        <f t="shared" si="6"/>
        <v>0.15999999999999992</v>
      </c>
      <c r="R4">
        <f t="shared" si="7"/>
        <v>2</v>
      </c>
    </row>
    <row r="5" spans="1:19" x14ac:dyDescent="0.25">
      <c r="B5" s="3">
        <v>2</v>
      </c>
      <c r="C5">
        <v>1</v>
      </c>
      <c r="D5">
        <f t="shared" si="0"/>
        <v>5</v>
      </c>
      <c r="E5">
        <f t="shared" si="1"/>
        <v>7.5</v>
      </c>
      <c r="F5">
        <f t="shared" si="8"/>
        <v>-2.5</v>
      </c>
      <c r="G5">
        <f t="shared" si="2"/>
        <v>6.25</v>
      </c>
      <c r="N5" s="21">
        <f t="shared" si="3"/>
        <v>-0.10000000000000009</v>
      </c>
      <c r="O5" s="21">
        <f t="shared" si="4"/>
        <v>1.0000000000000018E-2</v>
      </c>
      <c r="P5" s="21">
        <f t="shared" si="5"/>
        <v>-0.39999999999999991</v>
      </c>
      <c r="Q5" s="21">
        <f t="shared" si="6"/>
        <v>0.15999999999999992</v>
      </c>
      <c r="R5">
        <f t="shared" si="7"/>
        <v>3</v>
      </c>
    </row>
    <row r="6" spans="1:19" x14ac:dyDescent="0.25">
      <c r="B6" s="3">
        <v>2</v>
      </c>
      <c r="C6">
        <v>1</v>
      </c>
      <c r="D6">
        <f t="shared" si="0"/>
        <v>5</v>
      </c>
      <c r="E6">
        <f t="shared" si="1"/>
        <v>7.5</v>
      </c>
      <c r="F6">
        <f t="shared" si="8"/>
        <v>-2.5</v>
      </c>
      <c r="G6">
        <f t="shared" si="2"/>
        <v>6.25</v>
      </c>
      <c r="N6" s="21">
        <f t="shared" si="3"/>
        <v>-0.10000000000000009</v>
      </c>
      <c r="O6" s="21">
        <f t="shared" si="4"/>
        <v>1.0000000000000018E-2</v>
      </c>
      <c r="P6" s="21">
        <f t="shared" si="5"/>
        <v>-0.39999999999999991</v>
      </c>
      <c r="Q6" s="21">
        <f t="shared" si="6"/>
        <v>0.15999999999999992</v>
      </c>
      <c r="R6">
        <f t="shared" si="7"/>
        <v>3</v>
      </c>
    </row>
    <row r="7" spans="1:19" x14ac:dyDescent="0.25">
      <c r="B7" s="3">
        <v>2</v>
      </c>
      <c r="C7">
        <v>1</v>
      </c>
      <c r="D7">
        <f t="shared" si="0"/>
        <v>5</v>
      </c>
      <c r="E7">
        <f t="shared" si="1"/>
        <v>7.5</v>
      </c>
      <c r="F7">
        <f t="shared" si="8"/>
        <v>-2.5</v>
      </c>
      <c r="G7">
        <f t="shared" si="2"/>
        <v>6.25</v>
      </c>
      <c r="N7" s="21">
        <f t="shared" si="3"/>
        <v>-0.10000000000000009</v>
      </c>
      <c r="O7" s="21">
        <f t="shared" si="4"/>
        <v>1.0000000000000018E-2</v>
      </c>
      <c r="P7" s="21">
        <f t="shared" si="5"/>
        <v>-0.39999999999999991</v>
      </c>
      <c r="Q7" s="21">
        <f t="shared" si="6"/>
        <v>0.15999999999999992</v>
      </c>
      <c r="R7">
        <f t="shared" si="7"/>
        <v>3</v>
      </c>
    </row>
    <row r="8" spans="1:19" x14ac:dyDescent="0.25">
      <c r="B8" s="3">
        <v>1</v>
      </c>
      <c r="C8">
        <v>2</v>
      </c>
      <c r="D8">
        <f t="shared" si="0"/>
        <v>8.5</v>
      </c>
      <c r="E8">
        <f t="shared" si="1"/>
        <v>2.5</v>
      </c>
      <c r="F8">
        <f t="shared" si="8"/>
        <v>6</v>
      </c>
      <c r="G8">
        <f t="shared" si="2"/>
        <v>36</v>
      </c>
      <c r="N8" s="21">
        <f t="shared" si="3"/>
        <v>-1.1000000000000001</v>
      </c>
      <c r="O8" s="21">
        <f t="shared" si="4"/>
        <v>1.2100000000000002</v>
      </c>
      <c r="P8" s="21">
        <f t="shared" si="5"/>
        <v>0.60000000000000009</v>
      </c>
      <c r="Q8" s="21">
        <f t="shared" si="6"/>
        <v>0.3600000000000001</v>
      </c>
      <c r="R8">
        <f t="shared" si="7"/>
        <v>3</v>
      </c>
    </row>
    <row r="9" spans="1:19" x14ac:dyDescent="0.25">
      <c r="B9" s="3">
        <v>3</v>
      </c>
      <c r="C9">
        <v>2</v>
      </c>
      <c r="D9">
        <f t="shared" si="0"/>
        <v>2.5</v>
      </c>
      <c r="E9">
        <f t="shared" si="1"/>
        <v>2.5</v>
      </c>
      <c r="F9">
        <f t="shared" si="8"/>
        <v>0</v>
      </c>
      <c r="G9">
        <f t="shared" si="2"/>
        <v>0</v>
      </c>
      <c r="N9" s="21">
        <f t="shared" si="3"/>
        <v>0.89999999999999991</v>
      </c>
      <c r="O9" s="21">
        <f t="shared" si="4"/>
        <v>0.80999999999999983</v>
      </c>
      <c r="P9" s="21">
        <f t="shared" si="5"/>
        <v>0.60000000000000009</v>
      </c>
      <c r="Q9" s="21">
        <f t="shared" si="6"/>
        <v>0.3600000000000001</v>
      </c>
      <c r="R9">
        <f t="shared" si="7"/>
        <v>5</v>
      </c>
    </row>
    <row r="10" spans="1:19" x14ac:dyDescent="0.25">
      <c r="B10" s="3">
        <v>3</v>
      </c>
      <c r="C10">
        <v>2</v>
      </c>
      <c r="D10">
        <f t="shared" si="0"/>
        <v>2.5</v>
      </c>
      <c r="E10">
        <f t="shared" si="1"/>
        <v>2.5</v>
      </c>
      <c r="F10">
        <f t="shared" si="8"/>
        <v>0</v>
      </c>
      <c r="G10">
        <f t="shared" si="2"/>
        <v>0</v>
      </c>
      <c r="N10" s="21">
        <f t="shared" si="3"/>
        <v>0.89999999999999991</v>
      </c>
      <c r="O10" s="21">
        <f t="shared" si="4"/>
        <v>0.80999999999999983</v>
      </c>
      <c r="P10" s="21">
        <f t="shared" si="5"/>
        <v>0.60000000000000009</v>
      </c>
      <c r="Q10" s="21">
        <f t="shared" si="6"/>
        <v>0.3600000000000001</v>
      </c>
      <c r="R10">
        <f t="shared" si="7"/>
        <v>5</v>
      </c>
    </row>
    <row r="11" spans="1:19" x14ac:dyDescent="0.25">
      <c r="B11" s="3">
        <v>5</v>
      </c>
      <c r="C11">
        <v>2</v>
      </c>
      <c r="D11">
        <f t="shared" si="0"/>
        <v>1</v>
      </c>
      <c r="E11">
        <f t="shared" si="1"/>
        <v>2.5</v>
      </c>
      <c r="F11">
        <f t="shared" si="8"/>
        <v>-1.5</v>
      </c>
      <c r="G11">
        <f t="shared" si="2"/>
        <v>2.25</v>
      </c>
      <c r="N11" s="21">
        <f t="shared" si="3"/>
        <v>2.9</v>
      </c>
      <c r="O11" s="21">
        <f t="shared" si="4"/>
        <v>8.41</v>
      </c>
      <c r="P11" s="21">
        <f t="shared" si="5"/>
        <v>0.60000000000000009</v>
      </c>
      <c r="Q11" s="21">
        <f t="shared" si="6"/>
        <v>0.3600000000000001</v>
      </c>
      <c r="R11">
        <f t="shared" si="7"/>
        <v>7</v>
      </c>
    </row>
    <row r="12" spans="1:19" x14ac:dyDescent="0.25">
      <c r="A12" t="s">
        <v>92</v>
      </c>
      <c r="B12" s="42">
        <f>_xlfn.VAR.S(B2:B11)</f>
        <v>1.6555555555555554</v>
      </c>
      <c r="C12" s="42">
        <f>_xlfn.VAR.S(C2:C11)</f>
        <v>0.2666666666666665</v>
      </c>
      <c r="G12">
        <f>SUM(G2:G11)</f>
        <v>60</v>
      </c>
      <c r="N12" s="21"/>
      <c r="O12" s="21"/>
      <c r="P12" s="21"/>
      <c r="Q12" s="21"/>
      <c r="R12">
        <f>SUM(R2:R11)</f>
        <v>35</v>
      </c>
      <c r="S12">
        <f>SUM(B12:C12)</f>
        <v>1.9222222222222221</v>
      </c>
    </row>
    <row r="13" spans="1:19" ht="18" customHeight="1" x14ac:dyDescent="0.25">
      <c r="A13" t="s">
        <v>53</v>
      </c>
      <c r="B13" s="41">
        <f>AVERAGE(B2:B11)</f>
        <v>2.1</v>
      </c>
      <c r="C13" s="41">
        <f>AVERAGE(C2:C11)</f>
        <v>1.4</v>
      </c>
      <c r="N13" s="16"/>
      <c r="O13" s="16"/>
      <c r="P13" s="16"/>
      <c r="Q13" s="16"/>
    </row>
    <row r="14" spans="1:19" ht="18" customHeight="1" x14ac:dyDescent="0.25">
      <c r="A14" t="s">
        <v>68</v>
      </c>
      <c r="B14" s="15">
        <f>STDEV(B2:B11,C2:C11)</f>
        <v>1.019545822516343</v>
      </c>
      <c r="C14" s="28"/>
    </row>
    <row r="15" spans="1:19" ht="18" customHeight="1" x14ac:dyDescent="0.25">
      <c r="A15" t="s">
        <v>103</v>
      </c>
      <c r="B15" s="38">
        <f>SQRT(0.3125)</f>
        <v>0.55901699437494745</v>
      </c>
      <c r="C15" s="35"/>
      <c r="D15" s="35"/>
      <c r="E15" s="35"/>
    </row>
    <row r="16" spans="1:19" ht="23.25" customHeight="1" x14ac:dyDescent="0.25">
      <c r="A16" t="s">
        <v>26</v>
      </c>
      <c r="B16" s="40">
        <f>CORREL(E2:E11,D2:D11)</f>
        <v>0.55901699437494745</v>
      </c>
      <c r="C16" s="34">
        <f>B16*SQRT(B19)/(1-B16^2)</f>
        <v>2.2998382983042762</v>
      </c>
      <c r="D16" s="34"/>
      <c r="E16" s="34"/>
    </row>
    <row r="17" spans="1:7" x14ac:dyDescent="0.25">
      <c r="A17" t="s">
        <v>104</v>
      </c>
      <c r="B17" s="33">
        <f>COUNT(B2:B11)</f>
        <v>10</v>
      </c>
      <c r="C17" s="34"/>
      <c r="D17" s="34"/>
      <c r="E17" s="34"/>
    </row>
    <row r="18" spans="1:7" x14ac:dyDescent="0.25">
      <c r="A18" t="s">
        <v>107</v>
      </c>
      <c r="B18" s="46">
        <f>_xlfn.T.DIST.2T(ABS(C16),B19)</f>
        <v>5.0483573973336582E-2</v>
      </c>
      <c r="D18" s="43"/>
      <c r="E18" t="s">
        <v>90</v>
      </c>
      <c r="F18" s="26" t="s">
        <v>116</v>
      </c>
      <c r="G18" s="16">
        <f>_xlfn.STDEV.S(C2:C11)/SQRT(B17)</f>
        <v>0.16329931618554513</v>
      </c>
    </row>
    <row r="19" spans="1:7" x14ac:dyDescent="0.25">
      <c r="A19" t="s">
        <v>109</v>
      </c>
      <c r="B19" s="33">
        <f>B17-2</f>
        <v>8</v>
      </c>
      <c r="E19" t="s">
        <v>91</v>
      </c>
      <c r="F19" s="45">
        <f>_xlfn.STDEV.S(B2:B11)/SQRT(B17)</f>
        <v>0.40688518719112343</v>
      </c>
      <c r="G19" s="26" t="s">
        <v>117</v>
      </c>
    </row>
    <row r="20" spans="1:7" s="96" customFormat="1" x14ac:dyDescent="0.25">
      <c r="B20" s="97"/>
      <c r="C20" s="97"/>
    </row>
    <row r="21" spans="1:7" s="96" customFormat="1" x14ac:dyDescent="0.25">
      <c r="B21" s="97"/>
    </row>
    <row r="25" spans="1:7" x14ac:dyDescent="0.25">
      <c r="F25" s="39"/>
    </row>
    <row r="26" spans="1:7" x14ac:dyDescent="0.25">
      <c r="F26" s="39"/>
    </row>
    <row r="27" spans="1:7" x14ac:dyDescent="0.25">
      <c r="F27" s="39"/>
    </row>
    <row r="28" spans="1:7" x14ac:dyDescent="0.25">
      <c r="F28" s="39"/>
    </row>
    <row r="29" spans="1:7" x14ac:dyDescent="0.25">
      <c r="F29" s="39"/>
    </row>
    <row r="30" spans="1:7" x14ac:dyDescent="0.25">
      <c r="F30" s="39"/>
    </row>
    <row r="31" spans="1:7" x14ac:dyDescent="0.25">
      <c r="F31" s="39"/>
    </row>
    <row r="32" spans="1:7" x14ac:dyDescent="0.25">
      <c r="F32" s="39"/>
    </row>
  </sheetData>
  <mergeCells count="1">
    <mergeCell ref="D1:E1"/>
  </mergeCells>
  <pageMargins left="0.7" right="0.7" top="0.75" bottom="0.75" header="0.3" footer="0.3"/>
  <pageSetup orientation="portrait" horizontalDpi="4294967293" verticalDpi="4294967293" r:id="rId1"/>
  <ignoredErrors>
    <ignoredError sqref="P2:P11" formula="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A248C-086C-4DEB-B640-10CADB3A2539}">
  <dimension ref="A1:S21"/>
  <sheetViews>
    <sheetView workbookViewId="0">
      <selection activeCell="A20" sqref="A20:XFD21"/>
    </sheetView>
  </sheetViews>
  <sheetFormatPr defaultRowHeight="15" x14ac:dyDescent="0.25"/>
  <cols>
    <col min="1" max="1" width="31" bestFit="1" customWidth="1"/>
  </cols>
  <sheetData>
    <row r="1" spans="1:19" x14ac:dyDescent="0.25">
      <c r="B1" s="1" t="s">
        <v>40</v>
      </c>
      <c r="C1" s="1" t="s">
        <v>41</v>
      </c>
    </row>
    <row r="2" spans="1:19" x14ac:dyDescent="0.25">
      <c r="B2" s="3">
        <v>1</v>
      </c>
      <c r="C2">
        <v>3</v>
      </c>
      <c r="D2">
        <f>_xlfn.RANK.AVG(B2,$B$2:$B$11,0)</f>
        <v>9</v>
      </c>
      <c r="E2">
        <f>_xlfn.RANK.AVG(C2,$C$2:$C$11,0)</f>
        <v>8</v>
      </c>
      <c r="N2" s="17">
        <f t="shared" ref="N2:N11" si="0">B2-$B$13</f>
        <v>-0.89999999999999991</v>
      </c>
      <c r="O2" s="18">
        <f>N2^2</f>
        <v>0.80999999999999983</v>
      </c>
      <c r="P2" s="18">
        <f>C2-$C$13</f>
        <v>-0.70000000000000018</v>
      </c>
      <c r="Q2" s="19">
        <f>P2^2</f>
        <v>0.49000000000000027</v>
      </c>
      <c r="R2">
        <f>SUM(B2:C2)</f>
        <v>4</v>
      </c>
    </row>
    <row r="3" spans="1:19" x14ac:dyDescent="0.25">
      <c r="B3" s="3">
        <v>1</v>
      </c>
      <c r="C3">
        <v>5</v>
      </c>
      <c r="D3">
        <f t="shared" ref="D3:D11" si="1">_xlfn.RANK.AVG(B3,$B$2:$B$11,0)</f>
        <v>9</v>
      </c>
      <c r="E3">
        <f t="shared" ref="E3:E11" si="2">_xlfn.RANK.AVG(C3,$C$2:$C$11,0)</f>
        <v>2</v>
      </c>
      <c r="N3" s="20">
        <f t="shared" si="0"/>
        <v>-0.89999999999999991</v>
      </c>
      <c r="O3" s="21">
        <f t="shared" ref="O3:O11" si="3">N3^2</f>
        <v>0.80999999999999983</v>
      </c>
      <c r="P3" s="21">
        <f t="shared" ref="P3:P11" si="4">C3-$C$13</f>
        <v>1.2999999999999998</v>
      </c>
      <c r="Q3" s="22">
        <f t="shared" ref="Q3:Q11" si="5">P3^2</f>
        <v>1.6899999999999995</v>
      </c>
      <c r="R3">
        <f t="shared" ref="R3:R11" si="6">SUM(B3:C3)</f>
        <v>6</v>
      </c>
    </row>
    <row r="4" spans="1:19" x14ac:dyDescent="0.25">
      <c r="B4" s="3">
        <v>1</v>
      </c>
      <c r="C4">
        <v>3</v>
      </c>
      <c r="D4">
        <f t="shared" si="1"/>
        <v>9</v>
      </c>
      <c r="E4">
        <f t="shared" si="2"/>
        <v>8</v>
      </c>
      <c r="N4" s="20">
        <f t="shared" si="0"/>
        <v>-0.89999999999999991</v>
      </c>
      <c r="O4" s="21">
        <f t="shared" si="3"/>
        <v>0.80999999999999983</v>
      </c>
      <c r="P4" s="21">
        <f t="shared" si="4"/>
        <v>-0.70000000000000018</v>
      </c>
      <c r="Q4" s="22">
        <f t="shared" si="5"/>
        <v>0.49000000000000027</v>
      </c>
      <c r="R4">
        <f t="shared" si="6"/>
        <v>4</v>
      </c>
    </row>
    <row r="5" spans="1:19" x14ac:dyDescent="0.25">
      <c r="B5" s="3">
        <v>2</v>
      </c>
      <c r="C5">
        <v>4</v>
      </c>
      <c r="D5">
        <f t="shared" si="1"/>
        <v>5</v>
      </c>
      <c r="E5">
        <f t="shared" si="2"/>
        <v>5</v>
      </c>
      <c r="N5" s="20">
        <f t="shared" si="0"/>
        <v>0.10000000000000009</v>
      </c>
      <c r="O5" s="21">
        <f t="shared" si="3"/>
        <v>1.0000000000000018E-2</v>
      </c>
      <c r="P5" s="21">
        <f t="shared" si="4"/>
        <v>0.29999999999999982</v>
      </c>
      <c r="Q5" s="22">
        <f t="shared" si="5"/>
        <v>8.99999999999999E-2</v>
      </c>
      <c r="R5">
        <f t="shared" si="6"/>
        <v>6</v>
      </c>
    </row>
    <row r="6" spans="1:19" x14ac:dyDescent="0.25">
      <c r="B6" s="3">
        <v>2</v>
      </c>
      <c r="C6">
        <v>3</v>
      </c>
      <c r="D6">
        <f t="shared" si="1"/>
        <v>5</v>
      </c>
      <c r="E6">
        <f t="shared" si="2"/>
        <v>8</v>
      </c>
      <c r="N6" s="20">
        <f t="shared" si="0"/>
        <v>0.10000000000000009</v>
      </c>
      <c r="O6" s="21">
        <f t="shared" si="3"/>
        <v>1.0000000000000018E-2</v>
      </c>
      <c r="P6" s="21">
        <f t="shared" si="4"/>
        <v>-0.70000000000000018</v>
      </c>
      <c r="Q6" s="22">
        <f t="shared" si="5"/>
        <v>0.49000000000000027</v>
      </c>
      <c r="R6">
        <f t="shared" si="6"/>
        <v>5</v>
      </c>
    </row>
    <row r="7" spans="1:19" x14ac:dyDescent="0.25">
      <c r="B7" s="3">
        <v>2</v>
      </c>
      <c r="C7">
        <v>5</v>
      </c>
      <c r="D7">
        <f t="shared" si="1"/>
        <v>5</v>
      </c>
      <c r="E7">
        <f t="shared" si="2"/>
        <v>2</v>
      </c>
      <c r="N7" s="20">
        <f t="shared" si="0"/>
        <v>0.10000000000000009</v>
      </c>
      <c r="O7" s="21">
        <f t="shared" si="3"/>
        <v>1.0000000000000018E-2</v>
      </c>
      <c r="P7" s="21">
        <f t="shared" si="4"/>
        <v>1.2999999999999998</v>
      </c>
      <c r="Q7" s="22">
        <f t="shared" si="5"/>
        <v>1.6899999999999995</v>
      </c>
      <c r="R7">
        <f t="shared" si="6"/>
        <v>7</v>
      </c>
    </row>
    <row r="8" spans="1:19" x14ac:dyDescent="0.25">
      <c r="B8" s="3">
        <v>2</v>
      </c>
      <c r="C8">
        <v>4</v>
      </c>
      <c r="D8">
        <f t="shared" si="1"/>
        <v>5</v>
      </c>
      <c r="E8">
        <f t="shared" si="2"/>
        <v>5</v>
      </c>
      <c r="N8" s="20">
        <f t="shared" si="0"/>
        <v>0.10000000000000009</v>
      </c>
      <c r="O8" s="21">
        <f t="shared" si="3"/>
        <v>1.0000000000000018E-2</v>
      </c>
      <c r="P8" s="21">
        <f t="shared" si="4"/>
        <v>0.29999999999999982</v>
      </c>
      <c r="Q8" s="22">
        <f t="shared" si="5"/>
        <v>8.99999999999999E-2</v>
      </c>
      <c r="R8">
        <f t="shared" si="6"/>
        <v>6</v>
      </c>
    </row>
    <row r="9" spans="1:19" x14ac:dyDescent="0.25">
      <c r="B9" s="3">
        <v>3</v>
      </c>
      <c r="C9">
        <v>1</v>
      </c>
      <c r="D9">
        <f t="shared" si="1"/>
        <v>1.5</v>
      </c>
      <c r="E9">
        <f t="shared" si="2"/>
        <v>10</v>
      </c>
      <c r="N9" s="20">
        <f t="shared" si="0"/>
        <v>1.1000000000000001</v>
      </c>
      <c r="O9" s="21">
        <f t="shared" si="3"/>
        <v>1.2100000000000002</v>
      </c>
      <c r="P9" s="21">
        <f t="shared" si="4"/>
        <v>-2.7</v>
      </c>
      <c r="Q9" s="22">
        <f t="shared" si="5"/>
        <v>7.2900000000000009</v>
      </c>
      <c r="R9">
        <f t="shared" si="6"/>
        <v>4</v>
      </c>
    </row>
    <row r="10" spans="1:19" x14ac:dyDescent="0.25">
      <c r="B10" s="3">
        <v>2</v>
      </c>
      <c r="C10">
        <v>5</v>
      </c>
      <c r="D10">
        <f t="shared" si="1"/>
        <v>5</v>
      </c>
      <c r="E10">
        <f t="shared" si="2"/>
        <v>2</v>
      </c>
      <c r="N10" s="20">
        <f t="shared" si="0"/>
        <v>0.10000000000000009</v>
      </c>
      <c r="O10" s="21">
        <f t="shared" si="3"/>
        <v>1.0000000000000018E-2</v>
      </c>
      <c r="P10" s="21">
        <f t="shared" si="4"/>
        <v>1.2999999999999998</v>
      </c>
      <c r="Q10" s="22">
        <f t="shared" si="5"/>
        <v>1.6899999999999995</v>
      </c>
      <c r="R10">
        <f t="shared" si="6"/>
        <v>7</v>
      </c>
    </row>
    <row r="11" spans="1:19" x14ac:dyDescent="0.25">
      <c r="B11" s="3">
        <v>3</v>
      </c>
      <c r="C11">
        <v>4</v>
      </c>
      <c r="D11">
        <f t="shared" si="1"/>
        <v>1.5</v>
      </c>
      <c r="E11">
        <f t="shared" si="2"/>
        <v>5</v>
      </c>
      <c r="N11" s="23">
        <f t="shared" si="0"/>
        <v>1.1000000000000001</v>
      </c>
      <c r="O11" s="24">
        <f t="shared" si="3"/>
        <v>1.2100000000000002</v>
      </c>
      <c r="P11" s="24">
        <f t="shared" si="4"/>
        <v>0.29999999999999982</v>
      </c>
      <c r="Q11" s="25">
        <f t="shared" si="5"/>
        <v>8.99999999999999E-2</v>
      </c>
      <c r="R11">
        <f t="shared" si="6"/>
        <v>7</v>
      </c>
    </row>
    <row r="12" spans="1:19" x14ac:dyDescent="0.25">
      <c r="A12" t="s">
        <v>92</v>
      </c>
      <c r="B12" s="3">
        <f>_xlfn.VAR.P(B2:B11)</f>
        <v>0.49</v>
      </c>
      <c r="C12" s="3">
        <f>_xlfn.VAR.P(C2:C11)</f>
        <v>1.41</v>
      </c>
      <c r="N12" s="21"/>
      <c r="O12" s="21"/>
      <c r="P12" s="21"/>
      <c r="Q12" s="21"/>
      <c r="R12">
        <f>SUBTOTAL(9,R2:R11)</f>
        <v>56</v>
      </c>
      <c r="S12">
        <f>SUM(B12:C12)</f>
        <v>1.9</v>
      </c>
    </row>
    <row r="13" spans="1:19" x14ac:dyDescent="0.25">
      <c r="A13" t="s">
        <v>53</v>
      </c>
      <c r="B13" s="28">
        <f>AVERAGE(B2:B11)</f>
        <v>1.9</v>
      </c>
      <c r="C13" s="28">
        <f>AVERAGE(C2:C11)</f>
        <v>3.7</v>
      </c>
    </row>
    <row r="14" spans="1:19" x14ac:dyDescent="0.25">
      <c r="A14" t="s">
        <v>87</v>
      </c>
      <c r="B14" s="15">
        <f>_xlfn.STDEV.P(B2:B11,C2:C11)</f>
        <v>1.3266499161421599</v>
      </c>
      <c r="C14" s="28"/>
    </row>
    <row r="15" spans="1:19" ht="17.25" x14ac:dyDescent="0.25">
      <c r="A15" t="s">
        <v>110</v>
      </c>
      <c r="B15" s="38">
        <f>SQRT(0.012)</f>
        <v>0.10954451150103323</v>
      </c>
      <c r="C15" s="15"/>
    </row>
    <row r="16" spans="1:19" x14ac:dyDescent="0.25">
      <c r="A16" t="s">
        <v>26</v>
      </c>
      <c r="B16" s="10">
        <f>CORREL(E2:E11,D2:D11)</f>
        <v>-0.10932267489210502</v>
      </c>
      <c r="C16">
        <f>B16*SQRT(B19)/(1-B16^2)</f>
        <v>-0.31295144166006289</v>
      </c>
      <c r="D16" s="2"/>
    </row>
    <row r="17" spans="1:3" x14ac:dyDescent="0.25">
      <c r="A17" t="s">
        <v>104</v>
      </c>
      <c r="B17" s="33">
        <v>10</v>
      </c>
    </row>
    <row r="18" spans="1:3" x14ac:dyDescent="0.25">
      <c r="A18" t="s">
        <v>107</v>
      </c>
      <c r="B18" s="47">
        <f>_xlfn.T.DIST.2T(ABS(C16),B19)</f>
        <v>0.76232048412143538</v>
      </c>
    </row>
    <row r="19" spans="1:3" x14ac:dyDescent="0.25">
      <c r="A19" t="s">
        <v>109</v>
      </c>
      <c r="B19" s="33">
        <f>B17-2</f>
        <v>8</v>
      </c>
    </row>
    <row r="20" spans="1:3" x14ac:dyDescent="0.25">
      <c r="A20" t="s">
        <v>90</v>
      </c>
      <c r="B20" s="26" t="s">
        <v>95</v>
      </c>
      <c r="C20" s="16">
        <f>SQRT(SUM(Q1:Q9)/(B17*(B17-1)))</f>
        <v>0.36998498468030955</v>
      </c>
    </row>
    <row r="21" spans="1:3" x14ac:dyDescent="0.25">
      <c r="A21" t="s">
        <v>91</v>
      </c>
      <c r="B21" s="16">
        <f>SQRT(SUM(O2:O10)/(B17*(B17-1)))</f>
        <v>0.20248456731316589</v>
      </c>
      <c r="C21" s="26" t="s">
        <v>94</v>
      </c>
    </row>
  </sheetData>
  <pageMargins left="0.7" right="0.7" top="0.75" bottom="0.75" header="0.3" footer="0.3"/>
  <pageSetup orientation="portrait" horizontalDpi="4294967293" verticalDpi="4294967293"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9789E-999D-4C2F-B8E4-BE586D1B845E}">
  <sheetPr>
    <tabColor theme="9"/>
  </sheetPr>
  <dimension ref="A1:C18"/>
  <sheetViews>
    <sheetView workbookViewId="0">
      <selection activeCell="B2" sqref="B2:B11"/>
    </sheetView>
  </sheetViews>
  <sheetFormatPr defaultRowHeight="15" x14ac:dyDescent="0.25"/>
  <cols>
    <col min="1" max="1" width="19" bestFit="1" customWidth="1"/>
    <col min="2" max="3" width="11.7109375" bestFit="1" customWidth="1"/>
  </cols>
  <sheetData>
    <row r="1" spans="1:3" x14ac:dyDescent="0.25">
      <c r="B1" s="1" t="s">
        <v>40</v>
      </c>
      <c r="C1" s="1" t="s">
        <v>41</v>
      </c>
    </row>
    <row r="2" spans="1:3" x14ac:dyDescent="0.25">
      <c r="B2" s="3">
        <v>1</v>
      </c>
      <c r="C2" s="401">
        <v>3</v>
      </c>
    </row>
    <row r="3" spans="1:3" x14ac:dyDescent="0.25">
      <c r="B3" s="3">
        <v>1</v>
      </c>
      <c r="C3" s="401">
        <v>5</v>
      </c>
    </row>
    <row r="4" spans="1:3" x14ac:dyDescent="0.25">
      <c r="B4" s="3">
        <v>1</v>
      </c>
      <c r="C4" s="401">
        <v>3</v>
      </c>
    </row>
    <row r="5" spans="1:3" x14ac:dyDescent="0.25">
      <c r="B5" s="3">
        <v>2</v>
      </c>
      <c r="C5" s="401">
        <v>4</v>
      </c>
    </row>
    <row r="6" spans="1:3" x14ac:dyDescent="0.25">
      <c r="B6" s="3">
        <v>2</v>
      </c>
      <c r="C6" s="401">
        <v>3</v>
      </c>
    </row>
    <row r="7" spans="1:3" x14ac:dyDescent="0.25">
      <c r="B7" s="3">
        <v>2</v>
      </c>
      <c r="C7" s="401">
        <v>5</v>
      </c>
    </row>
    <row r="8" spans="1:3" x14ac:dyDescent="0.25">
      <c r="B8" s="3">
        <v>2</v>
      </c>
      <c r="C8" s="401">
        <v>4</v>
      </c>
    </row>
    <row r="9" spans="1:3" x14ac:dyDescent="0.25">
      <c r="B9" s="3">
        <v>3</v>
      </c>
      <c r="C9" s="401">
        <v>1</v>
      </c>
    </row>
    <row r="10" spans="1:3" x14ac:dyDescent="0.25">
      <c r="B10" s="3">
        <v>2</v>
      </c>
      <c r="C10" s="401">
        <v>5</v>
      </c>
    </row>
    <row r="11" spans="1:3" x14ac:dyDescent="0.25">
      <c r="B11" s="3">
        <v>3</v>
      </c>
      <c r="C11" s="401">
        <v>4</v>
      </c>
    </row>
    <row r="12" spans="1:3" x14ac:dyDescent="0.25">
      <c r="B12" s="3" t="s">
        <v>52</v>
      </c>
      <c r="C12" t="s">
        <v>51</v>
      </c>
    </row>
    <row r="13" spans="1:3" x14ac:dyDescent="0.25">
      <c r="A13" t="s">
        <v>54</v>
      </c>
      <c r="B13" s="13">
        <f>COUNTIF(B2:B11,1)/10</f>
        <v>0.3</v>
      </c>
      <c r="C13" s="13">
        <f>COUNTIF(C2:C11,1)/10</f>
        <v>0.1</v>
      </c>
    </row>
    <row r="14" spans="1:3" x14ac:dyDescent="0.25">
      <c r="A14" t="s">
        <v>55</v>
      </c>
      <c r="B14" s="13">
        <f>COUNTIF(B2:B11,2)/10</f>
        <v>0.5</v>
      </c>
      <c r="C14" s="13">
        <f>COUNTIF(C2:C11,2)/10</f>
        <v>0</v>
      </c>
    </row>
    <row r="15" spans="1:3" x14ac:dyDescent="0.25">
      <c r="A15" t="s">
        <v>56</v>
      </c>
      <c r="B15" s="13">
        <f>COUNTIF(B2:B11,3)/10</f>
        <v>0.2</v>
      </c>
      <c r="C15" s="13">
        <f>COUNTIF(C2:C11,3)/10</f>
        <v>0.3</v>
      </c>
    </row>
    <row r="16" spans="1:3" x14ac:dyDescent="0.25">
      <c r="A16" t="s">
        <v>57</v>
      </c>
      <c r="B16" s="13">
        <f>COUNTIF(B2:B11,4)/10</f>
        <v>0</v>
      </c>
      <c r="C16" s="13">
        <f>COUNTIF(C2:C11,4)/10</f>
        <v>0.3</v>
      </c>
    </row>
    <row r="17" spans="1:3" x14ac:dyDescent="0.25">
      <c r="A17" t="s">
        <v>58</v>
      </c>
      <c r="B17" s="13">
        <f>COUNTIF(B2:B11,5)/10</f>
        <v>0</v>
      </c>
      <c r="C17" s="13">
        <f>COUNTIF(C2:C11,5)/10</f>
        <v>0.3</v>
      </c>
    </row>
    <row r="18" spans="1:3" x14ac:dyDescent="0.25">
      <c r="A18" t="s">
        <v>87</v>
      </c>
      <c r="B18" s="16">
        <f>_xlfn.STDEV.P(B2:B11)</f>
        <v>0.7</v>
      </c>
      <c r="C18" s="16">
        <f>_xlfn.STDEV.P(C2:C11)</f>
        <v>1.1874342087037917</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C6D13-35D0-493F-A5E7-DE25E1CF7F81}">
  <sheetPr>
    <tabColor theme="9"/>
  </sheetPr>
  <dimension ref="A2:I15"/>
  <sheetViews>
    <sheetView workbookViewId="0">
      <selection activeCell="G2" sqref="G2:H7"/>
    </sheetView>
  </sheetViews>
  <sheetFormatPr defaultRowHeight="15" x14ac:dyDescent="0.25"/>
  <cols>
    <col min="1" max="1" width="19" bestFit="1" customWidth="1"/>
    <col min="2" max="2" width="7.85546875" style="96" bestFit="1" customWidth="1"/>
    <col min="3" max="5" width="9.140625" style="96"/>
    <col min="7" max="7" width="24.42578125" customWidth="1"/>
    <col min="8" max="8" width="12.28515625" customWidth="1"/>
  </cols>
  <sheetData>
    <row r="2" spans="1:9" x14ac:dyDescent="0.25">
      <c r="A2" s="461" t="s">
        <v>124</v>
      </c>
      <c r="B2" s="461"/>
      <c r="C2" s="461"/>
      <c r="D2" s="461"/>
      <c r="E2" s="461"/>
      <c r="F2" s="141"/>
      <c r="G2" s="461" t="s">
        <v>136</v>
      </c>
      <c r="H2" s="461"/>
      <c r="I2" s="141"/>
    </row>
    <row r="3" spans="1:9" ht="24.75" x14ac:dyDescent="0.25">
      <c r="A3" s="463" t="s">
        <v>5</v>
      </c>
      <c r="B3" s="463"/>
      <c r="C3" s="142" t="s">
        <v>111</v>
      </c>
      <c r="D3" s="143" t="s">
        <v>125</v>
      </c>
      <c r="E3" s="144" t="s">
        <v>126</v>
      </c>
      <c r="F3" s="141"/>
      <c r="G3" s="159" t="s">
        <v>5</v>
      </c>
      <c r="H3" s="160" t="s">
        <v>138</v>
      </c>
      <c r="I3" s="141"/>
    </row>
    <row r="4" spans="1:9" ht="24" x14ac:dyDescent="0.25">
      <c r="A4" s="464" t="s">
        <v>204</v>
      </c>
      <c r="B4" s="145" t="s">
        <v>127</v>
      </c>
      <c r="C4" s="146" t="s">
        <v>150</v>
      </c>
      <c r="D4" s="147">
        <v>3.5</v>
      </c>
      <c r="E4" s="148">
        <v>7</v>
      </c>
      <c r="F4" s="141"/>
      <c r="G4" s="145" t="s">
        <v>132</v>
      </c>
      <c r="H4" s="161" t="s">
        <v>160</v>
      </c>
      <c r="I4" s="141"/>
    </row>
    <row r="5" spans="1:9" ht="24" x14ac:dyDescent="0.25">
      <c r="A5" s="465"/>
      <c r="B5" s="149" t="s">
        <v>128</v>
      </c>
      <c r="C5" s="150" t="s">
        <v>159</v>
      </c>
      <c r="D5" s="151">
        <v>4.2</v>
      </c>
      <c r="E5" s="152">
        <v>21</v>
      </c>
      <c r="F5" s="141"/>
      <c r="G5" s="155" t="s">
        <v>133</v>
      </c>
      <c r="H5" s="162">
        <v>0.20590321073206833</v>
      </c>
      <c r="I5" s="141"/>
    </row>
    <row r="6" spans="1:9" x14ac:dyDescent="0.25">
      <c r="A6" s="465"/>
      <c r="B6" s="149" t="s">
        <v>129</v>
      </c>
      <c r="C6" s="150" t="s">
        <v>140</v>
      </c>
      <c r="D6" s="153"/>
      <c r="E6" s="154"/>
      <c r="F6" s="141"/>
      <c r="G6" s="462" t="s">
        <v>135</v>
      </c>
      <c r="H6" s="462"/>
      <c r="I6" s="141"/>
    </row>
    <row r="7" spans="1:9" x14ac:dyDescent="0.25">
      <c r="A7" s="466"/>
      <c r="B7" s="155" t="s">
        <v>108</v>
      </c>
      <c r="C7" s="156">
        <v>10</v>
      </c>
      <c r="D7" s="157"/>
      <c r="E7" s="158"/>
      <c r="F7" s="141"/>
      <c r="G7" s="462" t="s">
        <v>142</v>
      </c>
      <c r="H7" s="462"/>
      <c r="I7" s="141"/>
    </row>
    <row r="8" spans="1:9" x14ac:dyDescent="0.25">
      <c r="A8" s="462" t="s">
        <v>237</v>
      </c>
      <c r="B8" s="462"/>
      <c r="C8" s="462"/>
      <c r="D8" s="462"/>
      <c r="E8" s="462"/>
      <c r="F8" s="141"/>
    </row>
    <row r="9" spans="1:9" x14ac:dyDescent="0.25">
      <c r="A9" s="467" t="s">
        <v>238</v>
      </c>
      <c r="B9" s="467"/>
      <c r="C9" s="467"/>
      <c r="D9" s="467"/>
      <c r="E9" s="467"/>
      <c r="F9" s="141"/>
    </row>
    <row r="10" spans="1:9" x14ac:dyDescent="0.25">
      <c r="A10" s="462" t="s">
        <v>239</v>
      </c>
      <c r="B10" s="462"/>
      <c r="C10" s="462"/>
      <c r="D10" s="462"/>
      <c r="E10" s="462"/>
      <c r="F10" s="141"/>
    </row>
    <row r="11" spans="1:9" x14ac:dyDescent="0.25">
      <c r="B11" s="140"/>
    </row>
    <row r="12" spans="1:9" x14ac:dyDescent="0.25">
      <c r="A12" s="461" t="s">
        <v>165</v>
      </c>
      <c r="B12" s="461"/>
      <c r="C12" s="461"/>
      <c r="D12" s="461"/>
      <c r="E12" s="461"/>
      <c r="F12" s="461"/>
      <c r="G12" s="141"/>
    </row>
    <row r="13" spans="1:9" ht="24.75" x14ac:dyDescent="0.25">
      <c r="A13" s="159" t="s">
        <v>5</v>
      </c>
      <c r="B13" s="142" t="s">
        <v>111</v>
      </c>
      <c r="C13" s="143" t="s">
        <v>53</v>
      </c>
      <c r="D13" s="143" t="s">
        <v>87</v>
      </c>
      <c r="E13" s="143" t="s">
        <v>119</v>
      </c>
      <c r="F13" s="144" t="s">
        <v>120</v>
      </c>
      <c r="G13" s="141"/>
    </row>
    <row r="14" spans="1:9" x14ac:dyDescent="0.25">
      <c r="A14" s="145" t="s">
        <v>202</v>
      </c>
      <c r="B14" s="316">
        <v>10</v>
      </c>
      <c r="C14" s="317">
        <v>1.7999999999999998</v>
      </c>
      <c r="D14" s="318">
        <v>0.4216370213557839</v>
      </c>
      <c r="E14" s="147">
        <v>1</v>
      </c>
      <c r="F14" s="148">
        <v>2</v>
      </c>
      <c r="G14" s="141"/>
    </row>
    <row r="15" spans="1:9" x14ac:dyDescent="0.25">
      <c r="A15" s="155" t="s">
        <v>203</v>
      </c>
      <c r="B15" s="156">
        <v>10</v>
      </c>
      <c r="C15" s="319">
        <v>2.2000000000000002</v>
      </c>
      <c r="D15" s="320">
        <v>0.78881063774661553</v>
      </c>
      <c r="E15" s="321">
        <v>1</v>
      </c>
      <c r="F15" s="322">
        <v>3</v>
      </c>
      <c r="G15" s="141"/>
    </row>
  </sheetData>
  <mergeCells count="10">
    <mergeCell ref="G2:H2"/>
    <mergeCell ref="G6:H6"/>
    <mergeCell ref="G7:H7"/>
    <mergeCell ref="A12:F12"/>
    <mergeCell ref="A2:E2"/>
    <mergeCell ref="A3:B3"/>
    <mergeCell ref="A4:A7"/>
    <mergeCell ref="A8:E8"/>
    <mergeCell ref="A9:E9"/>
    <mergeCell ref="A10:E10"/>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43334-2474-4E43-872F-BFEF33013FBF}">
  <dimension ref="A1:S21"/>
  <sheetViews>
    <sheetView workbookViewId="0">
      <selection activeCell="B2" sqref="B2:B11"/>
    </sheetView>
  </sheetViews>
  <sheetFormatPr defaultRowHeight="15" x14ac:dyDescent="0.25"/>
  <cols>
    <col min="1" max="1" width="27.140625" bestFit="1" customWidth="1"/>
    <col min="2" max="3" width="11.7109375" bestFit="1" customWidth="1"/>
  </cols>
  <sheetData>
    <row r="1" spans="1:19" x14ac:dyDescent="0.25">
      <c r="B1" s="1" t="s">
        <v>42</v>
      </c>
      <c r="C1" s="1" t="s">
        <v>43</v>
      </c>
    </row>
    <row r="2" spans="1:19" x14ac:dyDescent="0.25">
      <c r="B2" s="3">
        <v>3</v>
      </c>
      <c r="C2">
        <v>2</v>
      </c>
      <c r="D2">
        <f>_xlfn.RANK.AVG(B2,$B$2:$B$11,0)</f>
        <v>3</v>
      </c>
      <c r="E2">
        <f>_xlfn.RANK.AVG(C2,$C$2:$C$11,0)</f>
        <v>4.5</v>
      </c>
      <c r="N2" s="17">
        <f t="shared" ref="N2:N11" si="0">B2-$B$13</f>
        <v>0.60000000000000009</v>
      </c>
      <c r="O2" s="18">
        <f>N2^2</f>
        <v>0.3600000000000001</v>
      </c>
      <c r="P2" s="18">
        <f>C2-$C$13</f>
        <v>0.19999999999999996</v>
      </c>
      <c r="Q2" s="19">
        <f>P2^2</f>
        <v>3.999999999999998E-2</v>
      </c>
      <c r="R2">
        <f>SUM(B2:C2)</f>
        <v>5</v>
      </c>
    </row>
    <row r="3" spans="1:19" x14ac:dyDescent="0.25">
      <c r="B3" s="3">
        <v>3</v>
      </c>
      <c r="C3">
        <v>1</v>
      </c>
      <c r="D3">
        <f t="shared" ref="D3:D11" si="1">_xlfn.RANK.AVG(B3,$B$2:$B$11,0)</f>
        <v>3</v>
      </c>
      <c r="E3">
        <f t="shared" ref="E3:E11" si="2">_xlfn.RANK.AVG(C3,$C$2:$C$11,0)</f>
        <v>9.5</v>
      </c>
      <c r="N3" s="20">
        <f t="shared" si="0"/>
        <v>0.60000000000000009</v>
      </c>
      <c r="O3" s="21">
        <f t="shared" ref="O3:O11" si="3">N3^2</f>
        <v>0.3600000000000001</v>
      </c>
      <c r="P3" s="21">
        <f t="shared" ref="P3:P11" si="4">C3-$C$13</f>
        <v>-0.8</v>
      </c>
      <c r="Q3" s="22">
        <f t="shared" ref="Q3:Q11" si="5">P3^2</f>
        <v>0.64000000000000012</v>
      </c>
      <c r="R3">
        <f t="shared" ref="R3:R11" si="6">SUM(B3:C3)</f>
        <v>4</v>
      </c>
    </row>
    <row r="4" spans="1:19" x14ac:dyDescent="0.25">
      <c r="B4" s="3">
        <v>3</v>
      </c>
      <c r="C4">
        <v>2</v>
      </c>
      <c r="D4">
        <f t="shared" si="1"/>
        <v>3</v>
      </c>
      <c r="E4">
        <f t="shared" si="2"/>
        <v>4.5</v>
      </c>
      <c r="N4" s="20">
        <f t="shared" si="0"/>
        <v>0.60000000000000009</v>
      </c>
      <c r="O4" s="21">
        <f t="shared" si="3"/>
        <v>0.3600000000000001</v>
      </c>
      <c r="P4" s="21">
        <f t="shared" si="4"/>
        <v>0.19999999999999996</v>
      </c>
      <c r="Q4" s="22">
        <f t="shared" si="5"/>
        <v>3.999999999999998E-2</v>
      </c>
      <c r="R4">
        <f t="shared" si="6"/>
        <v>5</v>
      </c>
    </row>
    <row r="5" spans="1:19" x14ac:dyDescent="0.25">
      <c r="B5" s="3">
        <v>2</v>
      </c>
      <c r="C5">
        <v>2</v>
      </c>
      <c r="D5">
        <f t="shared" si="1"/>
        <v>7.5</v>
      </c>
      <c r="E5">
        <f t="shared" si="2"/>
        <v>4.5</v>
      </c>
      <c r="N5" s="20">
        <f t="shared" si="0"/>
        <v>-0.39999999999999991</v>
      </c>
      <c r="O5" s="21">
        <f t="shared" si="3"/>
        <v>0.15999999999999992</v>
      </c>
      <c r="P5" s="21">
        <f t="shared" si="4"/>
        <v>0.19999999999999996</v>
      </c>
      <c r="Q5" s="22">
        <f t="shared" si="5"/>
        <v>3.999999999999998E-2</v>
      </c>
      <c r="R5">
        <f t="shared" si="6"/>
        <v>4</v>
      </c>
    </row>
    <row r="6" spans="1:19" x14ac:dyDescent="0.25">
      <c r="B6" s="3">
        <v>2</v>
      </c>
      <c r="C6">
        <v>2</v>
      </c>
      <c r="D6">
        <f t="shared" si="1"/>
        <v>7.5</v>
      </c>
      <c r="E6">
        <f t="shared" si="2"/>
        <v>4.5</v>
      </c>
      <c r="N6" s="20">
        <f t="shared" si="0"/>
        <v>-0.39999999999999991</v>
      </c>
      <c r="O6" s="21">
        <f t="shared" si="3"/>
        <v>0.15999999999999992</v>
      </c>
      <c r="P6" s="21">
        <f t="shared" si="4"/>
        <v>0.19999999999999996</v>
      </c>
      <c r="Q6" s="22">
        <f t="shared" si="5"/>
        <v>3.999999999999998E-2</v>
      </c>
      <c r="R6">
        <f t="shared" si="6"/>
        <v>4</v>
      </c>
    </row>
    <row r="7" spans="1:19" x14ac:dyDescent="0.25">
      <c r="B7" s="3">
        <v>1</v>
      </c>
      <c r="C7">
        <v>2</v>
      </c>
      <c r="D7">
        <f t="shared" si="1"/>
        <v>10</v>
      </c>
      <c r="E7">
        <f t="shared" si="2"/>
        <v>4.5</v>
      </c>
      <c r="N7" s="20">
        <f t="shared" si="0"/>
        <v>-1.4</v>
      </c>
      <c r="O7" s="21">
        <f t="shared" si="3"/>
        <v>1.9599999999999997</v>
      </c>
      <c r="P7" s="21">
        <f t="shared" si="4"/>
        <v>0.19999999999999996</v>
      </c>
      <c r="Q7" s="22">
        <f t="shared" si="5"/>
        <v>3.999999999999998E-2</v>
      </c>
      <c r="R7">
        <f t="shared" si="6"/>
        <v>3</v>
      </c>
    </row>
    <row r="8" spans="1:19" x14ac:dyDescent="0.25">
      <c r="B8" s="3">
        <v>3</v>
      </c>
      <c r="C8">
        <v>2</v>
      </c>
      <c r="D8">
        <f t="shared" si="1"/>
        <v>3</v>
      </c>
      <c r="E8">
        <f t="shared" si="2"/>
        <v>4.5</v>
      </c>
      <c r="N8" s="20">
        <f t="shared" si="0"/>
        <v>0.60000000000000009</v>
      </c>
      <c r="O8" s="21">
        <f t="shared" si="3"/>
        <v>0.3600000000000001</v>
      </c>
      <c r="P8" s="21">
        <f t="shared" si="4"/>
        <v>0.19999999999999996</v>
      </c>
      <c r="Q8" s="22">
        <f t="shared" si="5"/>
        <v>3.999999999999998E-2</v>
      </c>
      <c r="R8">
        <f t="shared" si="6"/>
        <v>5</v>
      </c>
    </row>
    <row r="9" spans="1:19" x14ac:dyDescent="0.25">
      <c r="B9" s="3">
        <v>2</v>
      </c>
      <c r="C9">
        <v>2</v>
      </c>
      <c r="D9">
        <f t="shared" si="1"/>
        <v>7.5</v>
      </c>
      <c r="E9">
        <f t="shared" si="2"/>
        <v>4.5</v>
      </c>
      <c r="N9" s="20">
        <f t="shared" si="0"/>
        <v>-0.39999999999999991</v>
      </c>
      <c r="O9" s="21">
        <f t="shared" si="3"/>
        <v>0.15999999999999992</v>
      </c>
      <c r="P9" s="21">
        <f t="shared" si="4"/>
        <v>0.19999999999999996</v>
      </c>
      <c r="Q9" s="22">
        <f t="shared" si="5"/>
        <v>3.999999999999998E-2</v>
      </c>
      <c r="R9">
        <f t="shared" si="6"/>
        <v>4</v>
      </c>
    </row>
    <row r="10" spans="1:19" x14ac:dyDescent="0.25">
      <c r="B10" s="3">
        <v>2</v>
      </c>
      <c r="C10">
        <v>1</v>
      </c>
      <c r="D10">
        <f t="shared" si="1"/>
        <v>7.5</v>
      </c>
      <c r="E10">
        <f t="shared" si="2"/>
        <v>9.5</v>
      </c>
      <c r="N10" s="20">
        <f t="shared" si="0"/>
        <v>-0.39999999999999991</v>
      </c>
      <c r="O10" s="21">
        <f t="shared" si="3"/>
        <v>0.15999999999999992</v>
      </c>
      <c r="P10" s="21">
        <f t="shared" si="4"/>
        <v>-0.8</v>
      </c>
      <c r="Q10" s="22">
        <f t="shared" si="5"/>
        <v>0.64000000000000012</v>
      </c>
      <c r="R10">
        <f t="shared" si="6"/>
        <v>3</v>
      </c>
    </row>
    <row r="11" spans="1:19" x14ac:dyDescent="0.25">
      <c r="B11" s="3">
        <v>3</v>
      </c>
      <c r="C11">
        <v>2</v>
      </c>
      <c r="D11">
        <f t="shared" si="1"/>
        <v>3</v>
      </c>
      <c r="E11">
        <f t="shared" si="2"/>
        <v>4.5</v>
      </c>
      <c r="N11" s="23">
        <f t="shared" si="0"/>
        <v>0.60000000000000009</v>
      </c>
      <c r="O11" s="24">
        <f t="shared" si="3"/>
        <v>0.3600000000000001</v>
      </c>
      <c r="P11" s="24">
        <f t="shared" si="4"/>
        <v>0.19999999999999996</v>
      </c>
      <c r="Q11" s="25">
        <f t="shared" si="5"/>
        <v>3.999999999999998E-2</v>
      </c>
      <c r="R11">
        <f t="shared" si="6"/>
        <v>5</v>
      </c>
    </row>
    <row r="12" spans="1:19" x14ac:dyDescent="0.25">
      <c r="A12" t="s">
        <v>92</v>
      </c>
      <c r="B12" s="3">
        <f>_xlfn.VAR.P(B2:B11)</f>
        <v>0.44</v>
      </c>
      <c r="C12" s="3">
        <f>_xlfn.VAR.P(C2:C11)</f>
        <v>0.16</v>
      </c>
      <c r="N12" s="21"/>
      <c r="O12" s="21"/>
      <c r="P12" s="21"/>
      <c r="Q12" s="21"/>
      <c r="R12">
        <f>SUBTOTAL(9,R2:R11)</f>
        <v>42</v>
      </c>
      <c r="S12">
        <f>SUM(B12:C12)</f>
        <v>0.6</v>
      </c>
    </row>
    <row r="13" spans="1:19" x14ac:dyDescent="0.25">
      <c r="A13" t="s">
        <v>53</v>
      </c>
      <c r="B13" s="28">
        <f>AVERAGE(B2:B11)</f>
        <v>2.4</v>
      </c>
      <c r="C13" s="28">
        <f>AVERAGE(C2:C11)</f>
        <v>1.8</v>
      </c>
    </row>
    <row r="14" spans="1:19" x14ac:dyDescent="0.25">
      <c r="A14" t="s">
        <v>87</v>
      </c>
      <c r="B14" s="15">
        <f>_xlfn.STDEV.P(B2:B11,C2:C11)</f>
        <v>0.62449979983983983</v>
      </c>
      <c r="C14" s="28"/>
    </row>
    <row r="15" spans="1:19" x14ac:dyDescent="0.25">
      <c r="A15" t="s">
        <v>103</v>
      </c>
      <c r="B15" s="38">
        <f>-SQRT(0.0347)</f>
        <v>-0.18627936010197158</v>
      </c>
      <c r="C15" s="15"/>
    </row>
    <row r="16" spans="1:19" x14ac:dyDescent="0.25">
      <c r="A16" t="s">
        <v>26</v>
      </c>
      <c r="B16" s="10">
        <f>CORREL(E2:E11,D2:D11)</f>
        <v>-4.8112522432468816E-2</v>
      </c>
      <c r="C16">
        <f>B16*SQRT(B19)/(1-B16^2)</f>
        <v>-0.13639850075822804</v>
      </c>
      <c r="D16" s="2"/>
    </row>
    <row r="17" spans="1:3" x14ac:dyDescent="0.25">
      <c r="A17" t="s">
        <v>111</v>
      </c>
      <c r="B17" s="33">
        <v>10</v>
      </c>
    </row>
    <row r="18" spans="1:3" x14ac:dyDescent="0.25">
      <c r="A18" t="s">
        <v>107</v>
      </c>
      <c r="B18" s="12">
        <f>_xlfn.T.DIST.2T(ABS(C16),B19)</f>
        <v>0.89487624717375447</v>
      </c>
    </row>
    <row r="19" spans="1:3" x14ac:dyDescent="0.25">
      <c r="A19" t="s">
        <v>109</v>
      </c>
      <c r="B19" s="33">
        <f>B17-2</f>
        <v>8</v>
      </c>
    </row>
    <row r="20" spans="1:3" x14ac:dyDescent="0.25">
      <c r="A20" t="s">
        <v>90</v>
      </c>
      <c r="B20" s="26" t="s">
        <v>97</v>
      </c>
      <c r="C20" s="16">
        <f>SQRT(SUM(Q2:Q11)/(B17*(B17-1)))</f>
        <v>0.13333333333333336</v>
      </c>
    </row>
    <row r="21" spans="1:3" x14ac:dyDescent="0.25">
      <c r="A21" t="s">
        <v>91</v>
      </c>
      <c r="B21" s="16">
        <f>SQRT(SUM(O1:O9)/(B17*(B17-1)))</f>
        <v>0.20763215336529914</v>
      </c>
      <c r="C21" s="26" t="s">
        <v>96</v>
      </c>
    </row>
  </sheetData>
  <pageMargins left="0.7" right="0.7" top="0.75" bottom="0.75" header="0.3" footer="0.3"/>
  <pageSetup orientation="portrait" horizontalDpi="4294967293" verticalDpi="4294967293"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8F933-0EBA-4FC8-BA37-34670B9A3AA7}">
  <sheetPr>
    <tabColor theme="9"/>
  </sheetPr>
  <dimension ref="A1:C18"/>
  <sheetViews>
    <sheetView workbookViewId="0">
      <selection activeCell="C14" sqref="C14"/>
    </sheetView>
  </sheetViews>
  <sheetFormatPr defaultRowHeight="15" x14ac:dyDescent="0.25"/>
  <cols>
    <col min="1" max="1" width="19" bestFit="1" customWidth="1"/>
    <col min="2" max="3" width="11.7109375" bestFit="1" customWidth="1"/>
  </cols>
  <sheetData>
    <row r="1" spans="1:3" x14ac:dyDescent="0.25">
      <c r="B1" s="1" t="s">
        <v>42</v>
      </c>
      <c r="C1" s="1" t="s">
        <v>43</v>
      </c>
    </row>
    <row r="2" spans="1:3" x14ac:dyDescent="0.25">
      <c r="B2" s="3">
        <v>3</v>
      </c>
      <c r="C2">
        <v>2</v>
      </c>
    </row>
    <row r="3" spans="1:3" x14ac:dyDescent="0.25">
      <c r="B3" s="3">
        <v>3</v>
      </c>
      <c r="C3">
        <v>1</v>
      </c>
    </row>
    <row r="4" spans="1:3" x14ac:dyDescent="0.25">
      <c r="B4" s="3">
        <v>3</v>
      </c>
      <c r="C4">
        <v>2</v>
      </c>
    </row>
    <row r="5" spans="1:3" x14ac:dyDescent="0.25">
      <c r="B5" s="3">
        <v>2</v>
      </c>
      <c r="C5">
        <v>2</v>
      </c>
    </row>
    <row r="6" spans="1:3" x14ac:dyDescent="0.25">
      <c r="B6" s="3">
        <v>2</v>
      </c>
      <c r="C6">
        <v>2</v>
      </c>
    </row>
    <row r="7" spans="1:3" x14ac:dyDescent="0.25">
      <c r="B7" s="3">
        <v>1</v>
      </c>
      <c r="C7">
        <v>2</v>
      </c>
    </row>
    <row r="8" spans="1:3" x14ac:dyDescent="0.25">
      <c r="B8" s="3">
        <v>3</v>
      </c>
      <c r="C8">
        <v>2</v>
      </c>
    </row>
    <row r="9" spans="1:3" x14ac:dyDescent="0.25">
      <c r="B9" s="3">
        <v>2</v>
      </c>
      <c r="C9">
        <v>2</v>
      </c>
    </row>
    <row r="10" spans="1:3" x14ac:dyDescent="0.25">
      <c r="B10" s="3">
        <v>2</v>
      </c>
      <c r="C10">
        <v>1</v>
      </c>
    </row>
    <row r="11" spans="1:3" x14ac:dyDescent="0.25">
      <c r="B11" s="3">
        <v>1</v>
      </c>
      <c r="C11">
        <v>2</v>
      </c>
    </row>
    <row r="12" spans="1:3" x14ac:dyDescent="0.25">
      <c r="B12" s="3" t="s">
        <v>52</v>
      </c>
      <c r="C12" t="s">
        <v>51</v>
      </c>
    </row>
    <row r="13" spans="1:3" x14ac:dyDescent="0.25">
      <c r="A13" t="s">
        <v>54</v>
      </c>
      <c r="B13" s="13">
        <f>COUNTIF(B2:B11,1)/10</f>
        <v>0.2</v>
      </c>
      <c r="C13" s="13">
        <f>COUNTIF(C2:C11,1)/10</f>
        <v>0.2</v>
      </c>
    </row>
    <row r="14" spans="1:3" x14ac:dyDescent="0.25">
      <c r="A14" t="s">
        <v>55</v>
      </c>
      <c r="B14" s="13">
        <f>COUNTIF(B2:B11,2)/10</f>
        <v>0.4</v>
      </c>
      <c r="C14" s="13">
        <f>COUNTIF(C2:C11,2)/10</f>
        <v>0.8</v>
      </c>
    </row>
    <row r="15" spans="1:3" x14ac:dyDescent="0.25">
      <c r="A15" t="s">
        <v>56</v>
      </c>
      <c r="B15" s="13">
        <f>COUNTIF(B2:B11,3)/10</f>
        <v>0.4</v>
      </c>
      <c r="C15" s="13">
        <f>COUNTIF(C2:C11,3)/10</f>
        <v>0</v>
      </c>
    </row>
    <row r="16" spans="1:3" x14ac:dyDescent="0.25">
      <c r="A16" t="s">
        <v>57</v>
      </c>
      <c r="B16" s="13">
        <f>COUNTIF(B2:B11,4)/10</f>
        <v>0</v>
      </c>
      <c r="C16" s="13">
        <f>COUNTIF(C2:C11,4)/10</f>
        <v>0</v>
      </c>
    </row>
    <row r="17" spans="1:3" x14ac:dyDescent="0.25">
      <c r="A17" t="s">
        <v>58</v>
      </c>
      <c r="B17" s="13">
        <f>COUNTIF(B2:B11,5)/10</f>
        <v>0</v>
      </c>
      <c r="C17" s="13">
        <f>COUNTIF(C2:C11,5)/10</f>
        <v>0</v>
      </c>
    </row>
    <row r="18" spans="1:3" x14ac:dyDescent="0.25">
      <c r="B18" s="16"/>
      <c r="C18" s="16"/>
    </row>
  </sheetData>
  <pageMargins left="0.7" right="0.7" top="0.75" bottom="0.75" header="0.3" footer="0.3"/>
  <pageSetup orientation="portrait" horizontalDpi="4294967293" verticalDpi="4294967293"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6DF00-195B-492E-8FC8-335347ECD95D}">
  <dimension ref="A2:J20"/>
  <sheetViews>
    <sheetView workbookViewId="0">
      <selection activeCell="H2" sqref="H2:I7"/>
    </sheetView>
  </sheetViews>
  <sheetFormatPr defaultRowHeight="15" x14ac:dyDescent="0.25"/>
  <cols>
    <col min="1" max="1" width="19" bestFit="1" customWidth="1"/>
    <col min="9" max="9" width="21" customWidth="1"/>
  </cols>
  <sheetData>
    <row r="2" spans="1:10" x14ac:dyDescent="0.25">
      <c r="A2" s="469" t="s">
        <v>124</v>
      </c>
      <c r="B2" s="469"/>
      <c r="C2" s="469"/>
      <c r="D2" s="469"/>
      <c r="E2" s="469"/>
      <c r="F2" s="323"/>
      <c r="H2" s="469" t="s">
        <v>136</v>
      </c>
      <c r="I2" s="469"/>
      <c r="J2" s="323"/>
    </row>
    <row r="3" spans="1:10" s="260" customFormat="1" ht="24" x14ac:dyDescent="0.25">
      <c r="A3" s="474" t="s">
        <v>5</v>
      </c>
      <c r="B3" s="474"/>
      <c r="C3" s="343" t="s">
        <v>111</v>
      </c>
      <c r="D3" s="344" t="s">
        <v>125</v>
      </c>
      <c r="E3" s="345" t="s">
        <v>126</v>
      </c>
      <c r="F3" s="346"/>
      <c r="H3" s="347" t="s">
        <v>5</v>
      </c>
      <c r="I3" s="348" t="s">
        <v>205</v>
      </c>
      <c r="J3" s="346"/>
    </row>
    <row r="4" spans="1:10" ht="24" x14ac:dyDescent="0.25">
      <c r="A4" s="471" t="s">
        <v>205</v>
      </c>
      <c r="B4" s="327" t="s">
        <v>127</v>
      </c>
      <c r="C4" s="328" t="s">
        <v>187</v>
      </c>
      <c r="D4" s="329">
        <v>0</v>
      </c>
      <c r="E4" s="330">
        <v>0</v>
      </c>
      <c r="F4" s="323"/>
      <c r="H4" s="327" t="s">
        <v>132</v>
      </c>
      <c r="I4" s="341" t="s">
        <v>209</v>
      </c>
      <c r="J4" s="323"/>
    </row>
    <row r="5" spans="1:10" ht="36" x14ac:dyDescent="0.25">
      <c r="A5" s="472"/>
      <c r="B5" s="331" t="s">
        <v>128</v>
      </c>
      <c r="C5" s="332" t="s">
        <v>151</v>
      </c>
      <c r="D5" s="333">
        <v>4.5</v>
      </c>
      <c r="E5" s="334">
        <v>36</v>
      </c>
      <c r="F5" s="323"/>
      <c r="H5" s="337" t="s">
        <v>133</v>
      </c>
      <c r="I5" s="342">
        <v>8.2992159952807679E-3</v>
      </c>
      <c r="J5" s="323"/>
    </row>
    <row r="6" spans="1:10" x14ac:dyDescent="0.25">
      <c r="A6" s="472"/>
      <c r="B6" s="331" t="s">
        <v>129</v>
      </c>
      <c r="C6" s="332" t="s">
        <v>148</v>
      </c>
      <c r="D6" s="335"/>
      <c r="E6" s="336"/>
      <c r="F6" s="323"/>
      <c r="H6" s="468" t="s">
        <v>135</v>
      </c>
      <c r="I6" s="468"/>
      <c r="J6" s="323"/>
    </row>
    <row r="7" spans="1:10" x14ac:dyDescent="0.25">
      <c r="A7" s="473"/>
      <c r="B7" s="337" t="s">
        <v>108</v>
      </c>
      <c r="C7" s="338">
        <v>10</v>
      </c>
      <c r="D7" s="339"/>
      <c r="E7" s="340"/>
      <c r="F7" s="323"/>
      <c r="H7" s="468" t="s">
        <v>142</v>
      </c>
      <c r="I7" s="468"/>
      <c r="J7" s="323"/>
    </row>
    <row r="8" spans="1:10" x14ac:dyDescent="0.25">
      <c r="A8" s="468" t="s">
        <v>206</v>
      </c>
      <c r="B8" s="468"/>
      <c r="C8" s="468"/>
      <c r="D8" s="468"/>
      <c r="E8" s="468"/>
      <c r="F8" s="323"/>
    </row>
    <row r="9" spans="1:10" x14ac:dyDescent="0.25">
      <c r="A9" s="468" t="s">
        <v>207</v>
      </c>
      <c r="B9" s="468"/>
      <c r="C9" s="468"/>
      <c r="D9" s="468"/>
      <c r="E9" s="468"/>
      <c r="F9" s="323"/>
    </row>
    <row r="10" spans="1:10" x14ac:dyDescent="0.25">
      <c r="A10" s="468" t="s">
        <v>208</v>
      </c>
      <c r="B10" s="468"/>
      <c r="C10" s="468"/>
      <c r="D10" s="468"/>
      <c r="E10" s="468"/>
      <c r="F10" s="323"/>
    </row>
    <row r="12" spans="1:10" x14ac:dyDescent="0.25">
      <c r="A12" s="469" t="s">
        <v>124</v>
      </c>
      <c r="B12" s="469"/>
      <c r="C12" s="469"/>
      <c r="D12" s="469"/>
      <c r="E12" s="469"/>
      <c r="F12" s="323"/>
    </row>
    <row r="13" spans="1:10" ht="24.75" x14ac:dyDescent="0.25">
      <c r="A13" s="470" t="s">
        <v>5</v>
      </c>
      <c r="B13" s="470"/>
      <c r="C13" s="324" t="s">
        <v>111</v>
      </c>
      <c r="D13" s="325" t="s">
        <v>125</v>
      </c>
      <c r="E13" s="326" t="s">
        <v>126</v>
      </c>
      <c r="F13" s="323"/>
    </row>
    <row r="14" spans="1:10" ht="24" x14ac:dyDescent="0.25">
      <c r="A14" s="471" t="s">
        <v>205</v>
      </c>
      <c r="B14" s="327" t="s">
        <v>127</v>
      </c>
      <c r="C14" s="328" t="s">
        <v>187</v>
      </c>
      <c r="D14" s="329">
        <v>0</v>
      </c>
      <c r="E14" s="330">
        <v>0</v>
      </c>
      <c r="F14" s="323"/>
    </row>
    <row r="15" spans="1:10" ht="24" x14ac:dyDescent="0.25">
      <c r="A15" s="472"/>
      <c r="B15" s="331" t="s">
        <v>128</v>
      </c>
      <c r="C15" s="332" t="s">
        <v>151</v>
      </c>
      <c r="D15" s="333">
        <v>4.5</v>
      </c>
      <c r="E15" s="334">
        <v>36</v>
      </c>
      <c r="F15" s="323"/>
    </row>
    <row r="16" spans="1:10" x14ac:dyDescent="0.25">
      <c r="A16" s="472"/>
      <c r="B16" s="331" t="s">
        <v>129</v>
      </c>
      <c r="C16" s="332" t="s">
        <v>148</v>
      </c>
      <c r="D16" s="335"/>
      <c r="E16" s="336"/>
      <c r="F16" s="323"/>
    </row>
    <row r="17" spans="1:6" x14ac:dyDescent="0.25">
      <c r="A17" s="473"/>
      <c r="B17" s="337" t="s">
        <v>108</v>
      </c>
      <c r="C17" s="338">
        <v>10</v>
      </c>
      <c r="D17" s="339"/>
      <c r="E17" s="340"/>
      <c r="F17" s="323"/>
    </row>
    <row r="18" spans="1:6" x14ac:dyDescent="0.25">
      <c r="A18" s="468" t="s">
        <v>206</v>
      </c>
      <c r="B18" s="468"/>
      <c r="C18" s="468"/>
      <c r="D18" s="468"/>
      <c r="E18" s="468"/>
      <c r="F18" s="323"/>
    </row>
    <row r="19" spans="1:6" x14ac:dyDescent="0.25">
      <c r="A19" s="468" t="s">
        <v>207</v>
      </c>
      <c r="B19" s="468"/>
      <c r="C19" s="468"/>
      <c r="D19" s="468"/>
      <c r="E19" s="468"/>
      <c r="F19" s="323"/>
    </row>
    <row r="20" spans="1:6" x14ac:dyDescent="0.25">
      <c r="A20" s="468" t="s">
        <v>208</v>
      </c>
      <c r="B20" s="468"/>
      <c r="C20" s="468"/>
      <c r="D20" s="468"/>
      <c r="E20" s="468"/>
      <c r="F20" s="323"/>
    </row>
  </sheetData>
  <mergeCells count="15">
    <mergeCell ref="A18:E18"/>
    <mergeCell ref="A19:E19"/>
    <mergeCell ref="A20:E20"/>
    <mergeCell ref="H2:I2"/>
    <mergeCell ref="H6:I6"/>
    <mergeCell ref="H7:I7"/>
    <mergeCell ref="A12:E12"/>
    <mergeCell ref="A13:B13"/>
    <mergeCell ref="A14:A17"/>
    <mergeCell ref="A2:E2"/>
    <mergeCell ref="A3:B3"/>
    <mergeCell ref="A4:A7"/>
    <mergeCell ref="A8:E8"/>
    <mergeCell ref="A9:E9"/>
    <mergeCell ref="A10:E10"/>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47464-FFEC-4EDA-B0CE-287342946941}">
  <dimension ref="A1:S21"/>
  <sheetViews>
    <sheetView zoomScaleNormal="100" workbookViewId="0">
      <selection activeCell="B20" sqref="A20:XFD21"/>
    </sheetView>
  </sheetViews>
  <sheetFormatPr defaultRowHeight="15" x14ac:dyDescent="0.25"/>
  <cols>
    <col min="1" max="1" width="27.140625" bestFit="1" customWidth="1"/>
    <col min="3" max="3" width="9.140625" customWidth="1"/>
  </cols>
  <sheetData>
    <row r="1" spans="1:19" x14ac:dyDescent="0.25">
      <c r="B1" s="1" t="s">
        <v>44</v>
      </c>
      <c r="C1" s="1" t="s">
        <v>45</v>
      </c>
    </row>
    <row r="2" spans="1:19" x14ac:dyDescent="0.25">
      <c r="B2" s="3">
        <v>1</v>
      </c>
      <c r="C2">
        <v>1</v>
      </c>
      <c r="D2">
        <f>_xlfn.RANK.AVG(B2,$B$2:$B$9,0)</f>
        <v>5</v>
      </c>
      <c r="E2">
        <f>_xlfn.RANK.AVG(C2,$C$2:$C$11,0)</f>
        <v>8.5</v>
      </c>
      <c r="N2" s="17">
        <f>B2-$B$12</f>
        <v>0.79</v>
      </c>
      <c r="O2" s="18">
        <f>N2^2</f>
        <v>0.6241000000000001</v>
      </c>
      <c r="P2" s="18">
        <f>C2-$C$13</f>
        <v>-0.7</v>
      </c>
      <c r="Q2" s="19">
        <f>P2^2</f>
        <v>0.48999999999999994</v>
      </c>
      <c r="R2">
        <f>SUM(B2:C2)</f>
        <v>2</v>
      </c>
    </row>
    <row r="3" spans="1:19" x14ac:dyDescent="0.25">
      <c r="B3" s="3">
        <v>1</v>
      </c>
      <c r="C3">
        <v>1</v>
      </c>
      <c r="D3">
        <f t="shared" ref="D3:D11" si="0">_xlfn.RANK.AVG(B3,$B$2:$B$9,0)</f>
        <v>5</v>
      </c>
      <c r="E3">
        <f t="shared" ref="E3:E11" si="1">_xlfn.RANK.AVG(C3,$C$2:$C$11,0)</f>
        <v>8.5</v>
      </c>
      <c r="N3" s="20">
        <f t="shared" ref="N3:N11" si="2">B3-$B$13</f>
        <v>-0.30000000000000004</v>
      </c>
      <c r="O3" s="21">
        <f t="shared" ref="O3:O11" si="3">N3^2</f>
        <v>9.0000000000000024E-2</v>
      </c>
      <c r="P3" s="21">
        <f t="shared" ref="P3:P11" si="4">C3-$C$13</f>
        <v>-0.7</v>
      </c>
      <c r="Q3" s="22">
        <f t="shared" ref="Q3:Q11" si="5">P3^2</f>
        <v>0.48999999999999994</v>
      </c>
      <c r="R3">
        <f t="shared" ref="R3:R11" si="6">SUM(B3:C3)</f>
        <v>2</v>
      </c>
    </row>
    <row r="4" spans="1:19" x14ac:dyDescent="0.25">
      <c r="B4" s="3">
        <v>1</v>
      </c>
      <c r="C4">
        <v>3</v>
      </c>
      <c r="D4">
        <f t="shared" si="0"/>
        <v>5</v>
      </c>
      <c r="E4">
        <f t="shared" si="1"/>
        <v>1</v>
      </c>
      <c r="N4" s="20">
        <f t="shared" si="2"/>
        <v>-0.30000000000000004</v>
      </c>
      <c r="O4" s="21">
        <f t="shared" si="3"/>
        <v>9.0000000000000024E-2</v>
      </c>
      <c r="P4" s="21">
        <f t="shared" si="4"/>
        <v>1.3</v>
      </c>
      <c r="Q4" s="22">
        <f t="shared" si="5"/>
        <v>1.6900000000000002</v>
      </c>
      <c r="R4">
        <f t="shared" si="6"/>
        <v>4</v>
      </c>
    </row>
    <row r="5" spans="1:19" x14ac:dyDescent="0.25">
      <c r="B5" s="3">
        <v>1</v>
      </c>
      <c r="C5">
        <v>2</v>
      </c>
      <c r="D5">
        <f t="shared" si="0"/>
        <v>5</v>
      </c>
      <c r="E5">
        <f t="shared" si="1"/>
        <v>4</v>
      </c>
      <c r="N5" s="20">
        <f t="shared" si="2"/>
        <v>-0.30000000000000004</v>
      </c>
      <c r="O5" s="21">
        <f t="shared" si="3"/>
        <v>9.0000000000000024E-2</v>
      </c>
      <c r="P5" s="21">
        <f t="shared" si="4"/>
        <v>0.30000000000000004</v>
      </c>
      <c r="Q5" s="22">
        <f t="shared" si="5"/>
        <v>9.0000000000000024E-2</v>
      </c>
      <c r="R5">
        <f t="shared" si="6"/>
        <v>3</v>
      </c>
    </row>
    <row r="6" spans="1:19" x14ac:dyDescent="0.25">
      <c r="B6" s="3">
        <v>2</v>
      </c>
      <c r="C6">
        <v>1</v>
      </c>
      <c r="D6">
        <f t="shared" si="0"/>
        <v>1</v>
      </c>
      <c r="E6">
        <f t="shared" si="1"/>
        <v>8.5</v>
      </c>
      <c r="N6" s="20">
        <f t="shared" si="2"/>
        <v>0.7</v>
      </c>
      <c r="O6" s="21">
        <f t="shared" si="3"/>
        <v>0.48999999999999994</v>
      </c>
      <c r="P6" s="21">
        <f t="shared" si="4"/>
        <v>-0.7</v>
      </c>
      <c r="Q6" s="22">
        <f t="shared" si="5"/>
        <v>0.48999999999999994</v>
      </c>
      <c r="R6">
        <f t="shared" si="6"/>
        <v>3</v>
      </c>
    </row>
    <row r="7" spans="1:19" x14ac:dyDescent="0.25">
      <c r="B7" s="3">
        <v>1</v>
      </c>
      <c r="C7">
        <v>2</v>
      </c>
      <c r="D7">
        <f t="shared" si="0"/>
        <v>5</v>
      </c>
      <c r="E7">
        <f t="shared" si="1"/>
        <v>4</v>
      </c>
      <c r="N7" s="20">
        <f t="shared" si="2"/>
        <v>-0.30000000000000004</v>
      </c>
      <c r="O7" s="21">
        <f t="shared" si="3"/>
        <v>9.0000000000000024E-2</v>
      </c>
      <c r="P7" s="21">
        <f t="shared" si="4"/>
        <v>0.30000000000000004</v>
      </c>
      <c r="Q7" s="22">
        <f t="shared" si="5"/>
        <v>9.0000000000000024E-2</v>
      </c>
      <c r="R7">
        <f t="shared" si="6"/>
        <v>3</v>
      </c>
    </row>
    <row r="8" spans="1:19" x14ac:dyDescent="0.25">
      <c r="B8" s="3">
        <v>1</v>
      </c>
      <c r="C8">
        <v>2</v>
      </c>
      <c r="D8">
        <f t="shared" si="0"/>
        <v>5</v>
      </c>
      <c r="E8">
        <f t="shared" si="1"/>
        <v>4</v>
      </c>
      <c r="N8" s="20">
        <f t="shared" si="2"/>
        <v>-0.30000000000000004</v>
      </c>
      <c r="O8" s="21">
        <f t="shared" si="3"/>
        <v>9.0000000000000024E-2</v>
      </c>
      <c r="P8" s="21">
        <f t="shared" si="4"/>
        <v>0.30000000000000004</v>
      </c>
      <c r="Q8" s="22">
        <f t="shared" si="5"/>
        <v>9.0000000000000024E-2</v>
      </c>
      <c r="R8">
        <f t="shared" si="6"/>
        <v>3</v>
      </c>
    </row>
    <row r="9" spans="1:19" x14ac:dyDescent="0.25">
      <c r="B9" s="3">
        <v>1</v>
      </c>
      <c r="C9">
        <v>2</v>
      </c>
      <c r="D9">
        <f t="shared" si="0"/>
        <v>5</v>
      </c>
      <c r="E9">
        <f t="shared" si="1"/>
        <v>4</v>
      </c>
      <c r="N9" s="20">
        <f t="shared" si="2"/>
        <v>-0.30000000000000004</v>
      </c>
      <c r="O9" s="21">
        <f t="shared" si="3"/>
        <v>9.0000000000000024E-2</v>
      </c>
      <c r="P9" s="21">
        <f t="shared" si="4"/>
        <v>0.30000000000000004</v>
      </c>
      <c r="Q9" s="22">
        <f t="shared" si="5"/>
        <v>9.0000000000000024E-2</v>
      </c>
      <c r="R9">
        <f t="shared" si="6"/>
        <v>3</v>
      </c>
    </row>
    <row r="10" spans="1:19" x14ac:dyDescent="0.25">
      <c r="B10" s="3">
        <v>2</v>
      </c>
      <c r="C10">
        <v>1</v>
      </c>
      <c r="D10">
        <f t="shared" si="0"/>
        <v>1</v>
      </c>
      <c r="E10">
        <f t="shared" si="1"/>
        <v>8.5</v>
      </c>
      <c r="N10" s="20">
        <f t="shared" si="2"/>
        <v>0.7</v>
      </c>
      <c r="O10" s="21">
        <f t="shared" si="3"/>
        <v>0.48999999999999994</v>
      </c>
      <c r="P10" s="21">
        <f t="shared" si="4"/>
        <v>-0.7</v>
      </c>
      <c r="Q10" s="22">
        <f t="shared" si="5"/>
        <v>0.48999999999999994</v>
      </c>
      <c r="R10">
        <f t="shared" si="6"/>
        <v>3</v>
      </c>
    </row>
    <row r="11" spans="1:19" x14ac:dyDescent="0.25">
      <c r="B11" s="3">
        <v>2</v>
      </c>
      <c r="C11">
        <v>2</v>
      </c>
      <c r="D11">
        <f t="shared" si="0"/>
        <v>1</v>
      </c>
      <c r="E11">
        <f t="shared" si="1"/>
        <v>4</v>
      </c>
      <c r="N11" s="23">
        <f t="shared" si="2"/>
        <v>0.7</v>
      </c>
      <c r="O11" s="24">
        <f t="shared" si="3"/>
        <v>0.48999999999999994</v>
      </c>
      <c r="P11" s="24">
        <f t="shared" si="4"/>
        <v>0.30000000000000004</v>
      </c>
      <c r="Q11" s="25">
        <f t="shared" si="5"/>
        <v>9.0000000000000024E-2</v>
      </c>
      <c r="R11">
        <f t="shared" si="6"/>
        <v>4</v>
      </c>
    </row>
    <row r="12" spans="1:19" x14ac:dyDescent="0.25">
      <c r="A12" t="s">
        <v>92</v>
      </c>
      <c r="B12" s="3">
        <f>_xlfn.VAR.P(B2:B11)</f>
        <v>0.21</v>
      </c>
      <c r="C12" s="3">
        <f>_xlfn.VAR.P(C2:C11)</f>
        <v>0.41</v>
      </c>
      <c r="N12" s="21"/>
      <c r="O12" s="21"/>
      <c r="P12" s="21"/>
      <c r="Q12" s="21"/>
      <c r="R12">
        <f>SUBTOTAL(9,R2:R11)</f>
        <v>30</v>
      </c>
      <c r="S12">
        <f>SUM(B12:C12)</f>
        <v>0.62</v>
      </c>
    </row>
    <row r="13" spans="1:19" x14ac:dyDescent="0.25">
      <c r="A13" t="s">
        <v>53</v>
      </c>
      <c r="B13" s="28">
        <f>AVERAGE(B2:B11)</f>
        <v>1.3</v>
      </c>
      <c r="C13" s="28">
        <f>AVERAGE(C2:C11)</f>
        <v>1.7</v>
      </c>
    </row>
    <row r="14" spans="1:19" x14ac:dyDescent="0.25">
      <c r="A14" t="s">
        <v>89</v>
      </c>
      <c r="B14" s="15">
        <f>_xlfn.STDEV.P(B2:B11,C2:C11)</f>
        <v>0.59160797830996159</v>
      </c>
      <c r="C14" s="28"/>
    </row>
    <row r="15" spans="1:19" x14ac:dyDescent="0.25">
      <c r="A15" t="s">
        <v>103</v>
      </c>
      <c r="B15" s="36">
        <f>SQRT(0.0348)</f>
        <v>0.1865475810617763</v>
      </c>
      <c r="C15" s="15"/>
    </row>
    <row r="16" spans="1:19" x14ac:dyDescent="0.25">
      <c r="A16" t="s">
        <v>26</v>
      </c>
      <c r="B16" s="10">
        <f>CORREL(E2:E11,D2:D11)</f>
        <v>-0.3779644730092272</v>
      </c>
      <c r="C16">
        <f>B16*SQRT(B19)/(1-B16^2)</f>
        <v>-1.247219128924647</v>
      </c>
      <c r="D16" s="2"/>
    </row>
    <row r="17" spans="1:3" x14ac:dyDescent="0.25">
      <c r="A17" t="s">
        <v>104</v>
      </c>
      <c r="B17" s="33">
        <v>10</v>
      </c>
    </row>
    <row r="18" spans="1:3" x14ac:dyDescent="0.25">
      <c r="A18" t="s">
        <v>107</v>
      </c>
      <c r="B18" s="12">
        <f>_xlfn.T.DIST.2T(ABS(C16),B19)</f>
        <v>0.24759109709550539</v>
      </c>
    </row>
    <row r="19" spans="1:3" x14ac:dyDescent="0.25">
      <c r="A19" t="s">
        <v>109</v>
      </c>
      <c r="B19" s="33">
        <f>B17-2</f>
        <v>8</v>
      </c>
    </row>
    <row r="20" spans="1:3" x14ac:dyDescent="0.25">
      <c r="A20" t="s">
        <v>90</v>
      </c>
      <c r="B20" s="26" t="s">
        <v>99</v>
      </c>
      <c r="C20" s="16">
        <f>SQRT(SUM(Q2:Q10)/(B17*(B17-1)))</f>
        <v>0.21108186931983416</v>
      </c>
    </row>
    <row r="21" spans="1:3" x14ac:dyDescent="0.25">
      <c r="A21" t="s">
        <v>91</v>
      </c>
      <c r="B21" s="16">
        <f>SQRT(SUM(O2:O11)/(B17*(B17-1)))</f>
        <v>0.17107827967856637</v>
      </c>
      <c r="C21" s="26" t="s">
        <v>98</v>
      </c>
    </row>
  </sheetData>
  <pageMargins left="0.7" right="0.7" top="0.75" bottom="0.75" header="0.3" footer="0.3"/>
  <pageSetup orientation="portrait" horizontalDpi="4294967293" verticalDpi="4294967293"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0FFFA-1439-4082-9B85-79352DA196EE}">
  <sheetPr>
    <tabColor theme="9"/>
  </sheetPr>
  <dimension ref="A1:T18"/>
  <sheetViews>
    <sheetView workbookViewId="0">
      <selection activeCell="N16" sqref="N16"/>
    </sheetView>
  </sheetViews>
  <sheetFormatPr defaultRowHeight="15" x14ac:dyDescent="0.25"/>
  <cols>
    <col min="1" max="1" width="19" bestFit="1" customWidth="1"/>
    <col min="2" max="3" width="11.7109375" bestFit="1" customWidth="1"/>
    <col min="16" max="16" width="9.140625" style="401"/>
    <col min="18" max="18" width="9.140625" style="401"/>
    <col min="20" max="20" width="9.140625" style="401"/>
  </cols>
  <sheetData>
    <row r="1" spans="1:3" x14ac:dyDescent="0.25">
      <c r="B1" s="1" t="s">
        <v>44</v>
      </c>
      <c r="C1" s="1" t="s">
        <v>45</v>
      </c>
    </row>
    <row r="2" spans="1:3" x14ac:dyDescent="0.25">
      <c r="B2" s="3">
        <v>1</v>
      </c>
      <c r="C2">
        <v>3</v>
      </c>
    </row>
    <row r="3" spans="1:3" x14ac:dyDescent="0.25">
      <c r="B3" s="3">
        <v>1</v>
      </c>
      <c r="C3">
        <v>3</v>
      </c>
    </row>
    <row r="4" spans="1:3" x14ac:dyDescent="0.25">
      <c r="B4" s="3">
        <v>1</v>
      </c>
      <c r="C4">
        <v>1</v>
      </c>
    </row>
    <row r="5" spans="1:3" x14ac:dyDescent="0.25">
      <c r="B5" s="3">
        <v>1</v>
      </c>
      <c r="C5">
        <v>2</v>
      </c>
    </row>
    <row r="6" spans="1:3" x14ac:dyDescent="0.25">
      <c r="B6" s="3">
        <v>2</v>
      </c>
      <c r="C6">
        <v>3</v>
      </c>
    </row>
    <row r="7" spans="1:3" x14ac:dyDescent="0.25">
      <c r="B7" s="3">
        <v>3</v>
      </c>
      <c r="C7">
        <v>2</v>
      </c>
    </row>
    <row r="8" spans="1:3" x14ac:dyDescent="0.25">
      <c r="B8" s="3">
        <v>1</v>
      </c>
      <c r="C8">
        <v>2</v>
      </c>
    </row>
    <row r="9" spans="1:3" x14ac:dyDescent="0.25">
      <c r="B9" s="3">
        <v>1</v>
      </c>
      <c r="C9">
        <v>2</v>
      </c>
    </row>
    <row r="10" spans="1:3" x14ac:dyDescent="0.25">
      <c r="B10" s="3">
        <v>2</v>
      </c>
      <c r="C10">
        <v>3</v>
      </c>
    </row>
    <row r="11" spans="1:3" x14ac:dyDescent="0.25">
      <c r="B11" s="3">
        <v>2</v>
      </c>
      <c r="C11">
        <v>2</v>
      </c>
    </row>
    <row r="12" spans="1:3" x14ac:dyDescent="0.25">
      <c r="B12" s="3" t="s">
        <v>52</v>
      </c>
      <c r="C12" t="s">
        <v>51</v>
      </c>
    </row>
    <row r="13" spans="1:3" x14ac:dyDescent="0.25">
      <c r="A13" t="s">
        <v>54</v>
      </c>
      <c r="B13" s="13">
        <f>COUNTIF(B2:B11,1)/10</f>
        <v>0.6</v>
      </c>
      <c r="C13" s="13">
        <f>COUNTIF(C2:C11,1)/10</f>
        <v>0.1</v>
      </c>
    </row>
    <row r="14" spans="1:3" x14ac:dyDescent="0.25">
      <c r="A14" t="s">
        <v>55</v>
      </c>
      <c r="B14" s="13">
        <f>COUNTIF(B2:B11,2)/10</f>
        <v>0.3</v>
      </c>
      <c r="C14" s="13">
        <f>COUNTIF(C2:C11,2)/10</f>
        <v>0.5</v>
      </c>
    </row>
    <row r="15" spans="1:3" x14ac:dyDescent="0.25">
      <c r="A15" t="s">
        <v>56</v>
      </c>
      <c r="B15" s="13">
        <f>COUNTIF(B2:B11,3)/10</f>
        <v>0.1</v>
      </c>
      <c r="C15" s="13">
        <f>COUNTIF(C2:C11,3)/10</f>
        <v>0.4</v>
      </c>
    </row>
    <row r="16" spans="1:3" x14ac:dyDescent="0.25">
      <c r="A16" t="s">
        <v>57</v>
      </c>
      <c r="B16" s="13">
        <f>COUNTIF(B2:B11,4)/10</f>
        <v>0</v>
      </c>
      <c r="C16" s="13">
        <f>COUNTIF(C2:C11,4)/10</f>
        <v>0</v>
      </c>
    </row>
    <row r="17" spans="1:3" x14ac:dyDescent="0.25">
      <c r="A17" t="s">
        <v>58</v>
      </c>
      <c r="B17" s="13">
        <f>COUNTIF(B2:B11,5)/10</f>
        <v>0</v>
      </c>
      <c r="C17" s="13">
        <f>COUNTIF(C2:C11,5)/10</f>
        <v>0</v>
      </c>
    </row>
    <row r="18" spans="1:3" x14ac:dyDescent="0.25">
      <c r="B18" s="16"/>
      <c r="C18" s="16"/>
    </row>
  </sheetData>
  <pageMargins left="0.7" right="0.7" top="0.75" bottom="0.75" header="0.3" footer="0.3"/>
  <pageSetup orientation="portrait" horizontalDpi="4294967293" verticalDpi="4294967293"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9692C-0220-4EEC-BF9F-DCDF7BEAEEBA}">
  <sheetPr>
    <tabColor theme="9"/>
  </sheetPr>
  <dimension ref="A1:Z26"/>
  <sheetViews>
    <sheetView topLeftCell="A13" workbookViewId="0">
      <selection activeCell="B2" sqref="B2:B11"/>
    </sheetView>
  </sheetViews>
  <sheetFormatPr defaultRowHeight="15" x14ac:dyDescent="0.25"/>
  <cols>
    <col min="2" max="3" width="11.7109375" bestFit="1" customWidth="1"/>
    <col min="5" max="9" width="9.140625" style="50"/>
    <col min="10" max="10" width="19" style="50" customWidth="1"/>
    <col min="11" max="11" width="9.140625" style="50"/>
    <col min="16" max="16" width="14.85546875" customWidth="1"/>
    <col min="17" max="17" width="16" customWidth="1"/>
  </cols>
  <sheetData>
    <row r="1" spans="1:26" x14ac:dyDescent="0.25">
      <c r="A1" s="44" t="s">
        <v>121</v>
      </c>
      <c r="B1" s="1" t="s">
        <v>30</v>
      </c>
      <c r="C1" s="1" t="s">
        <v>42</v>
      </c>
      <c r="J1" s="475" t="s">
        <v>124</v>
      </c>
      <c r="K1" s="475"/>
      <c r="L1" s="475"/>
      <c r="M1" s="475"/>
      <c r="N1" s="475"/>
      <c r="O1" s="379"/>
      <c r="P1" s="475" t="s">
        <v>136</v>
      </c>
      <c r="Q1" s="475"/>
      <c r="R1" s="379"/>
      <c r="S1" s="475" t="s">
        <v>257</v>
      </c>
      <c r="T1" s="475"/>
      <c r="U1" s="475"/>
      <c r="V1" s="475"/>
      <c r="W1" s="475"/>
      <c r="X1" s="475"/>
      <c r="Y1" s="475"/>
      <c r="Z1" s="379"/>
    </row>
    <row r="2" spans="1:26" ht="50.25" x14ac:dyDescent="0.25">
      <c r="B2" s="3">
        <v>1</v>
      </c>
      <c r="C2" s="3">
        <v>3</v>
      </c>
      <c r="D2">
        <f>_xlfn.RANK.AVG(B2,$B$2:$B$11,0)</f>
        <v>7</v>
      </c>
      <c r="E2" s="50">
        <f>_xlfn.RANK.AVG(C2,$C$2:$C$11,0)</f>
        <v>2.5</v>
      </c>
      <c r="J2" s="476" t="s">
        <v>5</v>
      </c>
      <c r="K2" s="476"/>
      <c r="L2" s="380" t="s">
        <v>111</v>
      </c>
      <c r="M2" s="381" t="s">
        <v>125</v>
      </c>
      <c r="N2" s="382" t="s">
        <v>126</v>
      </c>
      <c r="O2" s="379"/>
      <c r="P2" s="397" t="s">
        <v>5</v>
      </c>
      <c r="Q2" s="398" t="s">
        <v>243</v>
      </c>
      <c r="R2" s="379"/>
      <c r="S2" s="476" t="s">
        <v>5</v>
      </c>
      <c r="T2" s="476"/>
      <c r="U2" s="476"/>
      <c r="V2" s="380" t="s">
        <v>258</v>
      </c>
      <c r="W2" s="381" t="s">
        <v>267</v>
      </c>
      <c r="X2" s="381" t="s">
        <v>268</v>
      </c>
      <c r="Y2" s="382" t="s">
        <v>259</v>
      </c>
      <c r="Z2" s="379"/>
    </row>
    <row r="3" spans="1:26" ht="24" x14ac:dyDescent="0.25">
      <c r="B3" s="3">
        <v>1</v>
      </c>
      <c r="C3" s="3">
        <v>3</v>
      </c>
      <c r="D3">
        <f t="shared" ref="D3:D11" si="0">_xlfn.RANK.AVG(B3,$B$2:$B$11,0)</f>
        <v>7</v>
      </c>
      <c r="E3" s="50">
        <f t="shared" ref="E3:E11" si="1">_xlfn.RANK.AVG(C3,$C$2:$C$11,0)</f>
        <v>2.5</v>
      </c>
      <c r="F3" s="35"/>
      <c r="G3" s="35"/>
      <c r="J3" s="477" t="s">
        <v>243</v>
      </c>
      <c r="K3" s="383" t="s">
        <v>127</v>
      </c>
      <c r="L3" s="384" t="s">
        <v>137</v>
      </c>
      <c r="M3" s="385">
        <v>5</v>
      </c>
      <c r="N3" s="386">
        <v>5</v>
      </c>
      <c r="O3" s="379"/>
      <c r="P3" s="383" t="s">
        <v>132</v>
      </c>
      <c r="Q3" s="399" t="s">
        <v>227</v>
      </c>
      <c r="R3" s="379"/>
      <c r="S3" s="477" t="s">
        <v>260</v>
      </c>
      <c r="T3" s="477" t="s">
        <v>261</v>
      </c>
      <c r="U3" s="383" t="s">
        <v>262</v>
      </c>
      <c r="V3" s="406">
        <v>-0.50909090909090904</v>
      </c>
      <c r="W3" s="407">
        <v>0.22883378642736038</v>
      </c>
      <c r="X3" s="407">
        <v>-1.8134471605279388</v>
      </c>
      <c r="Y3" s="408">
        <v>6.9762881328414628E-2</v>
      </c>
      <c r="Z3" s="379"/>
    </row>
    <row r="4" spans="1:26" ht="48" x14ac:dyDescent="0.25">
      <c r="B4" s="3">
        <v>1</v>
      </c>
      <c r="C4" s="3">
        <v>3</v>
      </c>
      <c r="D4">
        <f t="shared" si="0"/>
        <v>7</v>
      </c>
      <c r="E4" s="50">
        <f t="shared" si="1"/>
        <v>2.5</v>
      </c>
      <c r="F4" s="34"/>
      <c r="G4" s="34"/>
      <c r="J4" s="478"/>
      <c r="K4" s="387" t="s">
        <v>128</v>
      </c>
      <c r="L4" s="388" t="s">
        <v>139</v>
      </c>
      <c r="M4" s="389">
        <v>3.8333333333333335</v>
      </c>
      <c r="N4" s="390">
        <v>23</v>
      </c>
      <c r="O4" s="379"/>
      <c r="P4" s="393" t="s">
        <v>133</v>
      </c>
      <c r="Q4" s="400">
        <v>0.11370683827932451</v>
      </c>
      <c r="R4" s="379"/>
      <c r="S4" s="478"/>
      <c r="T4" s="478"/>
      <c r="U4" s="387" t="s">
        <v>263</v>
      </c>
      <c r="V4" s="409">
        <v>-0.4375</v>
      </c>
      <c r="W4" s="410">
        <v>0.24231347530110661</v>
      </c>
      <c r="X4" s="410">
        <v>-1.8134471605279392</v>
      </c>
      <c r="Y4" s="411">
        <v>6.976288132841453E-2</v>
      </c>
      <c r="Z4" s="379"/>
    </row>
    <row r="5" spans="1:26" ht="48" x14ac:dyDescent="0.25">
      <c r="B5" s="3">
        <v>1</v>
      </c>
      <c r="C5" s="3">
        <v>2</v>
      </c>
      <c r="D5">
        <f t="shared" si="0"/>
        <v>7</v>
      </c>
      <c r="E5" s="50">
        <f t="shared" si="1"/>
        <v>6.5</v>
      </c>
      <c r="F5" s="34"/>
      <c r="G5" s="34"/>
      <c r="J5" s="478"/>
      <c r="K5" s="387" t="s">
        <v>129</v>
      </c>
      <c r="L5" s="388" t="s">
        <v>140</v>
      </c>
      <c r="M5" s="391"/>
      <c r="N5" s="392"/>
      <c r="O5" s="379"/>
      <c r="P5" s="480" t="s">
        <v>135</v>
      </c>
      <c r="Q5" s="480"/>
      <c r="R5" s="379"/>
      <c r="S5" s="479"/>
      <c r="T5" s="479"/>
      <c r="U5" s="393" t="s">
        <v>264</v>
      </c>
      <c r="V5" s="412">
        <v>-0.60869565217391308</v>
      </c>
      <c r="W5" s="413">
        <v>0.23569678556342913</v>
      </c>
      <c r="X5" s="413">
        <v>-1.8134471605279394</v>
      </c>
      <c r="Y5" s="414">
        <v>6.976288132841453E-2</v>
      </c>
      <c r="Z5" s="379"/>
    </row>
    <row r="6" spans="1:26" x14ac:dyDescent="0.25">
      <c r="B6" s="3">
        <v>1</v>
      </c>
      <c r="C6" s="3">
        <v>2</v>
      </c>
      <c r="D6">
        <f t="shared" si="0"/>
        <v>7</v>
      </c>
      <c r="E6" s="50">
        <f t="shared" si="1"/>
        <v>6.5</v>
      </c>
      <c r="F6" s="34"/>
      <c r="G6" s="34"/>
      <c r="J6" s="479"/>
      <c r="K6" s="393" t="s">
        <v>108</v>
      </c>
      <c r="L6" s="394">
        <v>10</v>
      </c>
      <c r="M6" s="395"/>
      <c r="N6" s="396"/>
      <c r="O6" s="379"/>
      <c r="P6" s="480" t="s">
        <v>142</v>
      </c>
      <c r="Q6" s="480"/>
      <c r="R6" s="379"/>
      <c r="S6" s="480" t="s">
        <v>265</v>
      </c>
      <c r="T6" s="480"/>
      <c r="U6" s="480"/>
      <c r="V6" s="480"/>
      <c r="W6" s="480"/>
      <c r="X6" s="480"/>
      <c r="Y6" s="480"/>
      <c r="Z6" s="379"/>
    </row>
    <row r="7" spans="1:26" x14ac:dyDescent="0.25">
      <c r="B7" s="3">
        <v>1</v>
      </c>
      <c r="C7" s="3">
        <v>3</v>
      </c>
      <c r="D7">
        <f t="shared" si="0"/>
        <v>7</v>
      </c>
      <c r="E7" s="50">
        <f t="shared" si="1"/>
        <v>2.5</v>
      </c>
      <c r="F7" s="34"/>
      <c r="G7" s="34"/>
      <c r="J7" s="480" t="s">
        <v>240</v>
      </c>
      <c r="K7" s="480"/>
      <c r="L7" s="480"/>
      <c r="M7" s="480"/>
      <c r="N7" s="480"/>
      <c r="O7" s="379"/>
      <c r="S7" s="480" t="s">
        <v>266</v>
      </c>
      <c r="T7" s="480"/>
      <c r="U7" s="480"/>
      <c r="V7" s="480"/>
      <c r="W7" s="480"/>
      <c r="X7" s="480"/>
      <c r="Y7" s="480"/>
      <c r="Z7" s="379"/>
    </row>
    <row r="8" spans="1:26" x14ac:dyDescent="0.25">
      <c r="B8" s="3">
        <v>1</v>
      </c>
      <c r="C8" s="3">
        <v>1</v>
      </c>
      <c r="D8">
        <f t="shared" si="0"/>
        <v>7</v>
      </c>
      <c r="E8" s="50">
        <f t="shared" si="1"/>
        <v>9.5</v>
      </c>
      <c r="F8" s="34"/>
      <c r="G8" s="34"/>
      <c r="J8" s="480" t="s">
        <v>241</v>
      </c>
      <c r="K8" s="480"/>
      <c r="L8" s="480"/>
      <c r="M8" s="480"/>
      <c r="N8" s="480"/>
      <c r="O8" s="379"/>
    </row>
    <row r="9" spans="1:26" x14ac:dyDescent="0.25">
      <c r="B9" s="3">
        <v>2</v>
      </c>
      <c r="C9" s="3">
        <v>2</v>
      </c>
      <c r="D9">
        <f t="shared" si="0"/>
        <v>2.5</v>
      </c>
      <c r="E9" s="50">
        <f t="shared" si="1"/>
        <v>6.5</v>
      </c>
      <c r="F9" s="34"/>
      <c r="G9" s="34"/>
      <c r="J9" s="480" t="s">
        <v>242</v>
      </c>
      <c r="K9" s="480"/>
      <c r="L9" s="480"/>
      <c r="M9" s="480"/>
      <c r="N9" s="480"/>
      <c r="O9" s="379"/>
    </row>
    <row r="10" spans="1:26" x14ac:dyDescent="0.25">
      <c r="B10" s="3">
        <v>2</v>
      </c>
      <c r="C10" s="3">
        <v>2</v>
      </c>
      <c r="D10">
        <f t="shared" si="0"/>
        <v>2.5</v>
      </c>
      <c r="E10" s="50">
        <f t="shared" si="1"/>
        <v>6.5</v>
      </c>
      <c r="F10" s="34"/>
      <c r="G10" s="34"/>
    </row>
    <row r="11" spans="1:26" x14ac:dyDescent="0.25">
      <c r="B11" s="3">
        <v>3</v>
      </c>
      <c r="C11" s="3">
        <v>1</v>
      </c>
      <c r="D11">
        <f t="shared" si="0"/>
        <v>1</v>
      </c>
      <c r="E11" s="50">
        <f t="shared" si="1"/>
        <v>9.5</v>
      </c>
      <c r="F11" s="34">
        <f>CORREL(D2:D11,E2:E11)</f>
        <v>-0.52923774675715685</v>
      </c>
      <c r="G11" s="34">
        <f>F11*SQRT(8)/(1-F11^2)</f>
        <v>-2.0793096208834694</v>
      </c>
      <c r="H11" s="50">
        <f>_xlfn.T.DIST.2T(ABS(G11),8)</f>
        <v>7.1191541684270221E-2</v>
      </c>
    </row>
    <row r="12" spans="1:26" x14ac:dyDescent="0.25">
      <c r="E12" s="34"/>
      <c r="F12" s="34"/>
      <c r="G12" s="34"/>
    </row>
    <row r="13" spans="1:26" x14ac:dyDescent="0.25">
      <c r="A13" s="44" t="s">
        <v>122</v>
      </c>
      <c r="B13" s="1" t="s">
        <v>29</v>
      </c>
      <c r="C13" s="1" t="s">
        <v>43</v>
      </c>
      <c r="E13" s="34"/>
      <c r="F13" s="34"/>
      <c r="G13" s="34"/>
      <c r="J13" s="475" t="s">
        <v>124</v>
      </c>
      <c r="K13" s="475"/>
      <c r="L13" s="475"/>
      <c r="M13" s="475"/>
      <c r="N13" s="475"/>
      <c r="O13" s="379"/>
      <c r="P13" s="475" t="s">
        <v>136</v>
      </c>
      <c r="Q13" s="475"/>
      <c r="R13" s="379"/>
      <c r="S13" s="475" t="s">
        <v>257</v>
      </c>
      <c r="T13" s="475"/>
      <c r="U13" s="475"/>
      <c r="V13" s="475"/>
      <c r="W13" s="475"/>
      <c r="X13" s="475"/>
      <c r="Y13" s="475"/>
      <c r="Z13" s="379"/>
    </row>
    <row r="14" spans="1:26" ht="50.25" x14ac:dyDescent="0.25">
      <c r="B14">
        <v>1</v>
      </c>
      <c r="C14">
        <v>2</v>
      </c>
      <c r="D14">
        <f>_xlfn.RANK.AVG(B14,$B$14:$B$23,0)</f>
        <v>7.5</v>
      </c>
      <c r="E14">
        <f>_xlfn.RANK.AVG(C14,$C$14:$C$23,0)</f>
        <v>4.5</v>
      </c>
      <c r="F14" s="34"/>
      <c r="G14" s="34"/>
      <c r="J14" s="476" t="s">
        <v>5</v>
      </c>
      <c r="K14" s="476"/>
      <c r="L14" s="380" t="s">
        <v>111</v>
      </c>
      <c r="M14" s="381" t="s">
        <v>125</v>
      </c>
      <c r="N14" s="382" t="s">
        <v>126</v>
      </c>
      <c r="O14" s="379"/>
      <c r="P14" s="397" t="s">
        <v>5</v>
      </c>
      <c r="Q14" s="398" t="s">
        <v>247</v>
      </c>
      <c r="R14" s="379"/>
      <c r="S14" s="476" t="s">
        <v>5</v>
      </c>
      <c r="T14" s="476"/>
      <c r="U14" s="476"/>
      <c r="V14" s="380" t="s">
        <v>258</v>
      </c>
      <c r="W14" s="381" t="s">
        <v>267</v>
      </c>
      <c r="X14" s="381" t="s">
        <v>268</v>
      </c>
      <c r="Y14" s="382" t="s">
        <v>259</v>
      </c>
      <c r="Z14" s="379"/>
    </row>
    <row r="15" spans="1:26" ht="24" x14ac:dyDescent="0.25">
      <c r="B15">
        <v>1</v>
      </c>
      <c r="C15">
        <v>1</v>
      </c>
      <c r="D15">
        <f t="shared" ref="D15:D23" si="2">_xlfn.RANK.AVG(B15,$B$14:$B$23,0)</f>
        <v>7.5</v>
      </c>
      <c r="E15">
        <f t="shared" ref="E15:E23" si="3">_xlfn.RANK.AVG(C15,$C$14:$C$23,0)</f>
        <v>9.5</v>
      </c>
      <c r="J15" s="477" t="s">
        <v>248</v>
      </c>
      <c r="K15" s="383" t="s">
        <v>127</v>
      </c>
      <c r="L15" s="384" t="s">
        <v>137</v>
      </c>
      <c r="M15" s="385">
        <v>3.5</v>
      </c>
      <c r="N15" s="386">
        <v>3.5</v>
      </c>
      <c r="O15" s="379"/>
      <c r="P15" s="383" t="s">
        <v>132</v>
      </c>
      <c r="Q15" s="399" t="s">
        <v>226</v>
      </c>
      <c r="R15" s="379"/>
      <c r="S15" s="477" t="s">
        <v>260</v>
      </c>
      <c r="T15" s="477" t="s">
        <v>261</v>
      </c>
      <c r="U15" s="383" t="s">
        <v>262</v>
      </c>
      <c r="V15" s="406">
        <v>-0.1</v>
      </c>
      <c r="W15" s="407">
        <v>0.3149900792088538</v>
      </c>
      <c r="X15" s="407">
        <v>-0.3146583877637763</v>
      </c>
      <c r="Y15" s="408">
        <v>0.75302104217732369</v>
      </c>
      <c r="Z15" s="379"/>
    </row>
    <row r="16" spans="1:26" ht="36" x14ac:dyDescent="0.25">
      <c r="B16">
        <v>1</v>
      </c>
      <c r="C16">
        <v>2</v>
      </c>
      <c r="D16">
        <f t="shared" si="2"/>
        <v>7.5</v>
      </c>
      <c r="E16">
        <f t="shared" si="3"/>
        <v>4.5</v>
      </c>
      <c r="J16" s="478"/>
      <c r="K16" s="387" t="s">
        <v>128</v>
      </c>
      <c r="L16" s="388" t="s">
        <v>159</v>
      </c>
      <c r="M16" s="389">
        <v>3.5</v>
      </c>
      <c r="N16" s="390">
        <v>17.5</v>
      </c>
      <c r="O16" s="379"/>
      <c r="P16" s="393" t="s">
        <v>133</v>
      </c>
      <c r="Q16" s="400">
        <v>0.10247043485974951</v>
      </c>
      <c r="R16" s="379"/>
      <c r="S16" s="478"/>
      <c r="T16" s="478"/>
      <c r="U16" s="387" t="s">
        <v>269</v>
      </c>
      <c r="V16" s="409">
        <v>-0.125</v>
      </c>
      <c r="W16" s="410">
        <v>0.39280640906176673</v>
      </c>
      <c r="X16" s="410">
        <v>-0.3146583877637763</v>
      </c>
      <c r="Y16" s="411">
        <v>0.75302104217732369</v>
      </c>
      <c r="Z16" s="379"/>
    </row>
    <row r="17" spans="2:26" ht="36" x14ac:dyDescent="0.25">
      <c r="B17">
        <v>1</v>
      </c>
      <c r="C17">
        <v>2</v>
      </c>
      <c r="D17">
        <f t="shared" si="2"/>
        <v>7.5</v>
      </c>
      <c r="E17">
        <f t="shared" si="3"/>
        <v>4.5</v>
      </c>
      <c r="J17" s="478"/>
      <c r="K17" s="387" t="s">
        <v>129</v>
      </c>
      <c r="L17" s="388" t="s">
        <v>225</v>
      </c>
      <c r="M17" s="391"/>
      <c r="N17" s="392"/>
      <c r="O17" s="379"/>
      <c r="P17" s="480" t="s">
        <v>135</v>
      </c>
      <c r="Q17" s="480"/>
      <c r="R17" s="379"/>
      <c r="S17" s="479"/>
      <c r="T17" s="479"/>
      <c r="U17" s="393" t="s">
        <v>270</v>
      </c>
      <c r="V17" s="412">
        <v>-8.3333333333333329E-2</v>
      </c>
      <c r="W17" s="413">
        <v>0.26461887337857848</v>
      </c>
      <c r="X17" s="413">
        <v>-0.3146583877637763</v>
      </c>
      <c r="Y17" s="414">
        <v>0.75302104217732369</v>
      </c>
      <c r="Z17" s="379"/>
    </row>
    <row r="18" spans="2:26" x14ac:dyDescent="0.25">
      <c r="B18">
        <v>1</v>
      </c>
      <c r="C18">
        <v>2</v>
      </c>
      <c r="D18">
        <f t="shared" si="2"/>
        <v>7.5</v>
      </c>
      <c r="E18">
        <f t="shared" si="3"/>
        <v>4.5</v>
      </c>
      <c r="J18" s="479"/>
      <c r="K18" s="393" t="s">
        <v>108</v>
      </c>
      <c r="L18" s="394">
        <v>10</v>
      </c>
      <c r="M18" s="395"/>
      <c r="N18" s="396"/>
      <c r="O18" s="379"/>
      <c r="P18" s="480" t="s">
        <v>142</v>
      </c>
      <c r="Q18" s="480"/>
      <c r="R18" s="379"/>
      <c r="S18" s="480" t="s">
        <v>265</v>
      </c>
      <c r="T18" s="480"/>
      <c r="U18" s="480"/>
      <c r="V18" s="480"/>
      <c r="W18" s="480"/>
      <c r="X18" s="480"/>
      <c r="Y18" s="480"/>
      <c r="Z18" s="379"/>
    </row>
    <row r="19" spans="2:26" x14ac:dyDescent="0.25">
      <c r="B19">
        <v>1</v>
      </c>
      <c r="C19">
        <v>2</v>
      </c>
      <c r="D19">
        <f t="shared" si="2"/>
        <v>7.5</v>
      </c>
      <c r="E19">
        <f t="shared" si="3"/>
        <v>4.5</v>
      </c>
      <c r="J19" s="480" t="s">
        <v>244</v>
      </c>
      <c r="K19" s="480"/>
      <c r="L19" s="480"/>
      <c r="M19" s="480"/>
      <c r="N19" s="480"/>
      <c r="O19" s="379"/>
      <c r="S19" s="480" t="s">
        <v>266</v>
      </c>
      <c r="T19" s="480"/>
      <c r="U19" s="480"/>
      <c r="V19" s="480"/>
      <c r="W19" s="480"/>
      <c r="X19" s="480"/>
      <c r="Y19" s="480"/>
      <c r="Z19" s="379"/>
    </row>
    <row r="20" spans="2:26" x14ac:dyDescent="0.25">
      <c r="B20">
        <v>2</v>
      </c>
      <c r="C20">
        <v>2</v>
      </c>
      <c r="D20">
        <f t="shared" si="2"/>
        <v>2.5</v>
      </c>
      <c r="E20">
        <f t="shared" si="3"/>
        <v>4.5</v>
      </c>
      <c r="J20" s="480" t="s">
        <v>245</v>
      </c>
      <c r="K20" s="480"/>
      <c r="L20" s="480"/>
      <c r="M20" s="480"/>
      <c r="N20" s="480"/>
      <c r="O20" s="379"/>
    </row>
    <row r="21" spans="2:26" x14ac:dyDescent="0.25">
      <c r="B21">
        <v>2</v>
      </c>
      <c r="C21">
        <v>2</v>
      </c>
      <c r="D21">
        <f t="shared" si="2"/>
        <v>2.5</v>
      </c>
      <c r="E21">
        <f t="shared" si="3"/>
        <v>4.5</v>
      </c>
      <c r="J21" s="480" t="s">
        <v>246</v>
      </c>
      <c r="K21" s="480"/>
      <c r="L21" s="480"/>
      <c r="M21" s="480"/>
      <c r="N21" s="480"/>
      <c r="O21" s="379"/>
    </row>
    <row r="22" spans="2:26" x14ac:dyDescent="0.25">
      <c r="B22">
        <v>2</v>
      </c>
      <c r="C22">
        <v>1</v>
      </c>
      <c r="D22">
        <f t="shared" si="2"/>
        <v>2.5</v>
      </c>
      <c r="E22">
        <f t="shared" si="3"/>
        <v>9.5</v>
      </c>
    </row>
    <row r="23" spans="2:26" x14ac:dyDescent="0.25">
      <c r="B23">
        <v>2</v>
      </c>
      <c r="C23">
        <v>2</v>
      </c>
      <c r="D23">
        <f t="shared" si="2"/>
        <v>2.5</v>
      </c>
      <c r="E23">
        <f t="shared" si="3"/>
        <v>4.5</v>
      </c>
      <c r="F23" s="34">
        <f>CORREL(D14:D23,E14:E23)</f>
        <v>-0.10206207261596577</v>
      </c>
      <c r="G23" s="34">
        <f>F23*SQRT(8)/(1-F23^2)</f>
        <v>-0.29171382022212672</v>
      </c>
      <c r="H23" s="50">
        <f>_xlfn.T.DIST.2T(ABS(G23),8)</f>
        <v>0.77792672127517171</v>
      </c>
    </row>
    <row r="25" spans="2:26" x14ac:dyDescent="0.25">
      <c r="G25" s="403" t="s">
        <v>229</v>
      </c>
      <c r="H25" s="402">
        <f>(H11-H23)/H23</f>
        <v>-0.90848554274164339</v>
      </c>
      <c r="Q25" s="403"/>
      <c r="R25" s="402"/>
    </row>
    <row r="26" spans="2:26" x14ac:dyDescent="0.25">
      <c r="G26" s="403" t="s">
        <v>228</v>
      </c>
      <c r="H26" s="50">
        <f>MEDIAN(H23,H11)</f>
        <v>0.42455913147972096</v>
      </c>
      <c r="Q26" s="403"/>
      <c r="R26" s="50"/>
    </row>
  </sheetData>
  <mergeCells count="30">
    <mergeCell ref="J19:N19"/>
    <mergeCell ref="J20:N20"/>
    <mergeCell ref="J21:N21"/>
    <mergeCell ref="S1:Y1"/>
    <mergeCell ref="S2:U2"/>
    <mergeCell ref="S3:S5"/>
    <mergeCell ref="T3:T5"/>
    <mergeCell ref="S6:Y6"/>
    <mergeCell ref="S7:Y7"/>
    <mergeCell ref="S13:Y13"/>
    <mergeCell ref="S14:U14"/>
    <mergeCell ref="S15:S17"/>
    <mergeCell ref="T15:T17"/>
    <mergeCell ref="S18:Y18"/>
    <mergeCell ref="S19:Y19"/>
    <mergeCell ref="J9:N9"/>
    <mergeCell ref="P1:Q1"/>
    <mergeCell ref="J13:N13"/>
    <mergeCell ref="J14:K14"/>
    <mergeCell ref="J15:J18"/>
    <mergeCell ref="J1:N1"/>
    <mergeCell ref="J2:K2"/>
    <mergeCell ref="J3:J6"/>
    <mergeCell ref="J7:N7"/>
    <mergeCell ref="J8:N8"/>
    <mergeCell ref="P5:Q5"/>
    <mergeCell ref="P6:Q6"/>
    <mergeCell ref="P13:Q13"/>
    <mergeCell ref="P17:Q17"/>
    <mergeCell ref="P18:Q18"/>
  </mergeCells>
  <pageMargins left="0.7" right="0.7" top="0.75" bottom="0.75" header="0.3" footer="0.3"/>
  <pageSetup orientation="portrait" horizontalDpi="4294967293" verticalDpi="4294967293"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0A03B-0357-4C7A-960B-8763DBACF377}">
  <sheetPr>
    <tabColor theme="9"/>
  </sheetPr>
  <dimension ref="A1:Q27"/>
  <sheetViews>
    <sheetView topLeftCell="A10" workbookViewId="0">
      <selection activeCell="C15" sqref="C15"/>
    </sheetView>
  </sheetViews>
  <sheetFormatPr defaultRowHeight="15" x14ac:dyDescent="0.25"/>
  <cols>
    <col min="2" max="3" width="11.7109375" bestFit="1" customWidth="1"/>
    <col min="4" max="7" width="11.7109375" customWidth="1"/>
    <col min="9" max="9" width="9.5703125" bestFit="1" customWidth="1"/>
    <col min="10" max="10" width="7.85546875" bestFit="1" customWidth="1"/>
    <col min="15" max="15" width="17.85546875" customWidth="1"/>
    <col min="16" max="16" width="20.140625" customWidth="1"/>
  </cols>
  <sheetData>
    <row r="1" spans="1:17" x14ac:dyDescent="0.25">
      <c r="A1" s="49" t="s">
        <v>123</v>
      </c>
      <c r="B1" s="1" t="s">
        <v>32</v>
      </c>
      <c r="C1" s="1" t="s">
        <v>45</v>
      </c>
      <c r="D1" s="1"/>
      <c r="E1" s="1"/>
      <c r="F1" s="1"/>
      <c r="G1" s="1"/>
      <c r="I1" s="481" t="s">
        <v>124</v>
      </c>
      <c r="J1" s="481"/>
      <c r="K1" s="481"/>
      <c r="L1" s="481"/>
      <c r="M1" s="481"/>
      <c r="N1" s="163"/>
      <c r="O1" s="481" t="s">
        <v>136</v>
      </c>
      <c r="P1" s="481"/>
      <c r="Q1" s="163"/>
    </row>
    <row r="2" spans="1:17" ht="36.75" x14ac:dyDescent="0.25">
      <c r="B2">
        <v>3</v>
      </c>
      <c r="C2">
        <v>3</v>
      </c>
      <c r="D2">
        <f>_xlfn.RANK.AVG(B2,$B$2:$B$11,0)</f>
        <v>4.5</v>
      </c>
      <c r="E2">
        <f>_xlfn.RANK.AVG(C2,$C$2:$C$11,0)</f>
        <v>2.5</v>
      </c>
      <c r="I2" s="483" t="s">
        <v>5</v>
      </c>
      <c r="J2" s="483"/>
      <c r="K2" s="164" t="s">
        <v>111</v>
      </c>
      <c r="L2" s="165" t="s">
        <v>125</v>
      </c>
      <c r="M2" s="166" t="s">
        <v>126</v>
      </c>
      <c r="N2" s="163"/>
      <c r="O2" s="181" t="s">
        <v>5</v>
      </c>
      <c r="P2" s="182" t="s">
        <v>253</v>
      </c>
      <c r="Q2" s="163"/>
    </row>
    <row r="3" spans="1:17" ht="24" x14ac:dyDescent="0.25">
      <c r="B3">
        <v>3</v>
      </c>
      <c r="C3">
        <v>3</v>
      </c>
      <c r="D3">
        <f t="shared" ref="D3:D11" si="0">_xlfn.RANK.AVG(B3,$B$2:$B$11,0)</f>
        <v>4.5</v>
      </c>
      <c r="E3">
        <f t="shared" ref="E3:E11" si="1">_xlfn.RANK.AVG(C3,$C$2:$C$11,0)</f>
        <v>2.5</v>
      </c>
      <c r="I3" s="484" t="s">
        <v>253</v>
      </c>
      <c r="J3" s="167" t="s">
        <v>127</v>
      </c>
      <c r="K3" s="168" t="s">
        <v>137</v>
      </c>
      <c r="L3" s="169">
        <v>2.5</v>
      </c>
      <c r="M3" s="170">
        <v>2.5</v>
      </c>
      <c r="N3" s="163"/>
      <c r="O3" s="167" t="s">
        <v>132</v>
      </c>
      <c r="P3" s="183" t="s">
        <v>163</v>
      </c>
      <c r="Q3" s="163"/>
    </row>
    <row r="4" spans="1:17" ht="24" x14ac:dyDescent="0.25">
      <c r="B4">
        <v>3</v>
      </c>
      <c r="C4">
        <v>1</v>
      </c>
      <c r="D4">
        <f t="shared" si="0"/>
        <v>4.5</v>
      </c>
      <c r="E4">
        <f t="shared" si="1"/>
        <v>10</v>
      </c>
      <c r="I4" s="485"/>
      <c r="J4" s="171" t="s">
        <v>128</v>
      </c>
      <c r="K4" s="172" t="s">
        <v>161</v>
      </c>
      <c r="L4" s="173">
        <v>3.125</v>
      </c>
      <c r="M4" s="174">
        <v>12.5</v>
      </c>
      <c r="N4" s="163"/>
      <c r="O4" s="177" t="s">
        <v>133</v>
      </c>
      <c r="P4" s="184">
        <v>0.15729920705028519</v>
      </c>
      <c r="Q4" s="163"/>
    </row>
    <row r="5" spans="1:17" x14ac:dyDescent="0.25">
      <c r="B5">
        <v>3</v>
      </c>
      <c r="C5">
        <v>2</v>
      </c>
      <c r="D5">
        <f t="shared" si="0"/>
        <v>4.5</v>
      </c>
      <c r="E5">
        <f t="shared" si="1"/>
        <v>7</v>
      </c>
      <c r="I5" s="485"/>
      <c r="J5" s="171" t="s">
        <v>129</v>
      </c>
      <c r="K5" s="172" t="s">
        <v>162</v>
      </c>
      <c r="L5" s="175"/>
      <c r="M5" s="176"/>
      <c r="N5" s="163"/>
      <c r="O5" s="482" t="s">
        <v>135</v>
      </c>
      <c r="P5" s="482"/>
      <c r="Q5" s="163"/>
    </row>
    <row r="6" spans="1:17" x14ac:dyDescent="0.25">
      <c r="B6">
        <v>3</v>
      </c>
      <c r="C6">
        <v>3</v>
      </c>
      <c r="D6">
        <f t="shared" si="0"/>
        <v>4.5</v>
      </c>
      <c r="E6">
        <f t="shared" si="1"/>
        <v>2.5</v>
      </c>
      <c r="I6" s="486"/>
      <c r="J6" s="177" t="s">
        <v>108</v>
      </c>
      <c r="K6" s="178">
        <v>10</v>
      </c>
      <c r="L6" s="179"/>
      <c r="M6" s="180"/>
      <c r="N6" s="163"/>
      <c r="O6" s="482" t="s">
        <v>142</v>
      </c>
      <c r="P6" s="482"/>
      <c r="Q6" s="163"/>
    </row>
    <row r="7" spans="1:17" x14ac:dyDescent="0.25">
      <c r="B7">
        <v>2</v>
      </c>
      <c r="C7">
        <v>2</v>
      </c>
      <c r="D7">
        <f t="shared" si="0"/>
        <v>9</v>
      </c>
      <c r="E7">
        <f t="shared" si="1"/>
        <v>7</v>
      </c>
      <c r="I7" s="482" t="s">
        <v>254</v>
      </c>
      <c r="J7" s="482"/>
      <c r="K7" s="482"/>
      <c r="L7" s="482"/>
      <c r="M7" s="482"/>
      <c r="N7" s="163"/>
    </row>
    <row r="8" spans="1:17" x14ac:dyDescent="0.25">
      <c r="B8">
        <v>1</v>
      </c>
      <c r="C8">
        <v>2</v>
      </c>
      <c r="D8">
        <f t="shared" si="0"/>
        <v>10</v>
      </c>
      <c r="E8">
        <f t="shared" si="1"/>
        <v>7</v>
      </c>
      <c r="I8" s="482" t="s">
        <v>255</v>
      </c>
      <c r="J8" s="482"/>
      <c r="K8" s="482"/>
      <c r="L8" s="482"/>
      <c r="M8" s="482"/>
      <c r="N8" s="163"/>
    </row>
    <row r="9" spans="1:17" x14ac:dyDescent="0.25">
      <c r="B9">
        <v>3</v>
      </c>
      <c r="C9">
        <v>2</v>
      </c>
      <c r="D9">
        <f t="shared" si="0"/>
        <v>4.5</v>
      </c>
      <c r="E9">
        <f t="shared" si="1"/>
        <v>7</v>
      </c>
      <c r="I9" s="487" t="s">
        <v>256</v>
      </c>
      <c r="J9" s="487"/>
      <c r="K9" s="487"/>
      <c r="L9" s="487"/>
      <c r="M9" s="487"/>
      <c r="N9" s="163"/>
    </row>
    <row r="10" spans="1:17" x14ac:dyDescent="0.25">
      <c r="B10">
        <v>3</v>
      </c>
      <c r="C10">
        <v>3</v>
      </c>
      <c r="D10">
        <f t="shared" si="0"/>
        <v>4.5</v>
      </c>
      <c r="E10">
        <f t="shared" si="1"/>
        <v>2.5</v>
      </c>
    </row>
    <row r="11" spans="1:17" x14ac:dyDescent="0.25">
      <c r="B11">
        <v>3</v>
      </c>
      <c r="C11">
        <v>2</v>
      </c>
      <c r="D11">
        <f t="shared" si="0"/>
        <v>4.5</v>
      </c>
      <c r="E11">
        <f t="shared" si="1"/>
        <v>7</v>
      </c>
      <c r="F11">
        <f>CORREL(D2:D11,E2:E11)</f>
        <v>0.28688765527462351</v>
      </c>
      <c r="G11">
        <f>F11*SQRT(8)/(1-F11^2)</f>
        <v>0.88421578790071687</v>
      </c>
      <c r="H11">
        <f>_xlfn.T.DIST.2T(ABS(G11),8)</f>
        <v>0.40237091858708818</v>
      </c>
    </row>
    <row r="14" spans="1:17" x14ac:dyDescent="0.25">
      <c r="B14" s="1" t="s">
        <v>31</v>
      </c>
      <c r="C14" s="1" t="s">
        <v>44</v>
      </c>
      <c r="D14" s="96"/>
      <c r="E14" s="96"/>
      <c r="F14" s="96"/>
      <c r="G14" s="96"/>
      <c r="I14" s="481" t="s">
        <v>124</v>
      </c>
      <c r="J14" s="481"/>
      <c r="K14" s="481"/>
      <c r="L14" s="481"/>
      <c r="M14" s="481"/>
      <c r="N14" s="163"/>
      <c r="O14" s="481" t="s">
        <v>136</v>
      </c>
      <c r="P14" s="481"/>
      <c r="Q14" s="163"/>
    </row>
    <row r="15" spans="1:17" ht="36.75" x14ac:dyDescent="0.25">
      <c r="B15">
        <v>3</v>
      </c>
      <c r="C15" s="3">
        <v>3</v>
      </c>
      <c r="D15" s="3">
        <f>_xlfn.RANK.AVG(B15,$B$15:$B$24,0)</f>
        <v>2.5</v>
      </c>
      <c r="E15" s="3">
        <f>_xlfn.RANK.AVG(C15,$C$15:$C$24,0)</f>
        <v>3.5</v>
      </c>
      <c r="F15" s="3"/>
      <c r="G15" s="3"/>
      <c r="I15" s="483" t="s">
        <v>5</v>
      </c>
      <c r="J15" s="483"/>
      <c r="K15" s="164" t="s">
        <v>111</v>
      </c>
      <c r="L15" s="165" t="s">
        <v>125</v>
      </c>
      <c r="M15" s="166" t="s">
        <v>126</v>
      </c>
      <c r="N15" s="163"/>
      <c r="O15" s="181" t="s">
        <v>5</v>
      </c>
      <c r="P15" s="182" t="s">
        <v>249</v>
      </c>
      <c r="Q15" s="163"/>
    </row>
    <row r="16" spans="1:17" ht="24" x14ac:dyDescent="0.25">
      <c r="B16">
        <v>1</v>
      </c>
      <c r="C16" s="3">
        <v>3</v>
      </c>
      <c r="D16" s="3">
        <f t="shared" ref="D16:D24" si="2">_xlfn.RANK.AVG(B16,$B$15:$B$24,0)</f>
        <v>7.5</v>
      </c>
      <c r="E16" s="3">
        <f t="shared" ref="E16:E24" si="3">_xlfn.RANK.AVG(C16,$C$15:$C$24,0)</f>
        <v>3.5</v>
      </c>
      <c r="F16" s="3"/>
      <c r="G16" s="3"/>
      <c r="I16" s="484" t="s">
        <v>249</v>
      </c>
      <c r="J16" s="167" t="s">
        <v>127</v>
      </c>
      <c r="K16" s="168" t="s">
        <v>150</v>
      </c>
      <c r="L16" s="169">
        <v>2</v>
      </c>
      <c r="M16" s="170">
        <v>4</v>
      </c>
      <c r="N16" s="163"/>
      <c r="O16" s="167" t="s">
        <v>132</v>
      </c>
      <c r="P16" s="183" t="s">
        <v>164</v>
      </c>
      <c r="Q16" s="163"/>
    </row>
    <row r="17" spans="2:17" ht="24" x14ac:dyDescent="0.25">
      <c r="B17">
        <v>1</v>
      </c>
      <c r="C17" s="3">
        <v>3</v>
      </c>
      <c r="D17" s="3">
        <f t="shared" si="2"/>
        <v>7.5</v>
      </c>
      <c r="E17" s="3">
        <f t="shared" si="3"/>
        <v>3.5</v>
      </c>
      <c r="F17" s="3"/>
      <c r="G17" s="3"/>
      <c r="I17" s="485"/>
      <c r="J17" s="171" t="s">
        <v>128</v>
      </c>
      <c r="K17" s="172" t="s">
        <v>159</v>
      </c>
      <c r="L17" s="173">
        <v>4.8</v>
      </c>
      <c r="M17" s="174">
        <v>24</v>
      </c>
      <c r="N17" s="163"/>
      <c r="O17" s="177" t="s">
        <v>133</v>
      </c>
      <c r="P17" s="184">
        <v>8.287906644281616E-2</v>
      </c>
      <c r="Q17" s="163"/>
    </row>
    <row r="18" spans="2:17" x14ac:dyDescent="0.25">
      <c r="B18">
        <v>1</v>
      </c>
      <c r="C18" s="3">
        <v>3</v>
      </c>
      <c r="D18" s="3">
        <f t="shared" si="2"/>
        <v>7.5</v>
      </c>
      <c r="E18" s="3">
        <f t="shared" si="3"/>
        <v>3.5</v>
      </c>
      <c r="F18" s="3"/>
      <c r="G18" s="3"/>
      <c r="I18" s="485"/>
      <c r="J18" s="171" t="s">
        <v>129</v>
      </c>
      <c r="K18" s="172" t="s">
        <v>140</v>
      </c>
      <c r="L18" s="175"/>
      <c r="M18" s="176"/>
      <c r="N18" s="163"/>
      <c r="O18" s="482" t="s">
        <v>135</v>
      </c>
      <c r="P18" s="482"/>
      <c r="Q18" s="163"/>
    </row>
    <row r="19" spans="2:17" x14ac:dyDescent="0.25">
      <c r="B19">
        <v>3</v>
      </c>
      <c r="C19" s="3">
        <v>2</v>
      </c>
      <c r="D19" s="3">
        <f t="shared" si="2"/>
        <v>2.5</v>
      </c>
      <c r="E19" s="3">
        <f t="shared" si="3"/>
        <v>8</v>
      </c>
      <c r="F19" s="3"/>
      <c r="G19" s="3"/>
      <c r="I19" s="486"/>
      <c r="J19" s="177" t="s">
        <v>108</v>
      </c>
      <c r="K19" s="178">
        <v>10</v>
      </c>
      <c r="L19" s="179"/>
      <c r="M19" s="180"/>
      <c r="N19" s="163"/>
      <c r="O19" s="482" t="s">
        <v>142</v>
      </c>
      <c r="P19" s="482"/>
      <c r="Q19" s="163"/>
    </row>
    <row r="20" spans="2:17" x14ac:dyDescent="0.25">
      <c r="B20">
        <v>1</v>
      </c>
      <c r="C20" s="3">
        <v>1</v>
      </c>
      <c r="D20" s="3">
        <f t="shared" si="2"/>
        <v>7.5</v>
      </c>
      <c r="E20" s="3">
        <f t="shared" si="3"/>
        <v>10</v>
      </c>
      <c r="F20" s="3"/>
      <c r="G20" s="3"/>
      <c r="I20" s="482" t="s">
        <v>250</v>
      </c>
      <c r="J20" s="482"/>
      <c r="K20" s="482"/>
      <c r="L20" s="482"/>
      <c r="M20" s="482"/>
      <c r="N20" s="163"/>
    </row>
    <row r="21" spans="2:17" x14ac:dyDescent="0.25">
      <c r="B21">
        <v>3</v>
      </c>
      <c r="C21" s="3">
        <v>3</v>
      </c>
      <c r="D21" s="3">
        <f t="shared" si="2"/>
        <v>2.5</v>
      </c>
      <c r="E21" s="3">
        <f t="shared" si="3"/>
        <v>3.5</v>
      </c>
      <c r="F21" s="3"/>
      <c r="G21" s="3"/>
      <c r="I21" s="482" t="s">
        <v>251</v>
      </c>
      <c r="J21" s="482"/>
      <c r="K21" s="482"/>
      <c r="L21" s="482"/>
      <c r="M21" s="482"/>
      <c r="N21" s="163"/>
    </row>
    <row r="22" spans="2:17" x14ac:dyDescent="0.25">
      <c r="B22">
        <v>1</v>
      </c>
      <c r="C22" s="3">
        <v>3</v>
      </c>
      <c r="D22" s="3">
        <f t="shared" si="2"/>
        <v>7.5</v>
      </c>
      <c r="E22" s="3">
        <f t="shared" si="3"/>
        <v>3.5</v>
      </c>
      <c r="F22" s="3"/>
      <c r="G22" s="3"/>
      <c r="I22" s="482" t="s">
        <v>252</v>
      </c>
      <c r="J22" s="482"/>
      <c r="K22" s="482"/>
      <c r="L22" s="482"/>
      <c r="M22" s="482"/>
      <c r="N22" s="163"/>
    </row>
    <row r="23" spans="2:17" x14ac:dyDescent="0.25">
      <c r="B23">
        <v>3</v>
      </c>
      <c r="C23" s="3">
        <v>2</v>
      </c>
      <c r="D23" s="3">
        <f t="shared" si="2"/>
        <v>2.5</v>
      </c>
      <c r="E23" s="3">
        <f t="shared" si="3"/>
        <v>8</v>
      </c>
      <c r="F23" s="3"/>
      <c r="G23" s="3"/>
    </row>
    <row r="24" spans="2:17" x14ac:dyDescent="0.25">
      <c r="B24">
        <v>1</v>
      </c>
      <c r="C24" s="3">
        <v>2</v>
      </c>
      <c r="D24" s="3">
        <f t="shared" si="2"/>
        <v>7.5</v>
      </c>
      <c r="E24" s="3">
        <f t="shared" si="3"/>
        <v>8</v>
      </c>
      <c r="F24">
        <f>CORREL(D15:D24,E15:E24)</f>
        <v>-8.1325006079044443E-2</v>
      </c>
      <c r="G24">
        <f>F24*SQRT(8)/(1-F24^2)</f>
        <v>-0.23155329021873944</v>
      </c>
      <c r="H24">
        <f>_xlfn.T.DIST.2T(ABS(G24),8)</f>
        <v>0.82269778518664105</v>
      </c>
    </row>
    <row r="26" spans="2:17" x14ac:dyDescent="0.25">
      <c r="G26" s="403" t="s">
        <v>229</v>
      </c>
      <c r="H26" s="402">
        <f>(H12-H24)/H24</f>
        <v>-1</v>
      </c>
    </row>
    <row r="27" spans="2:17" x14ac:dyDescent="0.25">
      <c r="G27" s="403" t="s">
        <v>228</v>
      </c>
      <c r="H27" s="50">
        <f>MEDIAN(H24,H12)</f>
        <v>0.82269778518664105</v>
      </c>
    </row>
  </sheetData>
  <mergeCells count="18">
    <mergeCell ref="I20:M20"/>
    <mergeCell ref="I21:M21"/>
    <mergeCell ref="I22:M22"/>
    <mergeCell ref="O14:P14"/>
    <mergeCell ref="O18:P18"/>
    <mergeCell ref="O19:P19"/>
    <mergeCell ref="I16:I19"/>
    <mergeCell ref="O1:P1"/>
    <mergeCell ref="O5:P5"/>
    <mergeCell ref="O6:P6"/>
    <mergeCell ref="I14:M14"/>
    <mergeCell ref="I15:J15"/>
    <mergeCell ref="I1:M1"/>
    <mergeCell ref="I2:J2"/>
    <mergeCell ref="I3:I6"/>
    <mergeCell ref="I7:M7"/>
    <mergeCell ref="I8:M8"/>
    <mergeCell ref="I9:M9"/>
  </mergeCell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22DA3-0434-4AAF-B8CE-B0777E3DEC19}">
  <sheetPr>
    <tabColor theme="9"/>
  </sheetPr>
  <dimension ref="A1:D18"/>
  <sheetViews>
    <sheetView workbookViewId="0">
      <selection activeCell="E21" sqref="E21"/>
    </sheetView>
  </sheetViews>
  <sheetFormatPr defaultRowHeight="15" x14ac:dyDescent="0.25"/>
  <cols>
    <col min="1" max="1" width="18.85546875" bestFit="1" customWidth="1"/>
    <col min="2" max="3" width="11.7109375" bestFit="1" customWidth="1"/>
    <col min="4" max="4" width="11.5703125" bestFit="1" customWidth="1"/>
  </cols>
  <sheetData>
    <row r="1" spans="1:4" x14ac:dyDescent="0.25">
      <c r="B1" s="1" t="s">
        <v>30</v>
      </c>
      <c r="C1" s="1" t="s">
        <v>29</v>
      </c>
    </row>
    <row r="2" spans="1:4" x14ac:dyDescent="0.25">
      <c r="B2" s="3">
        <v>1</v>
      </c>
      <c r="C2">
        <v>1</v>
      </c>
    </row>
    <row r="3" spans="1:4" x14ac:dyDescent="0.25">
      <c r="B3" s="3">
        <v>1</v>
      </c>
      <c r="C3">
        <v>1</v>
      </c>
    </row>
    <row r="4" spans="1:4" x14ac:dyDescent="0.25">
      <c r="B4" s="3">
        <v>1</v>
      </c>
      <c r="C4">
        <v>1</v>
      </c>
    </row>
    <row r="5" spans="1:4" x14ac:dyDescent="0.25">
      <c r="B5" s="3">
        <v>2</v>
      </c>
      <c r="C5">
        <v>1</v>
      </c>
    </row>
    <row r="6" spans="1:4" x14ac:dyDescent="0.25">
      <c r="B6" s="3">
        <v>2</v>
      </c>
      <c r="C6">
        <v>1</v>
      </c>
    </row>
    <row r="7" spans="1:4" x14ac:dyDescent="0.25">
      <c r="B7" s="3">
        <v>2</v>
      </c>
      <c r="C7">
        <v>1</v>
      </c>
    </row>
    <row r="8" spans="1:4" x14ac:dyDescent="0.25">
      <c r="B8" s="3">
        <v>1</v>
      </c>
      <c r="C8">
        <v>2</v>
      </c>
    </row>
    <row r="9" spans="1:4" x14ac:dyDescent="0.25">
      <c r="B9" s="3">
        <v>3</v>
      </c>
      <c r="C9">
        <v>2</v>
      </c>
    </row>
    <row r="10" spans="1:4" x14ac:dyDescent="0.25">
      <c r="B10" s="3">
        <v>3</v>
      </c>
      <c r="C10">
        <v>2</v>
      </c>
    </row>
    <row r="11" spans="1:4" x14ac:dyDescent="0.25">
      <c r="B11" s="3">
        <v>5</v>
      </c>
      <c r="C11">
        <v>2</v>
      </c>
    </row>
    <row r="12" spans="1:4" x14ac:dyDescent="0.25">
      <c r="B12" s="3" t="s">
        <v>52</v>
      </c>
      <c r="C12" t="s">
        <v>51</v>
      </c>
    </row>
    <row r="13" spans="1:4" x14ac:dyDescent="0.25">
      <c r="A13" s="2" t="s">
        <v>46</v>
      </c>
      <c r="B13" s="27">
        <f>COUNTIF(B2:B11,1)/10</f>
        <v>0.4</v>
      </c>
      <c r="C13" s="27">
        <f>COUNTIF(C2:C11,1)/10</f>
        <v>0.6</v>
      </c>
      <c r="D13" s="13"/>
    </row>
    <row r="14" spans="1:4" x14ac:dyDescent="0.25">
      <c r="A14" s="2" t="s">
        <v>47</v>
      </c>
      <c r="B14" s="27">
        <f>COUNTIF(B2:B11,2)/10</f>
        <v>0.3</v>
      </c>
      <c r="C14" s="27">
        <f>COUNTIF(C2:C11,2)/10</f>
        <v>0.4</v>
      </c>
      <c r="D14" s="13"/>
    </row>
    <row r="15" spans="1:4" x14ac:dyDescent="0.25">
      <c r="A15" t="s">
        <v>48</v>
      </c>
      <c r="B15" s="13">
        <f>COUNTIF(B2:B11,3)/10</f>
        <v>0.2</v>
      </c>
      <c r="C15" s="13">
        <f>COUNTIF(C2:C11,3)/10</f>
        <v>0</v>
      </c>
      <c r="D15" s="13"/>
    </row>
    <row r="16" spans="1:4" x14ac:dyDescent="0.25">
      <c r="A16" t="s">
        <v>50</v>
      </c>
      <c r="B16" s="13">
        <f>COUNTIF(B2:B11,4)/1</f>
        <v>0</v>
      </c>
      <c r="C16" s="13">
        <f>COUNTIF(C2:C11,4)/10</f>
        <v>0</v>
      </c>
      <c r="D16" s="13"/>
    </row>
    <row r="17" spans="1:4" x14ac:dyDescent="0.25">
      <c r="A17" t="s">
        <v>49</v>
      </c>
      <c r="B17" s="13">
        <f>COUNTIF(B2:B11,5)/10</f>
        <v>0.1</v>
      </c>
      <c r="C17" s="13">
        <f>COUNTIF(C2:C11,5)/10</f>
        <v>0</v>
      </c>
      <c r="D17" s="13"/>
    </row>
    <row r="18" spans="1:4" x14ac:dyDescent="0.25">
      <c r="A18" t="s">
        <v>87</v>
      </c>
      <c r="B18" s="16">
        <f>STDEV(B2:B11,C2:C11)</f>
        <v>1.019545822516343</v>
      </c>
      <c r="C18" s="16"/>
    </row>
  </sheetData>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8594F-A798-4D47-BF67-D978DF03F8E9}">
  <dimension ref="A1:K26"/>
  <sheetViews>
    <sheetView topLeftCell="A10" workbookViewId="0">
      <selection activeCell="M22" sqref="M22"/>
    </sheetView>
  </sheetViews>
  <sheetFormatPr defaultRowHeight="15" x14ac:dyDescent="0.25"/>
  <cols>
    <col min="2" max="2" width="33.5703125" bestFit="1" customWidth="1"/>
    <col min="3" max="3" width="10.28515625" bestFit="1" customWidth="1"/>
    <col min="4" max="5" width="34.28515625" customWidth="1"/>
    <col min="6" max="6" width="37" customWidth="1"/>
    <col min="7" max="7" width="5.5703125" customWidth="1"/>
    <col min="8" max="8" width="16.7109375" customWidth="1"/>
    <col min="9" max="9" width="26.28515625" customWidth="1"/>
    <col min="11" max="11" width="33" customWidth="1"/>
  </cols>
  <sheetData>
    <row r="1" spans="2:11" x14ac:dyDescent="0.25">
      <c r="B1" s="7" t="s">
        <v>0</v>
      </c>
      <c r="C1" s="7"/>
      <c r="D1" s="7" t="s">
        <v>1</v>
      </c>
      <c r="E1" s="7"/>
      <c r="F1" s="7" t="s">
        <v>2</v>
      </c>
      <c r="G1" s="7" t="s">
        <v>14</v>
      </c>
      <c r="H1" s="7"/>
      <c r="I1" s="7" t="s">
        <v>4</v>
      </c>
      <c r="J1" s="7"/>
      <c r="K1" s="7" t="s">
        <v>3</v>
      </c>
    </row>
    <row r="2" spans="2:11" x14ac:dyDescent="0.25">
      <c r="B2" s="7" t="s">
        <v>15</v>
      </c>
      <c r="C2" s="7"/>
      <c r="D2" s="7" t="s">
        <v>16</v>
      </c>
      <c r="E2" s="7"/>
      <c r="F2" s="7" t="s">
        <v>17</v>
      </c>
      <c r="G2" s="7" t="s">
        <v>18</v>
      </c>
      <c r="H2" s="7"/>
      <c r="I2" s="7" t="s">
        <v>19</v>
      </c>
      <c r="J2" s="7"/>
      <c r="K2" s="7" t="s">
        <v>20</v>
      </c>
    </row>
    <row r="3" spans="2:11" x14ac:dyDescent="0.25">
      <c r="B3" s="8">
        <v>2</v>
      </c>
      <c r="C3" s="8"/>
      <c r="D3" s="6" t="s">
        <v>21</v>
      </c>
      <c r="E3" s="6"/>
      <c r="F3" s="8">
        <v>5</v>
      </c>
      <c r="G3" s="6" t="s">
        <v>5</v>
      </c>
      <c r="H3" s="6"/>
      <c r="I3" s="8">
        <v>1</v>
      </c>
      <c r="J3" s="8"/>
      <c r="K3" s="8">
        <v>2</v>
      </c>
    </row>
    <row r="4" spans="2:11" x14ac:dyDescent="0.25">
      <c r="B4" s="8">
        <v>2</v>
      </c>
      <c r="C4" s="8"/>
      <c r="D4" s="6" t="s">
        <v>21</v>
      </c>
      <c r="E4" s="6"/>
      <c r="F4" s="8">
        <v>4</v>
      </c>
      <c r="G4" s="6" t="s">
        <v>5</v>
      </c>
      <c r="H4" s="6"/>
      <c r="I4" s="8">
        <v>2</v>
      </c>
      <c r="J4" s="8"/>
      <c r="K4" s="8">
        <v>2</v>
      </c>
    </row>
    <row r="5" spans="2:11" x14ac:dyDescent="0.25">
      <c r="B5" s="8">
        <v>2</v>
      </c>
      <c r="C5" s="8"/>
      <c r="D5" s="6" t="s">
        <v>21</v>
      </c>
      <c r="E5" s="6"/>
      <c r="F5" s="8">
        <v>4</v>
      </c>
      <c r="G5" s="6" t="s">
        <v>5</v>
      </c>
      <c r="H5" s="6"/>
      <c r="I5" s="8">
        <v>1</v>
      </c>
      <c r="J5" s="8"/>
      <c r="K5" s="14">
        <v>1</v>
      </c>
    </row>
    <row r="6" spans="2:11" x14ac:dyDescent="0.25">
      <c r="B6" s="8">
        <v>1</v>
      </c>
      <c r="C6" s="8"/>
      <c r="D6" s="6" t="s">
        <v>21</v>
      </c>
      <c r="E6" s="6"/>
      <c r="F6" s="8">
        <v>2</v>
      </c>
      <c r="G6" s="6" t="s">
        <v>5</v>
      </c>
      <c r="H6" s="6"/>
      <c r="I6" s="8">
        <v>2</v>
      </c>
      <c r="J6" s="8"/>
      <c r="K6" s="14">
        <v>1</v>
      </c>
    </row>
    <row r="7" spans="2:11" x14ac:dyDescent="0.25">
      <c r="B7" s="8">
        <v>3</v>
      </c>
      <c r="C7" s="8"/>
      <c r="D7" s="6" t="s">
        <v>22</v>
      </c>
      <c r="E7" s="6"/>
      <c r="F7" s="8">
        <v>7</v>
      </c>
      <c r="G7" s="6" t="s">
        <v>5</v>
      </c>
      <c r="H7" s="6"/>
      <c r="I7" s="8">
        <v>1</v>
      </c>
      <c r="J7" s="8"/>
      <c r="K7" s="8">
        <v>3</v>
      </c>
    </row>
    <row r="8" spans="2:11" x14ac:dyDescent="0.25">
      <c r="B8" s="8">
        <v>2</v>
      </c>
      <c r="C8" s="8"/>
      <c r="D8" s="6" t="s">
        <v>21</v>
      </c>
      <c r="E8" s="6"/>
      <c r="F8" s="8">
        <v>4</v>
      </c>
      <c r="G8" s="6" t="s">
        <v>5</v>
      </c>
      <c r="H8" s="6"/>
      <c r="I8" s="8">
        <v>1</v>
      </c>
      <c r="J8" s="8"/>
      <c r="K8" s="8">
        <v>2</v>
      </c>
    </row>
    <row r="9" spans="2:11" x14ac:dyDescent="0.25">
      <c r="B9" s="8">
        <v>3</v>
      </c>
      <c r="C9" s="8"/>
      <c r="D9" s="6" t="s">
        <v>22</v>
      </c>
      <c r="E9" s="6"/>
      <c r="F9" s="8">
        <v>8</v>
      </c>
      <c r="G9" s="6" t="s">
        <v>5</v>
      </c>
      <c r="H9" s="6"/>
      <c r="I9" s="8">
        <v>1</v>
      </c>
      <c r="J9" s="8"/>
      <c r="K9" s="8">
        <v>2</v>
      </c>
    </row>
    <row r="10" spans="2:11" ht="75" x14ac:dyDescent="0.25">
      <c r="B10" s="8">
        <v>3</v>
      </c>
      <c r="C10" s="8"/>
      <c r="D10" s="6" t="s">
        <v>22</v>
      </c>
      <c r="E10" s="6"/>
      <c r="F10" s="8">
        <v>9</v>
      </c>
      <c r="G10" s="6" t="s">
        <v>23</v>
      </c>
      <c r="H10" s="6"/>
      <c r="I10" s="8">
        <v>1</v>
      </c>
      <c r="J10" s="8"/>
      <c r="K10" s="8">
        <v>2</v>
      </c>
    </row>
    <row r="11" spans="2:11" ht="45" x14ac:dyDescent="0.25">
      <c r="B11" s="8">
        <v>1</v>
      </c>
      <c r="C11" s="8"/>
      <c r="D11" s="6" t="s">
        <v>24</v>
      </c>
      <c r="E11" s="6"/>
      <c r="F11" s="8">
        <v>9</v>
      </c>
      <c r="G11" s="6" t="s">
        <v>25</v>
      </c>
      <c r="H11" s="6"/>
      <c r="I11" s="8">
        <v>1</v>
      </c>
      <c r="J11" s="8"/>
      <c r="K11" s="8">
        <v>3</v>
      </c>
    </row>
    <row r="12" spans="2:11" x14ac:dyDescent="0.25">
      <c r="B12" s="8">
        <v>1</v>
      </c>
      <c r="C12" s="8"/>
      <c r="D12" s="6" t="s">
        <v>24</v>
      </c>
      <c r="E12" s="6"/>
      <c r="F12" s="8">
        <v>5</v>
      </c>
      <c r="G12" s="6" t="s">
        <v>5</v>
      </c>
      <c r="H12" s="6"/>
      <c r="I12" s="8">
        <v>1</v>
      </c>
      <c r="J12" s="8"/>
      <c r="K12" s="8">
        <v>2</v>
      </c>
    </row>
    <row r="13" spans="2:11" x14ac:dyDescent="0.25">
      <c r="B13" s="8">
        <v>3</v>
      </c>
      <c r="C13" s="8"/>
      <c r="D13" s="6" t="s">
        <v>21</v>
      </c>
      <c r="E13" s="6"/>
      <c r="F13" s="8">
        <v>8</v>
      </c>
      <c r="G13" s="6" t="s">
        <v>5</v>
      </c>
      <c r="H13" s="6"/>
      <c r="I13" s="8">
        <v>1</v>
      </c>
      <c r="J13" s="8"/>
      <c r="K13" s="8">
        <v>3</v>
      </c>
    </row>
    <row r="14" spans="2:11" x14ac:dyDescent="0.25">
      <c r="B14" s="8">
        <v>3</v>
      </c>
      <c r="C14" s="8"/>
      <c r="D14" s="6" t="s">
        <v>22</v>
      </c>
      <c r="E14" s="6"/>
      <c r="F14" s="8">
        <v>8</v>
      </c>
      <c r="G14" s="6" t="s">
        <v>5</v>
      </c>
      <c r="H14" s="6"/>
      <c r="I14" s="8">
        <v>2</v>
      </c>
      <c r="J14" s="8"/>
      <c r="K14" s="8">
        <v>3</v>
      </c>
    </row>
    <row r="15" spans="2:11" x14ac:dyDescent="0.25">
      <c r="B15" s="8">
        <v>3</v>
      </c>
      <c r="C15" s="8"/>
      <c r="D15" s="6" t="s">
        <v>21</v>
      </c>
      <c r="E15" s="6"/>
      <c r="F15" s="8">
        <v>4</v>
      </c>
      <c r="G15" s="6" t="s">
        <v>5</v>
      </c>
      <c r="H15" s="6"/>
      <c r="I15" s="8">
        <v>1</v>
      </c>
      <c r="J15" s="8"/>
      <c r="K15" s="8">
        <v>1</v>
      </c>
    </row>
    <row r="16" spans="2:11" x14ac:dyDescent="0.25">
      <c r="B16" s="8">
        <v>2</v>
      </c>
      <c r="C16" s="8"/>
      <c r="D16" s="6" t="s">
        <v>21</v>
      </c>
      <c r="E16" s="6"/>
      <c r="F16" s="8">
        <v>4</v>
      </c>
      <c r="G16" s="6" t="s">
        <v>5</v>
      </c>
      <c r="H16" s="6"/>
      <c r="I16" s="8">
        <v>1</v>
      </c>
      <c r="J16" s="8"/>
      <c r="K16" s="8">
        <v>3</v>
      </c>
    </row>
    <row r="17" spans="1:11" x14ac:dyDescent="0.25">
      <c r="B17" s="8">
        <v>3</v>
      </c>
      <c r="C17" s="8"/>
      <c r="D17" s="6" t="s">
        <v>22</v>
      </c>
      <c r="E17" s="6"/>
      <c r="F17" s="8">
        <v>3</v>
      </c>
      <c r="G17" s="6" t="s">
        <v>5</v>
      </c>
      <c r="H17" s="6"/>
      <c r="I17" s="8">
        <v>2</v>
      </c>
      <c r="J17" s="8"/>
      <c r="K17" s="8">
        <v>1</v>
      </c>
    </row>
    <row r="18" spans="1:11" x14ac:dyDescent="0.25">
      <c r="B18" s="8">
        <v>1</v>
      </c>
      <c r="C18" s="8"/>
      <c r="D18" s="6" t="s">
        <v>24</v>
      </c>
      <c r="E18" s="6"/>
      <c r="F18" s="8">
        <v>5</v>
      </c>
      <c r="G18" s="6" t="s">
        <v>5</v>
      </c>
      <c r="H18" s="6"/>
      <c r="I18" s="8">
        <v>1</v>
      </c>
      <c r="J18" s="8"/>
      <c r="K18" s="8">
        <v>3</v>
      </c>
    </row>
    <row r="20" spans="1:11" x14ac:dyDescent="0.25">
      <c r="A20" t="s">
        <v>71</v>
      </c>
      <c r="B20">
        <f>COUNTIF(B3:B18,1)</f>
        <v>4</v>
      </c>
      <c r="C20" t="s">
        <v>72</v>
      </c>
      <c r="D20">
        <f>COUNTIF(D3:D18,1)</f>
        <v>3</v>
      </c>
      <c r="E20" t="s">
        <v>76</v>
      </c>
      <c r="F20">
        <f>COUNTIF(F3:F18,2)</f>
        <v>1</v>
      </c>
      <c r="H20" t="s">
        <v>85</v>
      </c>
      <c r="I20">
        <f>COUNTIF(I3:I18,2)</f>
        <v>4</v>
      </c>
      <c r="J20" t="s">
        <v>80</v>
      </c>
      <c r="K20">
        <f>COUNTIF(K3:K18,1)</f>
        <v>4</v>
      </c>
    </row>
    <row r="21" spans="1:11" x14ac:dyDescent="0.25">
      <c r="A21" t="s">
        <v>69</v>
      </c>
      <c r="B21">
        <f>COUNTIF(B3:B18,2)</f>
        <v>5</v>
      </c>
      <c r="C21" t="s">
        <v>73</v>
      </c>
      <c r="D21">
        <f>COUNTIF(D3:D18,2)</f>
        <v>8</v>
      </c>
      <c r="E21" t="s">
        <v>77</v>
      </c>
      <c r="F21">
        <f>COUNTIF(F3:F18,3)</f>
        <v>1</v>
      </c>
      <c r="H21" t="s">
        <v>86</v>
      </c>
      <c r="I21">
        <f>COUNTIF(I3:I18,1)</f>
        <v>12</v>
      </c>
      <c r="J21" t="s">
        <v>81</v>
      </c>
      <c r="K21">
        <f>COUNTIF(K3:K18,2)</f>
        <v>6</v>
      </c>
    </row>
    <row r="22" spans="1:11" x14ac:dyDescent="0.25">
      <c r="A22" t="s">
        <v>70</v>
      </c>
      <c r="B22">
        <f>COUNTIF(B3:B18,3)</f>
        <v>7</v>
      </c>
      <c r="C22" t="s">
        <v>74</v>
      </c>
      <c r="D22">
        <f>COUNTIF(D3:D18,3)</f>
        <v>5</v>
      </c>
      <c r="E22" t="s">
        <v>83</v>
      </c>
      <c r="F22">
        <f>COUNTIF(F3:F18,4)</f>
        <v>5</v>
      </c>
      <c r="J22" t="s">
        <v>82</v>
      </c>
      <c r="K22">
        <f>COUNTIF(K3:K18,3)</f>
        <v>6</v>
      </c>
    </row>
    <row r="23" spans="1:11" x14ac:dyDescent="0.25">
      <c r="E23" t="s">
        <v>75</v>
      </c>
      <c r="F23">
        <f>COUNTIF(F3:F18,5)</f>
        <v>3</v>
      </c>
    </row>
    <row r="24" spans="1:11" x14ac:dyDescent="0.25">
      <c r="E24" t="s">
        <v>79</v>
      </c>
      <c r="F24">
        <f>COUNTIF(F3:F18,7)</f>
        <v>1</v>
      </c>
    </row>
    <row r="25" spans="1:11" x14ac:dyDescent="0.25">
      <c r="E25" t="s">
        <v>78</v>
      </c>
      <c r="F25">
        <f>COUNTIF(F3:F18,8)</f>
        <v>3</v>
      </c>
    </row>
    <row r="26" spans="1:11" x14ac:dyDescent="0.25">
      <c r="E26" t="s">
        <v>84</v>
      </c>
      <c r="F26">
        <f>COUNTIF(F3:F18,9)</f>
        <v>2</v>
      </c>
    </row>
  </sheetData>
  <phoneticPr fontId="5" type="noConversion"/>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0F0C8-1243-4336-BE75-64F903D3D1E7}">
  <dimension ref="A1:P25"/>
  <sheetViews>
    <sheetView workbookViewId="0">
      <selection activeCell="E2" sqref="E2"/>
    </sheetView>
  </sheetViews>
  <sheetFormatPr defaultRowHeight="15" x14ac:dyDescent="0.25"/>
  <cols>
    <col min="1" max="1" width="16.5703125" bestFit="1" customWidth="1"/>
    <col min="2" max="2" width="19.85546875" customWidth="1"/>
    <col min="3" max="3" width="21.140625" customWidth="1"/>
    <col min="4" max="4" width="21.42578125" customWidth="1"/>
    <col min="5" max="5" width="19.42578125" customWidth="1"/>
    <col min="6" max="6" width="76.140625" style="8" customWidth="1"/>
    <col min="7" max="16" width="9.140625" style="50"/>
  </cols>
  <sheetData>
    <row r="1" spans="1:16" ht="30" x14ac:dyDescent="0.25">
      <c r="B1" s="357" t="s">
        <v>221</v>
      </c>
      <c r="C1" s="357" t="s">
        <v>218</v>
      </c>
      <c r="D1" s="357" t="s">
        <v>219</v>
      </c>
      <c r="E1" s="357" t="s">
        <v>220</v>
      </c>
      <c r="F1" s="9" t="s">
        <v>13</v>
      </c>
    </row>
    <row r="2" spans="1:16" x14ac:dyDescent="0.25">
      <c r="B2" s="29">
        <v>5</v>
      </c>
      <c r="C2" s="29">
        <v>5</v>
      </c>
      <c r="D2" s="29">
        <v>5</v>
      </c>
      <c r="E2" s="30">
        <v>1</v>
      </c>
      <c r="F2" s="6" t="s">
        <v>5</v>
      </c>
      <c r="G2" s="21"/>
      <c r="H2" s="21"/>
      <c r="I2" s="21"/>
      <c r="J2" s="21"/>
      <c r="K2" s="21"/>
      <c r="L2" s="21"/>
      <c r="M2" s="21"/>
      <c r="N2" s="21"/>
      <c r="O2" s="349"/>
    </row>
    <row r="3" spans="1:16" ht="46.5" customHeight="1" x14ac:dyDescent="0.25">
      <c r="B3" s="29">
        <v>5</v>
      </c>
      <c r="C3" s="29">
        <v>5</v>
      </c>
      <c r="D3" s="29">
        <v>5</v>
      </c>
      <c r="E3" s="30">
        <v>1</v>
      </c>
      <c r="F3" s="6" t="s">
        <v>6</v>
      </c>
      <c r="G3" s="21"/>
      <c r="H3" s="21"/>
      <c r="I3" s="21"/>
      <c r="J3" s="21"/>
      <c r="K3" s="21"/>
      <c r="L3" s="21"/>
      <c r="M3" s="21"/>
      <c r="N3" s="21"/>
      <c r="O3" s="349"/>
    </row>
    <row r="4" spans="1:16" ht="30" x14ac:dyDescent="0.25">
      <c r="B4" s="29">
        <v>5</v>
      </c>
      <c r="C4" s="29">
        <v>5</v>
      </c>
      <c r="D4" s="29">
        <v>5</v>
      </c>
      <c r="E4" s="29">
        <v>1</v>
      </c>
      <c r="F4" s="6" t="s">
        <v>7</v>
      </c>
      <c r="G4" s="21"/>
      <c r="H4" s="21"/>
      <c r="I4" s="21"/>
      <c r="J4" s="21"/>
      <c r="K4" s="21"/>
      <c r="L4" s="21"/>
      <c r="M4" s="21"/>
      <c r="N4" s="21"/>
      <c r="O4" s="349"/>
    </row>
    <row r="5" spans="1:16" x14ac:dyDescent="0.25">
      <c r="B5" s="29">
        <v>5</v>
      </c>
      <c r="C5" s="29">
        <v>5</v>
      </c>
      <c r="D5" s="29">
        <v>5</v>
      </c>
      <c r="E5" s="29">
        <v>3</v>
      </c>
      <c r="F5" s="6" t="s">
        <v>5</v>
      </c>
      <c r="G5" s="21"/>
      <c r="H5" s="21"/>
      <c r="I5" s="21"/>
      <c r="J5" s="21"/>
      <c r="K5" s="21"/>
      <c r="L5" s="21"/>
      <c r="M5" s="21"/>
      <c r="N5" s="21"/>
      <c r="O5" s="349"/>
    </row>
    <row r="6" spans="1:16" ht="60" x14ac:dyDescent="0.25">
      <c r="B6" s="29">
        <v>5</v>
      </c>
      <c r="C6" s="29">
        <v>5</v>
      </c>
      <c r="D6" s="29">
        <v>4</v>
      </c>
      <c r="E6" s="29">
        <v>3</v>
      </c>
      <c r="F6" s="6" t="s">
        <v>8</v>
      </c>
      <c r="G6" s="21"/>
      <c r="H6" s="21"/>
      <c r="I6" s="21"/>
      <c r="J6" s="21"/>
      <c r="K6" s="21"/>
      <c r="L6" s="21"/>
      <c r="M6" s="21"/>
      <c r="N6" s="21"/>
      <c r="O6" s="349"/>
    </row>
    <row r="7" spans="1:16" ht="45" x14ac:dyDescent="0.25">
      <c r="B7" s="29">
        <v>4</v>
      </c>
      <c r="C7" s="29">
        <v>4</v>
      </c>
      <c r="D7" s="29">
        <v>4</v>
      </c>
      <c r="E7" s="29">
        <v>2</v>
      </c>
      <c r="F7" s="6" t="s">
        <v>9</v>
      </c>
      <c r="G7" s="21"/>
      <c r="H7" s="21"/>
      <c r="I7" s="21"/>
      <c r="J7" s="21"/>
      <c r="K7" s="21"/>
      <c r="L7" s="21"/>
      <c r="M7" s="21"/>
      <c r="N7" s="21"/>
      <c r="O7" s="349"/>
    </row>
    <row r="8" spans="1:16" x14ac:dyDescent="0.25">
      <c r="B8" s="29">
        <v>3</v>
      </c>
      <c r="C8" s="29">
        <v>4</v>
      </c>
      <c r="D8" s="29">
        <v>4</v>
      </c>
      <c r="E8" s="29">
        <v>1</v>
      </c>
      <c r="F8" s="6" t="s">
        <v>5</v>
      </c>
      <c r="G8" s="21"/>
      <c r="H8" s="21"/>
      <c r="I8" s="21"/>
      <c r="J8" s="21"/>
      <c r="K8" s="21"/>
      <c r="L8" s="21"/>
      <c r="M8" s="21"/>
      <c r="N8" s="21"/>
      <c r="O8" s="349"/>
    </row>
    <row r="9" spans="1:16" x14ac:dyDescent="0.25">
      <c r="B9" s="29">
        <v>2</v>
      </c>
      <c r="C9" s="29">
        <v>4</v>
      </c>
      <c r="D9" s="29">
        <v>4</v>
      </c>
      <c r="E9" s="29">
        <v>3</v>
      </c>
      <c r="F9" s="6" t="s">
        <v>10</v>
      </c>
      <c r="G9" s="21"/>
      <c r="H9" s="21"/>
      <c r="I9" s="21"/>
      <c r="J9" s="21"/>
      <c r="K9" s="21"/>
      <c r="L9" s="21"/>
      <c r="M9" s="21"/>
      <c r="N9" s="21"/>
      <c r="O9" s="349"/>
    </row>
    <row r="10" spans="1:16" ht="48.75" customHeight="1" x14ac:dyDescent="0.25">
      <c r="B10" s="29">
        <v>4</v>
      </c>
      <c r="C10" s="29">
        <v>4</v>
      </c>
      <c r="D10" s="29">
        <v>3</v>
      </c>
      <c r="E10" s="29">
        <v>2</v>
      </c>
      <c r="F10" s="6" t="s">
        <v>11</v>
      </c>
      <c r="G10" s="21"/>
      <c r="H10" s="21"/>
      <c r="I10" s="21"/>
      <c r="J10" s="21"/>
      <c r="K10" s="21"/>
      <c r="L10" s="21"/>
      <c r="M10" s="21"/>
      <c r="N10" s="21"/>
      <c r="O10" s="349"/>
    </row>
    <row r="11" spans="1:16" ht="168.75" customHeight="1" x14ac:dyDescent="0.25">
      <c r="B11" s="29">
        <v>2</v>
      </c>
      <c r="C11" s="29">
        <v>4</v>
      </c>
      <c r="D11" s="29">
        <v>3</v>
      </c>
      <c r="E11" s="29">
        <v>3</v>
      </c>
      <c r="F11" s="6" t="s">
        <v>12</v>
      </c>
      <c r="G11" s="21"/>
      <c r="H11" s="21"/>
      <c r="I11" s="21"/>
      <c r="J11" s="21"/>
      <c r="K11" s="21"/>
      <c r="L11" s="21"/>
      <c r="M11" s="21"/>
      <c r="N11" s="21"/>
      <c r="O11" s="349"/>
    </row>
    <row r="12" spans="1:16" x14ac:dyDescent="0.25">
      <c r="A12" s="365" t="s">
        <v>210</v>
      </c>
      <c r="B12" s="351">
        <f>COUNTIF($B$2:$B$11,1)</f>
        <v>0</v>
      </c>
      <c r="C12" s="351">
        <v>0</v>
      </c>
      <c r="D12" s="351">
        <f>COUNTIF($D$2:$D$11,1)</f>
        <v>0</v>
      </c>
      <c r="E12" s="32"/>
      <c r="F12" s="6"/>
      <c r="G12" s="21"/>
      <c r="H12" s="21"/>
      <c r="I12" s="21"/>
      <c r="J12" s="21"/>
      <c r="K12" s="21"/>
      <c r="L12" s="21"/>
      <c r="M12" s="21"/>
      <c r="N12" s="21"/>
      <c r="P12" s="21"/>
    </row>
    <row r="13" spans="1:16" x14ac:dyDescent="0.25">
      <c r="A13" s="365" t="s">
        <v>211</v>
      </c>
      <c r="B13" s="351">
        <f>COUNTIF($B$2:$B$11,2)</f>
        <v>2</v>
      </c>
      <c r="C13" s="351">
        <f t="shared" ref="C13:C14" si="0">COUNTIF($C$2:$C$11,1)</f>
        <v>0</v>
      </c>
      <c r="D13" s="351">
        <f>COUNTIF($D$2:$D$11,2)</f>
        <v>0</v>
      </c>
      <c r="E13" s="352"/>
      <c r="O13" s="21"/>
    </row>
    <row r="14" spans="1:16" x14ac:dyDescent="0.25">
      <c r="A14" s="365" t="s">
        <v>212</v>
      </c>
      <c r="B14" s="351">
        <f>COUNTIF($B$2:$B$11,3)</f>
        <v>1</v>
      </c>
      <c r="C14" s="351">
        <f t="shared" si="0"/>
        <v>0</v>
      </c>
      <c r="D14" s="351">
        <f>COUNTIF($D$2:$D$11,3)</f>
        <v>2</v>
      </c>
      <c r="E14" s="352"/>
    </row>
    <row r="15" spans="1:16" x14ac:dyDescent="0.25">
      <c r="A15" s="365" t="s">
        <v>213</v>
      </c>
      <c r="B15" s="351">
        <f>COUNTIF($B$2:$B$11,4)</f>
        <v>2</v>
      </c>
      <c r="C15" s="351">
        <v>5</v>
      </c>
      <c r="D15" s="351">
        <f>COUNTIF($D$2:$D$11,4)</f>
        <v>4</v>
      </c>
      <c r="E15" s="350"/>
    </row>
    <row r="16" spans="1:16" x14ac:dyDescent="0.25">
      <c r="A16" s="365" t="s">
        <v>214</v>
      </c>
      <c r="B16" s="351">
        <f>COUNTIF($B$2:$B$11,5)</f>
        <v>5</v>
      </c>
      <c r="C16" s="351">
        <v>5</v>
      </c>
      <c r="D16" s="351">
        <f>COUNTIF($D$2:$D$11,5)</f>
        <v>4</v>
      </c>
      <c r="E16" s="350"/>
    </row>
    <row r="17" spans="1:5" x14ac:dyDescent="0.25">
      <c r="A17" s="358" t="s">
        <v>222</v>
      </c>
      <c r="B17" s="359">
        <f>_xlfn.RANK.AVG(B12,B12:B16,0)</f>
        <v>5</v>
      </c>
      <c r="C17" s="359">
        <f t="shared" ref="C17:D17" si="1">_xlfn.RANK.AVG(C12,C12:C16,0)</f>
        <v>4</v>
      </c>
      <c r="D17" s="359">
        <f t="shared" si="1"/>
        <v>4.5</v>
      </c>
      <c r="E17" s="360"/>
    </row>
    <row r="18" spans="1:5" x14ac:dyDescent="0.25">
      <c r="A18" s="365" t="s">
        <v>215</v>
      </c>
      <c r="B18" s="353"/>
      <c r="C18" s="32"/>
      <c r="D18" s="32"/>
      <c r="E18" s="354">
        <f>COUNTIF(E2:E11,1)</f>
        <v>4</v>
      </c>
    </row>
    <row r="19" spans="1:5" x14ac:dyDescent="0.25">
      <c r="A19" s="365" t="s">
        <v>216</v>
      </c>
      <c r="B19" s="355"/>
      <c r="C19" s="32"/>
      <c r="D19" s="32"/>
      <c r="E19" s="354">
        <f>COUNTIF(E2:E12,2)</f>
        <v>2</v>
      </c>
    </row>
    <row r="20" spans="1:5" x14ac:dyDescent="0.25">
      <c r="A20" s="365" t="s">
        <v>217</v>
      </c>
      <c r="B20" s="356"/>
      <c r="C20" s="356"/>
      <c r="D20" s="32"/>
      <c r="E20" s="354">
        <f>COUNTIF(E2:E13,3)</f>
        <v>4</v>
      </c>
    </row>
    <row r="21" spans="1:5" x14ac:dyDescent="0.25">
      <c r="A21" s="361" t="s">
        <v>222</v>
      </c>
      <c r="B21" s="362"/>
      <c r="C21" s="363"/>
      <c r="D21" s="363"/>
      <c r="E21" s="364">
        <f>MAX(E18,E19,E20)</f>
        <v>4</v>
      </c>
    </row>
    <row r="22" spans="1:5" x14ac:dyDescent="0.25">
      <c r="B22" s="26"/>
      <c r="C22" s="16"/>
    </row>
    <row r="23" spans="1:5" x14ac:dyDescent="0.25">
      <c r="B23" s="16"/>
      <c r="C23" s="26"/>
    </row>
    <row r="24" spans="1:5" x14ac:dyDescent="0.25">
      <c r="B24" s="26"/>
    </row>
    <row r="25" spans="1:5" x14ac:dyDescent="0.25">
      <c r="B25" s="16"/>
    </row>
  </sheetData>
  <pageMargins left="0.7" right="0.7" top="0.75" bottom="0.75" header="0.3" footer="0.3"/>
  <pageSetup orientation="portrait" horizontalDpi="4294967293" verticalDpi="4294967293"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059A5-8F36-4931-ADD5-8C964CE5D7B3}">
  <dimension ref="A1:O25"/>
  <sheetViews>
    <sheetView tabSelected="1" workbookViewId="0">
      <selection activeCell="E2" sqref="E2:E11"/>
    </sheetView>
  </sheetViews>
  <sheetFormatPr defaultRowHeight="15" x14ac:dyDescent="0.25"/>
  <cols>
    <col min="1" max="1" width="16.5703125" style="401" bestFit="1" customWidth="1"/>
    <col min="2" max="2" width="19.85546875" style="401" customWidth="1"/>
    <col min="3" max="3" width="21.140625" style="401" customWidth="1"/>
    <col min="4" max="4" width="21.42578125" style="401" customWidth="1"/>
    <col min="5" max="5" width="19.42578125" style="401" customWidth="1"/>
    <col min="6" max="15" width="9.140625" style="50"/>
    <col min="16" max="16384" width="9.140625" style="401"/>
  </cols>
  <sheetData>
    <row r="1" spans="1:15" ht="30" x14ac:dyDescent="0.25">
      <c r="B1" s="357" t="s">
        <v>221</v>
      </c>
      <c r="C1" s="357" t="s">
        <v>218</v>
      </c>
      <c r="D1" s="357" t="s">
        <v>219</v>
      </c>
      <c r="E1" s="357" t="s">
        <v>220</v>
      </c>
    </row>
    <row r="2" spans="1:15" x14ac:dyDescent="0.25">
      <c r="B2" s="29">
        <v>5</v>
      </c>
      <c r="C2" s="29">
        <v>5</v>
      </c>
      <c r="D2" s="29">
        <v>5</v>
      </c>
      <c r="E2" s="30">
        <v>1</v>
      </c>
      <c r="F2" s="21"/>
      <c r="G2" s="21"/>
      <c r="H2" s="21"/>
      <c r="I2" s="21"/>
      <c r="J2" s="21"/>
      <c r="K2" s="21"/>
      <c r="L2" s="21"/>
      <c r="M2" s="21"/>
      <c r="N2" s="349"/>
    </row>
    <row r="3" spans="1:15" x14ac:dyDescent="0.25">
      <c r="B3" s="29">
        <v>5</v>
      </c>
      <c r="C3" s="29">
        <v>5</v>
      </c>
      <c r="D3" s="29">
        <v>5</v>
      </c>
      <c r="E3" s="30">
        <v>1</v>
      </c>
      <c r="F3" s="21"/>
      <c r="G3" s="21"/>
      <c r="H3" s="21"/>
      <c r="I3" s="21"/>
      <c r="J3" s="21"/>
      <c r="K3" s="21"/>
      <c r="L3" s="21"/>
      <c r="M3" s="21"/>
      <c r="N3" s="349"/>
    </row>
    <row r="4" spans="1:15" x14ac:dyDescent="0.25">
      <c r="B4" s="29">
        <v>5</v>
      </c>
      <c r="C4" s="29">
        <v>5</v>
      </c>
      <c r="D4" s="29">
        <v>5</v>
      </c>
      <c r="E4" s="29">
        <v>1</v>
      </c>
      <c r="F4" s="21"/>
      <c r="G4" s="21"/>
      <c r="H4" s="21"/>
      <c r="I4" s="21"/>
      <c r="J4" s="21"/>
      <c r="K4" s="21"/>
      <c r="L4" s="21"/>
      <c r="M4" s="21"/>
      <c r="N4" s="349"/>
    </row>
    <row r="5" spans="1:15" x14ac:dyDescent="0.25">
      <c r="B5" s="29">
        <v>5</v>
      </c>
      <c r="C5" s="29">
        <v>5</v>
      </c>
      <c r="D5" s="29">
        <v>5</v>
      </c>
      <c r="E5" s="29">
        <v>3</v>
      </c>
      <c r="F5" s="21"/>
      <c r="G5" s="21"/>
      <c r="H5" s="21"/>
      <c r="I5" s="21"/>
      <c r="J5" s="21"/>
      <c r="K5" s="21"/>
      <c r="L5" s="21"/>
      <c r="M5" s="21"/>
      <c r="N5" s="349"/>
    </row>
    <row r="6" spans="1:15" x14ac:dyDescent="0.25">
      <c r="B6" s="29">
        <v>5</v>
      </c>
      <c r="C6" s="29">
        <v>5</v>
      </c>
      <c r="D6" s="29">
        <v>4</v>
      </c>
      <c r="E6" s="29">
        <v>3</v>
      </c>
      <c r="F6" s="21"/>
      <c r="G6" s="21"/>
      <c r="H6" s="21"/>
      <c r="I6" s="21"/>
      <c r="J6" s="21"/>
      <c r="K6" s="21"/>
      <c r="L6" s="21"/>
      <c r="M6" s="21"/>
      <c r="N6" s="349"/>
    </row>
    <row r="7" spans="1:15" x14ac:dyDescent="0.25">
      <c r="B7" s="29">
        <v>4</v>
      </c>
      <c r="C7" s="29">
        <v>4</v>
      </c>
      <c r="D7" s="29">
        <v>4</v>
      </c>
      <c r="E7" s="29">
        <v>2</v>
      </c>
      <c r="F7" s="21"/>
      <c r="G7" s="21"/>
      <c r="H7" s="21"/>
      <c r="I7" s="21"/>
      <c r="J7" s="21"/>
      <c r="K7" s="21"/>
      <c r="L7" s="21"/>
      <c r="M7" s="21"/>
      <c r="N7" s="349"/>
    </row>
    <row r="8" spans="1:15" x14ac:dyDescent="0.25">
      <c r="B8" s="29">
        <v>3</v>
      </c>
      <c r="C8" s="29">
        <v>4</v>
      </c>
      <c r="D8" s="29">
        <v>4</v>
      </c>
      <c r="E8" s="29">
        <v>1</v>
      </c>
      <c r="F8" s="21"/>
      <c r="G8" s="21"/>
      <c r="H8" s="21"/>
      <c r="I8" s="21"/>
      <c r="J8" s="21"/>
      <c r="K8" s="21"/>
      <c r="L8" s="21"/>
      <c r="M8" s="21"/>
      <c r="N8" s="349"/>
    </row>
    <row r="9" spans="1:15" x14ac:dyDescent="0.25">
      <c r="B9" s="29">
        <v>2</v>
      </c>
      <c r="C9" s="29">
        <v>4</v>
      </c>
      <c r="D9" s="29">
        <v>4</v>
      </c>
      <c r="E9" s="29">
        <v>3</v>
      </c>
      <c r="F9" s="21"/>
      <c r="G9" s="21"/>
      <c r="H9" s="21"/>
      <c r="I9" s="21"/>
      <c r="J9" s="21"/>
      <c r="K9" s="21"/>
      <c r="L9" s="21"/>
      <c r="M9" s="21"/>
      <c r="N9" s="349"/>
    </row>
    <row r="10" spans="1:15" x14ac:dyDescent="0.25">
      <c r="B10" s="29">
        <v>4</v>
      </c>
      <c r="C10" s="29">
        <v>4</v>
      </c>
      <c r="D10" s="29">
        <v>3</v>
      </c>
      <c r="E10" s="29">
        <v>2</v>
      </c>
      <c r="F10" s="21"/>
      <c r="G10" s="21"/>
      <c r="H10" s="21"/>
      <c r="I10" s="21"/>
      <c r="J10" s="21"/>
      <c r="K10" s="21"/>
      <c r="L10" s="21"/>
      <c r="M10" s="21"/>
      <c r="N10" s="349"/>
    </row>
    <row r="11" spans="1:15" x14ac:dyDescent="0.25">
      <c r="A11" s="404"/>
      <c r="B11" s="405">
        <v>2</v>
      </c>
      <c r="C11" s="405">
        <v>4</v>
      </c>
      <c r="D11" s="405">
        <v>3</v>
      </c>
      <c r="E11" s="405">
        <v>3</v>
      </c>
      <c r="F11" s="21"/>
      <c r="G11" s="21"/>
      <c r="H11" s="21"/>
      <c r="I11" s="21"/>
      <c r="J11" s="21"/>
      <c r="K11" s="21"/>
      <c r="L11" s="21"/>
      <c r="M11" s="21"/>
      <c r="N11" s="349"/>
    </row>
    <row r="12" spans="1:15" x14ac:dyDescent="0.25">
      <c r="A12" s="365" t="s">
        <v>210</v>
      </c>
      <c r="B12" s="351">
        <f>COUNTIF($B$2:$B$11,1)</f>
        <v>0</v>
      </c>
      <c r="C12" s="351">
        <v>0</v>
      </c>
      <c r="D12" s="351">
        <f>COUNTIF($D$2:$D$11,1)</f>
        <v>0</v>
      </c>
      <c r="E12" s="351">
        <f>COUNTIF($E$2:$E$11,1)</f>
        <v>4</v>
      </c>
      <c r="F12" s="21"/>
      <c r="G12" s="21"/>
      <c r="H12" s="21"/>
      <c r="I12" s="21"/>
      <c r="J12" s="21"/>
      <c r="K12" s="21"/>
      <c r="L12" s="21"/>
      <c r="M12" s="21"/>
      <c r="O12" s="21"/>
    </row>
    <row r="13" spans="1:15" x14ac:dyDescent="0.25">
      <c r="A13" s="365" t="s">
        <v>211</v>
      </c>
      <c r="B13" s="351">
        <f>COUNTIF($B$2:$B$11,2)</f>
        <v>2</v>
      </c>
      <c r="C13" s="351">
        <f t="shared" ref="C13:C14" si="0">COUNTIF($C$2:$C$11,1)</f>
        <v>0</v>
      </c>
      <c r="D13" s="351">
        <f>COUNTIF($D$2:$D$11,2)</f>
        <v>0</v>
      </c>
      <c r="E13" s="351">
        <f t="shared" ref="E13:E16" si="1">COUNTIF($E$2:$E$11,1)</f>
        <v>4</v>
      </c>
      <c r="N13" s="21"/>
    </row>
    <row r="14" spans="1:15" x14ac:dyDescent="0.25">
      <c r="A14" s="365" t="s">
        <v>212</v>
      </c>
      <c r="B14" s="351">
        <f>COUNTIF($B$2:$B$11,3)</f>
        <v>1</v>
      </c>
      <c r="C14" s="351">
        <f t="shared" si="0"/>
        <v>0</v>
      </c>
      <c r="D14" s="351">
        <f>COUNTIF($D$2:$D$11,3)</f>
        <v>2</v>
      </c>
      <c r="E14" s="351">
        <f t="shared" si="1"/>
        <v>4</v>
      </c>
    </row>
    <row r="15" spans="1:15" x14ac:dyDescent="0.25">
      <c r="A15" s="365" t="s">
        <v>213</v>
      </c>
      <c r="B15" s="351">
        <f>COUNTIF($B$2:$B$11,4)</f>
        <v>2</v>
      </c>
      <c r="C15" s="351">
        <v>5</v>
      </c>
      <c r="D15" s="351">
        <f>COUNTIF($D$2:$D$11,4)</f>
        <v>4</v>
      </c>
      <c r="E15" s="351">
        <f t="shared" si="1"/>
        <v>4</v>
      </c>
    </row>
    <row r="16" spans="1:15" x14ac:dyDescent="0.25">
      <c r="A16" s="365" t="s">
        <v>214</v>
      </c>
      <c r="B16" s="351">
        <f>COUNTIF($B$2:$B$11,5)</f>
        <v>5</v>
      </c>
      <c r="C16" s="351">
        <v>5</v>
      </c>
      <c r="D16" s="351">
        <f>COUNTIF($D$2:$D$11,5)</f>
        <v>4</v>
      </c>
      <c r="E16" s="351">
        <f t="shared" si="1"/>
        <v>4</v>
      </c>
    </row>
    <row r="17" spans="1:5" x14ac:dyDescent="0.25">
      <c r="A17" s="358" t="s">
        <v>222</v>
      </c>
      <c r="B17" s="359">
        <f>_xlfn.RANK.AVG(B12,B12:B16,0)</f>
        <v>5</v>
      </c>
      <c r="C17" s="359">
        <f t="shared" ref="C17:E17" si="2">_xlfn.RANK.AVG(C12,C12:C16,0)</f>
        <v>4</v>
      </c>
      <c r="D17" s="359">
        <f t="shared" si="2"/>
        <v>4.5</v>
      </c>
      <c r="E17" s="359">
        <f t="shared" si="2"/>
        <v>3</v>
      </c>
    </row>
    <row r="18" spans="1:5" x14ac:dyDescent="0.25">
      <c r="A18" s="365" t="s">
        <v>215</v>
      </c>
      <c r="B18" s="353"/>
      <c r="C18" s="48"/>
      <c r="D18" s="48"/>
      <c r="E18" s="354">
        <f>COUNTIF(E2:E11,1)</f>
        <v>4</v>
      </c>
    </row>
    <row r="19" spans="1:5" x14ac:dyDescent="0.25">
      <c r="A19" s="365" t="s">
        <v>216</v>
      </c>
      <c r="B19" s="355"/>
      <c r="C19" s="48"/>
      <c r="D19" s="48"/>
      <c r="E19" s="354">
        <f>COUNTIF(E2:E12,2)</f>
        <v>2</v>
      </c>
    </row>
    <row r="20" spans="1:5" x14ac:dyDescent="0.25">
      <c r="A20" s="365" t="s">
        <v>217</v>
      </c>
      <c r="B20" s="356"/>
      <c r="C20" s="356"/>
      <c r="D20" s="48"/>
      <c r="E20" s="354">
        <f>COUNTIF(E2:E13,3)</f>
        <v>4</v>
      </c>
    </row>
    <row r="21" spans="1:5" x14ac:dyDescent="0.25">
      <c r="A21" s="361" t="s">
        <v>222</v>
      </c>
      <c r="B21" s="362"/>
      <c r="C21" s="363"/>
      <c r="D21" s="363"/>
      <c r="E21" s="364">
        <f>MAX(E18,E19,E20)</f>
        <v>4</v>
      </c>
    </row>
    <row r="22" spans="1:5" x14ac:dyDescent="0.25">
      <c r="B22" s="26"/>
      <c r="C22" s="16"/>
    </row>
    <row r="23" spans="1:5" x14ac:dyDescent="0.25">
      <c r="B23" s="16"/>
      <c r="C23" s="26"/>
    </row>
    <row r="24" spans="1:5" x14ac:dyDescent="0.25">
      <c r="B24" s="26"/>
    </row>
    <row r="25" spans="1:5" x14ac:dyDescent="0.25">
      <c r="B25" s="16"/>
    </row>
  </sheetData>
  <pageMargins left="0.7" right="0.7" top="0.75" bottom="0.75" header="0.3" footer="0.3"/>
  <pageSetup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BD970-3D20-4181-95E2-99BC2B1A2A7A}">
  <sheetPr>
    <tabColor theme="9"/>
  </sheetPr>
  <dimension ref="A2:I25"/>
  <sheetViews>
    <sheetView workbookViewId="0">
      <selection activeCell="A8" sqref="A8:E10"/>
    </sheetView>
  </sheetViews>
  <sheetFormatPr defaultRowHeight="15" x14ac:dyDescent="0.25"/>
  <cols>
    <col min="1" max="1" width="26" style="50" bestFit="1" customWidth="1"/>
    <col min="2" max="2" width="7.85546875" style="50" bestFit="1" customWidth="1"/>
    <col min="3" max="6" width="9.140625" style="50"/>
    <col min="7" max="7" width="25.28515625" style="50" bestFit="1" customWidth="1"/>
    <col min="8" max="8" width="14.5703125" style="50" customWidth="1"/>
  </cols>
  <sheetData>
    <row r="2" spans="1:9" ht="15" customHeight="1" x14ac:dyDescent="0.25">
      <c r="A2" s="423" t="s">
        <v>124</v>
      </c>
      <c r="B2" s="423"/>
      <c r="C2" s="423"/>
      <c r="D2" s="423"/>
      <c r="E2" s="423"/>
      <c r="F2" s="72"/>
      <c r="G2" s="94" t="s">
        <v>131</v>
      </c>
      <c r="H2" s="94"/>
      <c r="I2" s="72"/>
    </row>
    <row r="3" spans="1:9" ht="36.75" customHeight="1" x14ac:dyDescent="0.25">
      <c r="A3" s="424" t="s">
        <v>5</v>
      </c>
      <c r="B3" s="424"/>
      <c r="C3" s="73" t="s">
        <v>111</v>
      </c>
      <c r="D3" s="74" t="s">
        <v>125</v>
      </c>
      <c r="E3" s="75" t="s">
        <v>126</v>
      </c>
      <c r="F3" s="72"/>
      <c r="G3" s="90"/>
      <c r="H3" s="91" t="s">
        <v>230</v>
      </c>
      <c r="I3" s="72"/>
    </row>
    <row r="4" spans="1:9" ht="24" x14ac:dyDescent="0.25">
      <c r="A4" s="425" t="s">
        <v>168</v>
      </c>
      <c r="B4" s="76" t="s">
        <v>127</v>
      </c>
      <c r="C4" s="77" t="s">
        <v>150</v>
      </c>
      <c r="D4" s="78">
        <v>4</v>
      </c>
      <c r="E4" s="79">
        <v>8</v>
      </c>
      <c r="F4" s="72"/>
      <c r="G4" s="76" t="s">
        <v>132</v>
      </c>
      <c r="H4" s="92" t="s">
        <v>153</v>
      </c>
      <c r="I4" s="72"/>
    </row>
    <row r="5" spans="1:9" ht="36" customHeight="1" x14ac:dyDescent="0.25">
      <c r="A5" s="426"/>
      <c r="B5" s="80" t="s">
        <v>128</v>
      </c>
      <c r="C5" s="81" t="s">
        <v>151</v>
      </c>
      <c r="D5" s="82">
        <v>5.875</v>
      </c>
      <c r="E5" s="83">
        <v>47</v>
      </c>
      <c r="F5" s="72"/>
      <c r="G5" s="86" t="s">
        <v>133</v>
      </c>
      <c r="H5" s="93" t="s">
        <v>154</v>
      </c>
      <c r="I5" s="72"/>
    </row>
    <row r="6" spans="1:9" ht="15" customHeight="1" x14ac:dyDescent="0.25">
      <c r="A6" s="426"/>
      <c r="B6" s="80" t="s">
        <v>129</v>
      </c>
      <c r="C6" s="81" t="s">
        <v>152</v>
      </c>
      <c r="D6" s="84"/>
      <c r="E6" s="85"/>
      <c r="F6" s="72"/>
      <c r="G6" s="95" t="s">
        <v>134</v>
      </c>
      <c r="H6" s="95"/>
      <c r="I6" s="72"/>
    </row>
    <row r="7" spans="1:9" ht="15" customHeight="1" x14ac:dyDescent="0.25">
      <c r="A7" s="427"/>
      <c r="B7" s="86" t="s">
        <v>108</v>
      </c>
      <c r="C7" s="87">
        <v>10</v>
      </c>
      <c r="D7" s="88"/>
      <c r="E7" s="89"/>
      <c r="F7" s="72"/>
      <c r="G7" s="95" t="s">
        <v>141</v>
      </c>
      <c r="H7" s="95"/>
      <c r="I7" s="72"/>
    </row>
    <row r="8" spans="1:9" ht="15" customHeight="1" x14ac:dyDescent="0.25">
      <c r="A8" s="428" t="s">
        <v>231</v>
      </c>
      <c r="B8" s="428"/>
      <c r="C8" s="428"/>
      <c r="D8" s="428"/>
      <c r="E8" s="428"/>
      <c r="F8" s="72"/>
    </row>
    <row r="9" spans="1:9" ht="15" customHeight="1" x14ac:dyDescent="0.25">
      <c r="A9" s="429" t="s">
        <v>232</v>
      </c>
      <c r="B9" s="429"/>
      <c r="C9" s="429"/>
      <c r="D9" s="429"/>
      <c r="E9" s="429"/>
      <c r="F9" s="72"/>
    </row>
    <row r="10" spans="1:9" ht="15" customHeight="1" x14ac:dyDescent="0.25">
      <c r="A10" s="428" t="s">
        <v>233</v>
      </c>
      <c r="B10" s="428"/>
      <c r="C10" s="428"/>
      <c r="D10" s="428"/>
      <c r="E10" s="428"/>
      <c r="F10" s="72"/>
    </row>
    <row r="11" spans="1:9" x14ac:dyDescent="0.25">
      <c r="A11" s="34"/>
      <c r="B11" s="34"/>
      <c r="C11" s="34"/>
      <c r="D11" s="34"/>
      <c r="E11" s="34"/>
    </row>
    <row r="12" spans="1:9" x14ac:dyDescent="0.25">
      <c r="A12" s="423" t="s">
        <v>165</v>
      </c>
      <c r="B12" s="423"/>
      <c r="C12" s="423"/>
      <c r="D12" s="423"/>
      <c r="E12" s="423"/>
      <c r="F12" s="423"/>
      <c r="G12" s="72"/>
    </row>
    <row r="13" spans="1:9" ht="24.75" x14ac:dyDescent="0.25">
      <c r="A13" s="90" t="s">
        <v>5</v>
      </c>
      <c r="B13" s="73" t="s">
        <v>111</v>
      </c>
      <c r="C13" s="74" t="s">
        <v>53</v>
      </c>
      <c r="D13" s="74" t="s">
        <v>87</v>
      </c>
      <c r="E13" s="74" t="s">
        <v>119</v>
      </c>
      <c r="F13" s="75" t="s">
        <v>120</v>
      </c>
      <c r="G13" s="72"/>
    </row>
    <row r="14" spans="1:9" x14ac:dyDescent="0.25">
      <c r="A14" s="76" t="s">
        <v>166</v>
      </c>
      <c r="B14" s="185">
        <v>10</v>
      </c>
      <c r="C14" s="186">
        <v>1.7999999999999998</v>
      </c>
      <c r="D14" s="187">
        <v>1.0327955589886444</v>
      </c>
      <c r="E14" s="78">
        <v>1</v>
      </c>
      <c r="F14" s="79">
        <v>4</v>
      </c>
      <c r="G14" s="72"/>
    </row>
    <row r="15" spans="1:9" x14ac:dyDescent="0.25">
      <c r="A15" s="86" t="s">
        <v>167</v>
      </c>
      <c r="B15" s="87">
        <v>10</v>
      </c>
      <c r="C15" s="188">
        <v>3</v>
      </c>
      <c r="D15" s="189">
        <v>1.5634719199411433</v>
      </c>
      <c r="E15" s="190">
        <v>1</v>
      </c>
      <c r="F15" s="191">
        <v>5</v>
      </c>
      <c r="G15" s="72"/>
    </row>
    <row r="16" spans="1:9" x14ac:dyDescent="0.25">
      <c r="A16" s="34"/>
      <c r="B16" s="34"/>
      <c r="C16" s="34"/>
      <c r="D16" s="34"/>
      <c r="E16" s="34"/>
    </row>
    <row r="20" spans="1:7" x14ac:dyDescent="0.25">
      <c r="A20" s="35"/>
      <c r="B20" s="35"/>
      <c r="C20" s="35"/>
      <c r="D20" s="35"/>
      <c r="E20" s="35"/>
      <c r="F20" s="35"/>
      <c r="G20" s="35"/>
    </row>
    <row r="21" spans="1:7" x14ac:dyDescent="0.25">
      <c r="A21" s="34"/>
      <c r="B21" s="34"/>
      <c r="C21" s="34"/>
      <c r="D21" s="34"/>
      <c r="E21" s="34"/>
      <c r="F21" s="34"/>
      <c r="G21" s="34"/>
    </row>
    <row r="22" spans="1:7" x14ac:dyDescent="0.25">
      <c r="A22" s="34"/>
      <c r="B22" s="34"/>
      <c r="C22" s="34"/>
      <c r="D22" s="34"/>
      <c r="E22" s="34"/>
      <c r="F22" s="34"/>
      <c r="G22" s="34"/>
    </row>
    <row r="23" spans="1:7" x14ac:dyDescent="0.25">
      <c r="A23" s="34"/>
      <c r="B23" s="34"/>
      <c r="C23" s="34"/>
      <c r="D23" s="34"/>
      <c r="E23" s="34"/>
      <c r="F23" s="34"/>
      <c r="G23" s="34"/>
    </row>
    <row r="24" spans="1:7" x14ac:dyDescent="0.25">
      <c r="A24" s="34"/>
      <c r="B24" s="34"/>
      <c r="C24" s="34"/>
      <c r="D24" s="34"/>
      <c r="E24" s="34"/>
      <c r="F24" s="34"/>
      <c r="G24" s="34"/>
    </row>
    <row r="25" spans="1:7" x14ac:dyDescent="0.25">
      <c r="A25" s="34"/>
      <c r="B25" s="34"/>
      <c r="C25" s="34"/>
      <c r="D25" s="34"/>
      <c r="E25" s="34"/>
      <c r="F25" s="34"/>
      <c r="G25" s="34"/>
    </row>
  </sheetData>
  <mergeCells count="7">
    <mergeCell ref="A12:F12"/>
    <mergeCell ref="A2:E2"/>
    <mergeCell ref="A3:B3"/>
    <mergeCell ref="A4:A7"/>
    <mergeCell ref="A8:E8"/>
    <mergeCell ref="A9:E9"/>
    <mergeCell ref="A10:E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80EF9-CBC9-4A11-AEFF-46D5C02A58B9}">
  <dimension ref="A1:S21"/>
  <sheetViews>
    <sheetView workbookViewId="0">
      <selection activeCell="B2" sqref="B2:B11"/>
    </sheetView>
  </sheetViews>
  <sheetFormatPr defaultRowHeight="15" x14ac:dyDescent="0.25"/>
  <cols>
    <col min="1" max="1" width="27.140625" bestFit="1" customWidth="1"/>
    <col min="2" max="2" width="11.28515625" customWidth="1"/>
    <col min="3" max="3" width="11.42578125" customWidth="1"/>
  </cols>
  <sheetData>
    <row r="1" spans="1:19" x14ac:dyDescent="0.25">
      <c r="B1" s="1" t="s">
        <v>31</v>
      </c>
      <c r="C1" s="1" t="s">
        <v>32</v>
      </c>
    </row>
    <row r="2" spans="1:19" x14ac:dyDescent="0.25">
      <c r="B2" s="3">
        <v>5</v>
      </c>
      <c r="C2">
        <v>2</v>
      </c>
      <c r="D2">
        <f>_xlfn.RANK.AVG(B2,$B$2:$B$11,0)</f>
        <v>2</v>
      </c>
      <c r="E2">
        <f>_xlfn.RANK.AVG(C2,$C$2:$C$11,0)</f>
        <v>4</v>
      </c>
      <c r="N2" s="17">
        <f t="shared" ref="N2:N11" si="0">B2-$B$13</f>
        <v>2</v>
      </c>
      <c r="O2" s="18">
        <f>N2^2</f>
        <v>4</v>
      </c>
      <c r="P2" s="18">
        <f>C2-$C$13</f>
        <v>0.19999999999999996</v>
      </c>
      <c r="Q2" s="19">
        <f>P2^2</f>
        <v>3.999999999999998E-2</v>
      </c>
      <c r="R2">
        <f>SUM(B2:C2)</f>
        <v>7</v>
      </c>
    </row>
    <row r="3" spans="1:19" x14ac:dyDescent="0.25">
      <c r="B3" s="3">
        <v>2</v>
      </c>
      <c r="C3">
        <v>1</v>
      </c>
      <c r="D3">
        <f t="shared" ref="D3:D11" si="1">_xlfn.RANK.AVG(B3,$B$2:$B$11,0)</f>
        <v>7</v>
      </c>
      <c r="E3">
        <f t="shared" ref="E3:E11" si="2">_xlfn.RANK.AVG(C3,$C$2:$C$11,0)</f>
        <v>8</v>
      </c>
      <c r="N3" s="20">
        <f t="shared" si="0"/>
        <v>-1</v>
      </c>
      <c r="O3" s="21">
        <f t="shared" ref="O3:O11" si="3">N3^2</f>
        <v>1</v>
      </c>
      <c r="P3" s="21">
        <f t="shared" ref="P3:P11" si="4">C3-$C$13</f>
        <v>-0.8</v>
      </c>
      <c r="Q3" s="22">
        <f t="shared" ref="Q3:Q11" si="5">P3^2</f>
        <v>0.64000000000000012</v>
      </c>
      <c r="R3">
        <f t="shared" ref="R3:R11" si="6">SUM(B3:C3)</f>
        <v>3</v>
      </c>
    </row>
    <row r="4" spans="1:19" x14ac:dyDescent="0.25">
      <c r="B4" s="3">
        <v>2</v>
      </c>
      <c r="C4">
        <v>1</v>
      </c>
      <c r="D4">
        <f t="shared" si="1"/>
        <v>7</v>
      </c>
      <c r="E4">
        <f t="shared" si="2"/>
        <v>8</v>
      </c>
      <c r="N4" s="20">
        <f t="shared" si="0"/>
        <v>-1</v>
      </c>
      <c r="O4" s="21">
        <f t="shared" si="3"/>
        <v>1</v>
      </c>
      <c r="P4" s="21">
        <f t="shared" si="4"/>
        <v>-0.8</v>
      </c>
      <c r="Q4" s="22">
        <f t="shared" si="5"/>
        <v>0.64000000000000012</v>
      </c>
      <c r="R4">
        <f t="shared" si="6"/>
        <v>3</v>
      </c>
    </row>
    <row r="5" spans="1:19" x14ac:dyDescent="0.25">
      <c r="B5" s="3">
        <v>2</v>
      </c>
      <c r="C5">
        <v>1</v>
      </c>
      <c r="D5">
        <f t="shared" si="1"/>
        <v>7</v>
      </c>
      <c r="E5">
        <f t="shared" si="2"/>
        <v>8</v>
      </c>
      <c r="N5" s="20">
        <f t="shared" si="0"/>
        <v>-1</v>
      </c>
      <c r="O5" s="21">
        <f t="shared" si="3"/>
        <v>1</v>
      </c>
      <c r="P5" s="21">
        <f t="shared" si="4"/>
        <v>-0.8</v>
      </c>
      <c r="Q5" s="22">
        <f t="shared" si="5"/>
        <v>0.64000000000000012</v>
      </c>
      <c r="R5">
        <f t="shared" si="6"/>
        <v>3</v>
      </c>
    </row>
    <row r="6" spans="1:19" x14ac:dyDescent="0.25">
      <c r="B6" s="3">
        <v>5</v>
      </c>
      <c r="C6">
        <v>1</v>
      </c>
      <c r="D6">
        <f t="shared" si="1"/>
        <v>2</v>
      </c>
      <c r="E6">
        <f t="shared" si="2"/>
        <v>8</v>
      </c>
      <c r="N6" s="20">
        <f t="shared" si="0"/>
        <v>2</v>
      </c>
      <c r="O6" s="21">
        <f t="shared" si="3"/>
        <v>4</v>
      </c>
      <c r="P6" s="21">
        <f t="shared" si="4"/>
        <v>-0.8</v>
      </c>
      <c r="Q6" s="22">
        <f t="shared" si="5"/>
        <v>0.64000000000000012</v>
      </c>
      <c r="R6">
        <f t="shared" si="6"/>
        <v>6</v>
      </c>
    </row>
    <row r="7" spans="1:19" x14ac:dyDescent="0.25">
      <c r="B7" s="3">
        <v>2</v>
      </c>
      <c r="C7">
        <v>3</v>
      </c>
      <c r="D7">
        <f t="shared" si="1"/>
        <v>7</v>
      </c>
      <c r="E7">
        <f t="shared" si="2"/>
        <v>2</v>
      </c>
      <c r="N7" s="20">
        <f t="shared" si="0"/>
        <v>-1</v>
      </c>
      <c r="O7" s="21">
        <f t="shared" si="3"/>
        <v>1</v>
      </c>
      <c r="P7" s="21">
        <f t="shared" si="4"/>
        <v>1.2</v>
      </c>
      <c r="Q7" s="22">
        <f t="shared" si="5"/>
        <v>1.44</v>
      </c>
      <c r="R7">
        <f t="shared" si="6"/>
        <v>5</v>
      </c>
    </row>
    <row r="8" spans="1:19" x14ac:dyDescent="0.25">
      <c r="B8" s="3">
        <v>5</v>
      </c>
      <c r="C8">
        <v>4</v>
      </c>
      <c r="D8">
        <f t="shared" si="1"/>
        <v>2</v>
      </c>
      <c r="E8">
        <f t="shared" si="2"/>
        <v>1</v>
      </c>
      <c r="N8" s="20">
        <f t="shared" si="0"/>
        <v>2</v>
      </c>
      <c r="O8" s="21">
        <f t="shared" si="3"/>
        <v>4</v>
      </c>
      <c r="P8" s="21">
        <f t="shared" si="4"/>
        <v>2.2000000000000002</v>
      </c>
      <c r="Q8" s="22">
        <f t="shared" si="5"/>
        <v>4.8400000000000007</v>
      </c>
      <c r="R8">
        <f t="shared" si="6"/>
        <v>9</v>
      </c>
    </row>
    <row r="9" spans="1:19" x14ac:dyDescent="0.25">
      <c r="B9" s="3">
        <v>2</v>
      </c>
      <c r="C9">
        <v>1</v>
      </c>
      <c r="D9">
        <f t="shared" si="1"/>
        <v>7</v>
      </c>
      <c r="E9">
        <f t="shared" si="2"/>
        <v>8</v>
      </c>
      <c r="N9" s="20">
        <f t="shared" si="0"/>
        <v>-1</v>
      </c>
      <c r="O9" s="21">
        <f t="shared" si="3"/>
        <v>1</v>
      </c>
      <c r="P9" s="21">
        <f t="shared" si="4"/>
        <v>-0.8</v>
      </c>
      <c r="Q9" s="22">
        <f t="shared" si="5"/>
        <v>0.64000000000000012</v>
      </c>
      <c r="R9">
        <f t="shared" si="6"/>
        <v>3</v>
      </c>
    </row>
    <row r="10" spans="1:19" x14ac:dyDescent="0.25">
      <c r="B10" s="3">
        <v>4</v>
      </c>
      <c r="C10">
        <v>2</v>
      </c>
      <c r="D10">
        <f t="shared" si="1"/>
        <v>4</v>
      </c>
      <c r="E10">
        <f t="shared" si="2"/>
        <v>4</v>
      </c>
      <c r="N10" s="20">
        <f t="shared" si="0"/>
        <v>1</v>
      </c>
      <c r="O10" s="21">
        <f t="shared" si="3"/>
        <v>1</v>
      </c>
      <c r="P10" s="21">
        <f t="shared" si="4"/>
        <v>0.19999999999999996</v>
      </c>
      <c r="Q10" s="22">
        <f t="shared" si="5"/>
        <v>3.999999999999998E-2</v>
      </c>
      <c r="R10">
        <f t="shared" si="6"/>
        <v>6</v>
      </c>
    </row>
    <row r="11" spans="1:19" x14ac:dyDescent="0.25">
      <c r="B11" s="3">
        <v>1</v>
      </c>
      <c r="C11">
        <v>2</v>
      </c>
      <c r="D11">
        <f t="shared" si="1"/>
        <v>10</v>
      </c>
      <c r="E11">
        <f t="shared" si="2"/>
        <v>4</v>
      </c>
      <c r="N11" s="23">
        <f t="shared" si="0"/>
        <v>-2</v>
      </c>
      <c r="O11" s="24">
        <f t="shared" si="3"/>
        <v>4</v>
      </c>
      <c r="P11" s="24">
        <f t="shared" si="4"/>
        <v>0.19999999999999996</v>
      </c>
      <c r="Q11" s="25">
        <f t="shared" si="5"/>
        <v>3.999999999999998E-2</v>
      </c>
      <c r="R11">
        <f t="shared" si="6"/>
        <v>3</v>
      </c>
    </row>
    <row r="12" spans="1:19" x14ac:dyDescent="0.25">
      <c r="A12" t="s">
        <v>92</v>
      </c>
      <c r="B12" s="3">
        <f>_xlfn.VAR.P(B2:B11)</f>
        <v>2.2000000000000002</v>
      </c>
      <c r="C12" s="3">
        <f>_xlfn.VAR.P(C2:C11)</f>
        <v>0.96</v>
      </c>
      <c r="N12" s="21"/>
      <c r="O12" s="21"/>
      <c r="P12" s="21"/>
      <c r="Q12" s="21"/>
      <c r="R12">
        <f>SUBTOTAL(9,R2:R11)</f>
        <v>48</v>
      </c>
      <c r="S12">
        <f>SUM(B12:C12)</f>
        <v>3.16</v>
      </c>
    </row>
    <row r="13" spans="1:19" x14ac:dyDescent="0.25">
      <c r="A13" t="s">
        <v>53</v>
      </c>
      <c r="B13" s="15">
        <f>AVERAGE(B2:B11)</f>
        <v>3</v>
      </c>
      <c r="C13" s="15">
        <f>AVERAGE(C2:C11)</f>
        <v>1.8</v>
      </c>
    </row>
    <row r="14" spans="1:19" x14ac:dyDescent="0.25">
      <c r="A14" t="s">
        <v>68</v>
      </c>
      <c r="B14" s="15">
        <f>_xlfn.STDEV.P(B2:B11,C2:C11)</f>
        <v>1.3928388277184118</v>
      </c>
      <c r="C14" s="15"/>
    </row>
    <row r="15" spans="1:19" x14ac:dyDescent="0.25">
      <c r="A15" t="s">
        <v>103</v>
      </c>
      <c r="B15" s="31">
        <f>SQRT(0.0616)</f>
        <v>0.24819347291981714</v>
      </c>
      <c r="C15" s="15"/>
    </row>
    <row r="16" spans="1:19" ht="24.75" customHeight="1" x14ac:dyDescent="0.25">
      <c r="A16" t="s">
        <v>26</v>
      </c>
      <c r="B16" s="10">
        <f>CORREL(E2:E11,D2:D11)</f>
        <v>0.24822695035460993</v>
      </c>
      <c r="C16" s="44">
        <f>B16*SQRT(B19)/(1-B16^2)</f>
        <v>0.74819295993902479</v>
      </c>
      <c r="D16" s="4"/>
    </row>
    <row r="17" spans="1:3" x14ac:dyDescent="0.25">
      <c r="A17" t="s">
        <v>104</v>
      </c>
      <c r="B17" s="11">
        <v>10</v>
      </c>
    </row>
    <row r="18" spans="1:3" x14ac:dyDescent="0.25">
      <c r="A18" t="s">
        <v>107</v>
      </c>
      <c r="B18" s="44">
        <f>_xlfn.T.DIST.2T(ABS(C16),B19)</f>
        <v>0.47576129186622296</v>
      </c>
    </row>
    <row r="19" spans="1:3" x14ac:dyDescent="0.25">
      <c r="A19" t="s">
        <v>109</v>
      </c>
      <c r="B19" s="11">
        <f>B17-2</f>
        <v>8</v>
      </c>
    </row>
    <row r="20" spans="1:3" x14ac:dyDescent="0.25">
      <c r="A20" t="s">
        <v>90</v>
      </c>
      <c r="B20" s="26" t="s">
        <v>145</v>
      </c>
      <c r="C20" s="16">
        <f>_xlfn.STDEV.S(C2:C11)/SQRT($B$17)</f>
        <v>0.32659863237109044</v>
      </c>
    </row>
    <row r="21" spans="1:3" x14ac:dyDescent="0.25">
      <c r="A21" t="s">
        <v>91</v>
      </c>
      <c r="B21" s="16">
        <f>_xlfn.STDEV.S(B3:B12)/SQRT($B$17)</f>
        <v>0.44542114902640184</v>
      </c>
      <c r="C21" s="26" t="s">
        <v>146</v>
      </c>
    </row>
  </sheetData>
  <pageMargins left="0.7" right="0.7" top="0.75" bottom="0.75" header="0.3" footer="0.3"/>
  <pageSetup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5186B-30CC-4F12-A631-DEF3ED9FBD00}">
  <sheetPr>
    <tabColor theme="9"/>
  </sheetPr>
  <dimension ref="A1:C18"/>
  <sheetViews>
    <sheetView workbookViewId="0">
      <selection activeCell="B2" sqref="B2:B11"/>
    </sheetView>
  </sheetViews>
  <sheetFormatPr defaultRowHeight="15" x14ac:dyDescent="0.25"/>
  <cols>
    <col min="1" max="1" width="18.85546875" bestFit="1" customWidth="1"/>
    <col min="2" max="3" width="11.7109375" bestFit="1" customWidth="1"/>
  </cols>
  <sheetData>
    <row r="1" spans="1:3" x14ac:dyDescent="0.25">
      <c r="B1" s="1" t="s">
        <v>31</v>
      </c>
      <c r="C1" s="1" t="s">
        <v>32</v>
      </c>
    </row>
    <row r="2" spans="1:3" x14ac:dyDescent="0.25">
      <c r="B2" s="3">
        <v>5</v>
      </c>
      <c r="C2">
        <v>2</v>
      </c>
    </row>
    <row r="3" spans="1:3" x14ac:dyDescent="0.25">
      <c r="B3" s="3">
        <v>2</v>
      </c>
      <c r="C3">
        <v>1</v>
      </c>
    </row>
    <row r="4" spans="1:3" x14ac:dyDescent="0.25">
      <c r="B4" s="3">
        <v>2</v>
      </c>
      <c r="C4">
        <v>1</v>
      </c>
    </row>
    <row r="5" spans="1:3" x14ac:dyDescent="0.25">
      <c r="B5" s="3">
        <v>2</v>
      </c>
      <c r="C5">
        <v>1</v>
      </c>
    </row>
    <row r="6" spans="1:3" x14ac:dyDescent="0.25">
      <c r="B6" s="3">
        <v>5</v>
      </c>
      <c r="C6">
        <v>1</v>
      </c>
    </row>
    <row r="7" spans="1:3" x14ac:dyDescent="0.25">
      <c r="B7" s="3">
        <v>2</v>
      </c>
      <c r="C7">
        <v>3</v>
      </c>
    </row>
    <row r="8" spans="1:3" x14ac:dyDescent="0.25">
      <c r="B8" s="3">
        <v>5</v>
      </c>
      <c r="C8">
        <v>4</v>
      </c>
    </row>
    <row r="9" spans="1:3" x14ac:dyDescent="0.25">
      <c r="B9" s="3">
        <v>2</v>
      </c>
      <c r="C9">
        <v>1</v>
      </c>
    </row>
    <row r="10" spans="1:3" x14ac:dyDescent="0.25">
      <c r="B10" s="3">
        <v>4</v>
      </c>
      <c r="C10">
        <v>2</v>
      </c>
    </row>
    <row r="11" spans="1:3" x14ac:dyDescent="0.25">
      <c r="B11" s="3">
        <v>1</v>
      </c>
      <c r="C11">
        <v>2</v>
      </c>
    </row>
    <row r="12" spans="1:3" x14ac:dyDescent="0.25">
      <c r="B12" s="3" t="s">
        <v>52</v>
      </c>
      <c r="C12" t="s">
        <v>51</v>
      </c>
    </row>
    <row r="13" spans="1:3" x14ac:dyDescent="0.25">
      <c r="A13" s="2" t="s">
        <v>46</v>
      </c>
      <c r="B13" s="27">
        <f>COUNTIF(B2:B11,1)/10</f>
        <v>0.1</v>
      </c>
      <c r="C13" s="27">
        <f>COUNTIF(C2:C11,1)/10</f>
        <v>0.5</v>
      </c>
    </row>
    <row r="14" spans="1:3" x14ac:dyDescent="0.25">
      <c r="A14" s="2" t="s">
        <v>47</v>
      </c>
      <c r="B14" s="27">
        <f>COUNTIF(B2:B11,2)/10</f>
        <v>0.5</v>
      </c>
      <c r="C14" s="27">
        <f>COUNTIF(C2:C11,2)/10</f>
        <v>0.3</v>
      </c>
    </row>
    <row r="15" spans="1:3" x14ac:dyDescent="0.25">
      <c r="A15" t="s">
        <v>48</v>
      </c>
      <c r="B15" s="13">
        <f>COUNTIF(B2:B11,3)/10</f>
        <v>0</v>
      </c>
      <c r="C15" s="13">
        <f>COUNTIF(C2:C11,3)/10</f>
        <v>0.1</v>
      </c>
    </row>
    <row r="16" spans="1:3" x14ac:dyDescent="0.25">
      <c r="A16" t="s">
        <v>50</v>
      </c>
      <c r="B16" s="13">
        <f>COUNTIF(B2:B11,4)/10</f>
        <v>0.1</v>
      </c>
      <c r="C16" s="13">
        <f>COUNTIF(C2:C11,4)/10</f>
        <v>0.1</v>
      </c>
    </row>
    <row r="17" spans="1:3" x14ac:dyDescent="0.25">
      <c r="A17" t="s">
        <v>49</v>
      </c>
      <c r="B17" s="13">
        <f>COUNTIF(B2:B11,5)/10</f>
        <v>0.3</v>
      </c>
      <c r="C17" s="13">
        <f>COUNTIF(C2:C11,5)/10</f>
        <v>0</v>
      </c>
    </row>
    <row r="18" spans="1:3" x14ac:dyDescent="0.25">
      <c r="A18" t="s">
        <v>87</v>
      </c>
      <c r="B18" s="16">
        <f>_xlfn.STDEV.P(B2:B11)</f>
        <v>1.4832396974191326</v>
      </c>
      <c r="C18" s="16">
        <f>_xlfn.STDEV.P(C2:C11)</f>
        <v>0.9797958971132712</v>
      </c>
    </row>
  </sheetData>
  <pageMargins left="0.7" right="0.7" top="0.75" bottom="0.75" header="0.3" footer="0.3"/>
  <pageSetup orientation="portrait" horizontalDpi="4294967293" vertic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42024-3E53-44D0-A589-765701F64A98}">
  <sheetPr>
    <tabColor theme="9"/>
  </sheetPr>
  <dimension ref="A2:I15"/>
  <sheetViews>
    <sheetView workbookViewId="0">
      <selection activeCell="A8" sqref="A8:E10"/>
    </sheetView>
  </sheetViews>
  <sheetFormatPr defaultRowHeight="15" x14ac:dyDescent="0.25"/>
  <cols>
    <col min="1" max="1" width="23.140625" bestFit="1" customWidth="1"/>
    <col min="2" max="2" width="7.85546875" bestFit="1" customWidth="1"/>
    <col min="7" max="7" width="21.85546875" customWidth="1"/>
    <col min="8" max="8" width="23.85546875" customWidth="1"/>
  </cols>
  <sheetData>
    <row r="2" spans="1:9" x14ac:dyDescent="0.25">
      <c r="A2" s="430" t="s">
        <v>124</v>
      </c>
      <c r="B2" s="430"/>
      <c r="C2" s="430"/>
      <c r="D2" s="430"/>
      <c r="E2" s="430"/>
      <c r="F2" s="199"/>
      <c r="G2" s="430" t="s">
        <v>136</v>
      </c>
      <c r="H2" s="430"/>
      <c r="I2" s="199"/>
    </row>
    <row r="3" spans="1:9" ht="24.75" x14ac:dyDescent="0.25">
      <c r="A3" s="432" t="s">
        <v>5</v>
      </c>
      <c r="B3" s="432"/>
      <c r="C3" s="200" t="s">
        <v>111</v>
      </c>
      <c r="D3" s="201" t="s">
        <v>125</v>
      </c>
      <c r="E3" s="202" t="s">
        <v>126</v>
      </c>
      <c r="F3" s="199"/>
      <c r="G3" s="217" t="s">
        <v>5</v>
      </c>
      <c r="H3" s="218" t="s">
        <v>172</v>
      </c>
      <c r="I3" s="199"/>
    </row>
    <row r="4" spans="1:9" ht="24" x14ac:dyDescent="0.25">
      <c r="A4" s="433" t="s">
        <v>172</v>
      </c>
      <c r="B4" s="203" t="s">
        <v>127</v>
      </c>
      <c r="C4" s="204" t="s">
        <v>150</v>
      </c>
      <c r="D4" s="205">
        <v>2.5</v>
      </c>
      <c r="E4" s="206">
        <v>5</v>
      </c>
      <c r="F4" s="199"/>
      <c r="G4" s="203" t="s">
        <v>132</v>
      </c>
      <c r="H4" s="219" t="s">
        <v>149</v>
      </c>
      <c r="I4" s="199"/>
    </row>
    <row r="5" spans="1:9" ht="24" x14ac:dyDescent="0.25">
      <c r="A5" s="434"/>
      <c r="B5" s="207" t="s">
        <v>128</v>
      </c>
      <c r="C5" s="208" t="s">
        <v>139</v>
      </c>
      <c r="D5" s="209">
        <v>5.166666666666667</v>
      </c>
      <c r="E5" s="210">
        <v>31</v>
      </c>
      <c r="F5" s="199"/>
      <c r="G5" s="213" t="s">
        <v>133</v>
      </c>
      <c r="H5" s="220">
        <v>6.3965062094616651E-2</v>
      </c>
      <c r="I5" s="199"/>
    </row>
    <row r="6" spans="1:9" x14ac:dyDescent="0.25">
      <c r="A6" s="434"/>
      <c r="B6" s="207" t="s">
        <v>129</v>
      </c>
      <c r="C6" s="208" t="s">
        <v>148</v>
      </c>
      <c r="D6" s="211"/>
      <c r="E6" s="212"/>
      <c r="F6" s="199"/>
      <c r="G6" s="431" t="s">
        <v>135</v>
      </c>
      <c r="H6" s="431"/>
      <c r="I6" s="199"/>
    </row>
    <row r="7" spans="1:9" x14ac:dyDescent="0.25">
      <c r="A7" s="435"/>
      <c r="B7" s="213" t="s">
        <v>108</v>
      </c>
      <c r="C7" s="214">
        <v>10</v>
      </c>
      <c r="D7" s="215"/>
      <c r="E7" s="216"/>
      <c r="F7" s="199"/>
      <c r="G7" s="431" t="s">
        <v>142</v>
      </c>
      <c r="H7" s="431"/>
      <c r="I7" s="199"/>
    </row>
    <row r="8" spans="1:9" x14ac:dyDescent="0.25">
      <c r="A8" s="431" t="s">
        <v>173</v>
      </c>
      <c r="B8" s="431"/>
      <c r="C8" s="431"/>
      <c r="D8" s="431"/>
      <c r="E8" s="431"/>
      <c r="F8" s="199"/>
    </row>
    <row r="9" spans="1:9" x14ac:dyDescent="0.25">
      <c r="A9" s="431" t="s">
        <v>174</v>
      </c>
      <c r="B9" s="431"/>
      <c r="C9" s="431"/>
      <c r="D9" s="431"/>
      <c r="E9" s="431"/>
      <c r="F9" s="199"/>
    </row>
    <row r="10" spans="1:9" x14ac:dyDescent="0.25">
      <c r="A10" s="431" t="s">
        <v>175</v>
      </c>
      <c r="B10" s="431"/>
      <c r="C10" s="431"/>
      <c r="D10" s="431"/>
      <c r="E10" s="431"/>
      <c r="F10" s="199"/>
    </row>
    <row r="12" spans="1:9" x14ac:dyDescent="0.25">
      <c r="A12" s="430" t="s">
        <v>165</v>
      </c>
      <c r="B12" s="430"/>
      <c r="C12" s="430"/>
      <c r="D12" s="430"/>
      <c r="E12" s="430"/>
      <c r="F12" s="430"/>
      <c r="G12" s="199"/>
    </row>
    <row r="13" spans="1:9" ht="24.75" x14ac:dyDescent="0.25">
      <c r="A13" s="217" t="s">
        <v>5</v>
      </c>
      <c r="B13" s="200" t="s">
        <v>111</v>
      </c>
      <c r="C13" s="201" t="s">
        <v>53</v>
      </c>
      <c r="D13" s="201" t="s">
        <v>87</v>
      </c>
      <c r="E13" s="201" t="s">
        <v>119</v>
      </c>
      <c r="F13" s="202" t="s">
        <v>120</v>
      </c>
      <c r="G13" s="199"/>
    </row>
    <row r="14" spans="1:9" x14ac:dyDescent="0.25">
      <c r="A14" s="203" t="s">
        <v>176</v>
      </c>
      <c r="B14" s="221">
        <v>10</v>
      </c>
      <c r="C14" s="222">
        <v>3.2</v>
      </c>
      <c r="D14" s="223">
        <v>1.2292725943057183</v>
      </c>
      <c r="E14" s="205">
        <v>2</v>
      </c>
      <c r="F14" s="206">
        <v>5</v>
      </c>
      <c r="G14" s="199"/>
    </row>
    <row r="15" spans="1:9" x14ac:dyDescent="0.25">
      <c r="A15" s="213" t="s">
        <v>177</v>
      </c>
      <c r="B15" s="214">
        <v>10</v>
      </c>
      <c r="C15" s="224">
        <v>4.0999999999999996</v>
      </c>
      <c r="D15" s="225">
        <v>0.99442892601175303</v>
      </c>
      <c r="E15" s="226">
        <v>2</v>
      </c>
      <c r="F15" s="227">
        <v>5</v>
      </c>
      <c r="G15" s="199"/>
    </row>
  </sheetData>
  <mergeCells count="10">
    <mergeCell ref="G2:H2"/>
    <mergeCell ref="G6:H6"/>
    <mergeCell ref="G7:H7"/>
    <mergeCell ref="A12:F12"/>
    <mergeCell ref="A2:E2"/>
    <mergeCell ref="A3:B3"/>
    <mergeCell ref="A4:A7"/>
    <mergeCell ref="A8:E8"/>
    <mergeCell ref="A9:E9"/>
    <mergeCell ref="A10:E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9EAEB-027A-4951-91E4-B8A0C913BA3A}">
  <dimension ref="A1:S21"/>
  <sheetViews>
    <sheetView workbookViewId="0">
      <selection activeCell="B2" sqref="B2:B11"/>
    </sheetView>
  </sheetViews>
  <sheetFormatPr defaultRowHeight="15" x14ac:dyDescent="0.25"/>
  <cols>
    <col min="1" max="1" width="27.140625" bestFit="1" customWidth="1"/>
  </cols>
  <sheetData>
    <row r="1" spans="1:19" x14ac:dyDescent="0.25">
      <c r="B1" s="1" t="s">
        <v>33</v>
      </c>
      <c r="C1" s="1" t="s">
        <v>34</v>
      </c>
    </row>
    <row r="2" spans="1:19" x14ac:dyDescent="0.25">
      <c r="B2" s="3">
        <v>1</v>
      </c>
      <c r="C2">
        <v>4</v>
      </c>
      <c r="D2">
        <f>_xlfn.RANK.AVG(B2,$B$2:$B$11,0)</f>
        <v>8.5</v>
      </c>
      <c r="E2">
        <f>_xlfn.RANK.AVG(C2,$C$2:$C$11,0)</f>
        <v>3.5</v>
      </c>
      <c r="N2" s="17">
        <f t="shared" ref="N2:N11" si="0">B2-$B$13</f>
        <v>-0.89999999999999991</v>
      </c>
      <c r="O2" s="18">
        <f>N2^2</f>
        <v>0.80999999999999983</v>
      </c>
      <c r="P2" s="18">
        <f>C2-$C$13</f>
        <v>0.79999999999999982</v>
      </c>
      <c r="Q2" s="19">
        <f>P2^2</f>
        <v>0.63999999999999968</v>
      </c>
      <c r="R2">
        <f>SUM(B2:C2)</f>
        <v>5</v>
      </c>
    </row>
    <row r="3" spans="1:19" x14ac:dyDescent="0.25">
      <c r="B3" s="3">
        <v>1</v>
      </c>
      <c r="C3">
        <v>5</v>
      </c>
      <c r="D3">
        <f t="shared" ref="D3:D11" si="1">_xlfn.RANK.AVG(B3,$B$2:$B$11,0)</f>
        <v>8.5</v>
      </c>
      <c r="E3">
        <f t="shared" ref="E3:E11" si="2">_xlfn.RANK.AVG(C3,$C$2:$C$11,0)</f>
        <v>1.5</v>
      </c>
      <c r="N3" s="20">
        <f t="shared" si="0"/>
        <v>-0.89999999999999991</v>
      </c>
      <c r="O3" s="21">
        <f t="shared" ref="O3:O11" si="3">N3^2</f>
        <v>0.80999999999999983</v>
      </c>
      <c r="P3" s="21">
        <f t="shared" ref="P3:P11" si="4">C3-$C$13</f>
        <v>1.7999999999999998</v>
      </c>
      <c r="Q3" s="22">
        <f t="shared" ref="Q3:Q11" si="5">P3^2</f>
        <v>3.2399999999999993</v>
      </c>
      <c r="R3">
        <f t="shared" ref="R3:R11" si="6">SUM(B3:C3)</f>
        <v>6</v>
      </c>
    </row>
    <row r="4" spans="1:19" x14ac:dyDescent="0.25">
      <c r="B4" s="3">
        <v>1</v>
      </c>
      <c r="C4">
        <v>3</v>
      </c>
      <c r="D4">
        <f t="shared" si="1"/>
        <v>8.5</v>
      </c>
      <c r="E4">
        <f t="shared" si="2"/>
        <v>5.5</v>
      </c>
      <c r="N4" s="20">
        <f t="shared" si="0"/>
        <v>-0.89999999999999991</v>
      </c>
      <c r="O4" s="21">
        <f t="shared" si="3"/>
        <v>0.80999999999999983</v>
      </c>
      <c r="P4" s="21">
        <f t="shared" si="4"/>
        <v>-0.20000000000000018</v>
      </c>
      <c r="Q4" s="22">
        <f t="shared" si="5"/>
        <v>4.000000000000007E-2</v>
      </c>
      <c r="R4">
        <f t="shared" si="6"/>
        <v>4</v>
      </c>
    </row>
    <row r="5" spans="1:19" x14ac:dyDescent="0.25">
      <c r="B5" s="3">
        <v>1</v>
      </c>
      <c r="C5">
        <v>2</v>
      </c>
      <c r="D5">
        <f t="shared" si="1"/>
        <v>8.5</v>
      </c>
      <c r="E5">
        <f t="shared" si="2"/>
        <v>8.5</v>
      </c>
      <c r="N5" s="20">
        <f t="shared" si="0"/>
        <v>-0.89999999999999991</v>
      </c>
      <c r="O5" s="21">
        <f t="shared" si="3"/>
        <v>0.80999999999999983</v>
      </c>
      <c r="P5" s="21">
        <f t="shared" si="4"/>
        <v>-1.2000000000000002</v>
      </c>
      <c r="Q5" s="22">
        <f t="shared" si="5"/>
        <v>1.4400000000000004</v>
      </c>
      <c r="R5">
        <f t="shared" si="6"/>
        <v>3</v>
      </c>
    </row>
    <row r="6" spans="1:19" x14ac:dyDescent="0.25">
      <c r="B6" s="3">
        <v>2</v>
      </c>
      <c r="C6">
        <v>4</v>
      </c>
      <c r="D6">
        <f t="shared" si="1"/>
        <v>4.5</v>
      </c>
      <c r="E6">
        <f t="shared" si="2"/>
        <v>3.5</v>
      </c>
      <c r="N6" s="20">
        <f t="shared" si="0"/>
        <v>0.10000000000000009</v>
      </c>
      <c r="O6" s="21">
        <f t="shared" si="3"/>
        <v>1.0000000000000018E-2</v>
      </c>
      <c r="P6" s="21">
        <f t="shared" si="4"/>
        <v>0.79999999999999982</v>
      </c>
      <c r="Q6" s="22">
        <f t="shared" si="5"/>
        <v>0.63999999999999968</v>
      </c>
      <c r="R6">
        <f t="shared" si="6"/>
        <v>6</v>
      </c>
    </row>
    <row r="7" spans="1:19" x14ac:dyDescent="0.25">
      <c r="B7" s="3">
        <v>2</v>
      </c>
      <c r="C7">
        <v>5</v>
      </c>
      <c r="D7">
        <f t="shared" si="1"/>
        <v>4.5</v>
      </c>
      <c r="E7">
        <f t="shared" si="2"/>
        <v>1.5</v>
      </c>
      <c r="N7" s="20">
        <f t="shared" si="0"/>
        <v>0.10000000000000009</v>
      </c>
      <c r="O7" s="21">
        <f t="shared" si="3"/>
        <v>1.0000000000000018E-2</v>
      </c>
      <c r="P7" s="21">
        <f t="shared" si="4"/>
        <v>1.7999999999999998</v>
      </c>
      <c r="Q7" s="22">
        <f t="shared" si="5"/>
        <v>3.2399999999999993</v>
      </c>
      <c r="R7">
        <f t="shared" si="6"/>
        <v>7</v>
      </c>
    </row>
    <row r="8" spans="1:19" x14ac:dyDescent="0.25">
      <c r="B8" s="3">
        <v>2</v>
      </c>
      <c r="C8">
        <v>2</v>
      </c>
      <c r="D8">
        <f t="shared" si="1"/>
        <v>4.5</v>
      </c>
      <c r="E8">
        <f t="shared" si="2"/>
        <v>8.5</v>
      </c>
      <c r="N8" s="20">
        <f t="shared" si="0"/>
        <v>0.10000000000000009</v>
      </c>
      <c r="O8" s="21">
        <f t="shared" si="3"/>
        <v>1.0000000000000018E-2</v>
      </c>
      <c r="P8" s="21">
        <f t="shared" si="4"/>
        <v>-1.2000000000000002</v>
      </c>
      <c r="Q8" s="22">
        <f t="shared" si="5"/>
        <v>1.4400000000000004</v>
      </c>
      <c r="R8">
        <f t="shared" si="6"/>
        <v>4</v>
      </c>
    </row>
    <row r="9" spans="1:19" x14ac:dyDescent="0.25">
      <c r="B9" s="3">
        <v>2</v>
      </c>
      <c r="C9">
        <v>2</v>
      </c>
      <c r="D9">
        <f t="shared" si="1"/>
        <v>4.5</v>
      </c>
      <c r="E9">
        <f t="shared" si="2"/>
        <v>8.5</v>
      </c>
      <c r="N9" s="20">
        <f t="shared" si="0"/>
        <v>0.10000000000000009</v>
      </c>
      <c r="O9" s="21">
        <f t="shared" si="3"/>
        <v>1.0000000000000018E-2</v>
      </c>
      <c r="P9" s="21">
        <f t="shared" si="4"/>
        <v>-1.2000000000000002</v>
      </c>
      <c r="Q9" s="22">
        <f t="shared" si="5"/>
        <v>1.4400000000000004</v>
      </c>
      <c r="R9">
        <f t="shared" si="6"/>
        <v>4</v>
      </c>
    </row>
    <row r="10" spans="1:19" x14ac:dyDescent="0.25">
      <c r="B10" s="3">
        <v>3</v>
      </c>
      <c r="C10">
        <v>2</v>
      </c>
      <c r="D10">
        <f t="shared" si="1"/>
        <v>2</v>
      </c>
      <c r="E10">
        <f t="shared" si="2"/>
        <v>8.5</v>
      </c>
      <c r="N10" s="20">
        <f t="shared" si="0"/>
        <v>1.1000000000000001</v>
      </c>
      <c r="O10" s="21">
        <f t="shared" si="3"/>
        <v>1.2100000000000002</v>
      </c>
      <c r="P10" s="21">
        <f t="shared" si="4"/>
        <v>-1.2000000000000002</v>
      </c>
      <c r="Q10" s="22">
        <f t="shared" si="5"/>
        <v>1.4400000000000004</v>
      </c>
      <c r="R10">
        <f t="shared" si="6"/>
        <v>5</v>
      </c>
    </row>
    <row r="11" spans="1:19" x14ac:dyDescent="0.25">
      <c r="B11" s="3">
        <v>4</v>
      </c>
      <c r="C11">
        <v>3</v>
      </c>
      <c r="D11">
        <f t="shared" si="1"/>
        <v>1</v>
      </c>
      <c r="E11">
        <f t="shared" si="2"/>
        <v>5.5</v>
      </c>
      <c r="N11" s="23">
        <f t="shared" si="0"/>
        <v>2.1</v>
      </c>
      <c r="O11" s="24">
        <f t="shared" si="3"/>
        <v>4.41</v>
      </c>
      <c r="P11" s="24">
        <f t="shared" si="4"/>
        <v>-0.20000000000000018</v>
      </c>
      <c r="Q11" s="25">
        <f t="shared" si="5"/>
        <v>4.000000000000007E-2</v>
      </c>
      <c r="R11">
        <f t="shared" si="6"/>
        <v>7</v>
      </c>
    </row>
    <row r="12" spans="1:19" x14ac:dyDescent="0.25">
      <c r="A12" t="s">
        <v>92</v>
      </c>
      <c r="B12" s="3">
        <f>_xlfn.VAR.P(B2:B11)</f>
        <v>0.89</v>
      </c>
      <c r="C12" s="3">
        <f>_xlfn.VAR.P(C2:C11)</f>
        <v>1.36</v>
      </c>
      <c r="N12" s="21"/>
      <c r="O12" s="21"/>
      <c r="P12" s="21"/>
      <c r="Q12" s="21"/>
      <c r="R12">
        <f>SUBTOTAL(9,R2:R11)</f>
        <v>51</v>
      </c>
      <c r="S12">
        <f>SUM(B12:C12)</f>
        <v>2.25</v>
      </c>
    </row>
    <row r="13" spans="1:19" x14ac:dyDescent="0.25">
      <c r="A13" t="s">
        <v>53</v>
      </c>
      <c r="B13" s="28">
        <f>AVERAGE(B2:B11)</f>
        <v>1.9</v>
      </c>
      <c r="C13" s="28">
        <f>AVERAGE(C2:C11)</f>
        <v>3.2</v>
      </c>
    </row>
    <row r="14" spans="1:19" x14ac:dyDescent="0.25">
      <c r="A14" t="s">
        <v>87</v>
      </c>
      <c r="B14" s="15">
        <f>_xlfn.STDEV.P(B2:B11,C2:C11)</f>
        <v>1.243985530462473</v>
      </c>
      <c r="C14" s="28"/>
    </row>
    <row r="15" spans="1:19" x14ac:dyDescent="0.25">
      <c r="A15" t="s">
        <v>103</v>
      </c>
      <c r="B15" s="36">
        <f>SQRT(0.0691)</f>
        <v>0.26286878856189833</v>
      </c>
      <c r="C15" s="15"/>
    </row>
    <row r="16" spans="1:19" x14ac:dyDescent="0.25">
      <c r="A16" t="s">
        <v>26</v>
      </c>
      <c r="B16" s="10">
        <f>CORREL(E2:E11,D2:D11)</f>
        <v>-0.26269923732701628</v>
      </c>
      <c r="C16">
        <f>B16*SQRT(B19)/(1-B16^2)</f>
        <v>-0.7981034793639733</v>
      </c>
    </row>
    <row r="17" spans="1:3" x14ac:dyDescent="0.25">
      <c r="A17" t="s">
        <v>104</v>
      </c>
      <c r="B17" s="33">
        <v>10</v>
      </c>
    </row>
    <row r="18" spans="1:3" x14ac:dyDescent="0.25">
      <c r="A18" t="s">
        <v>107</v>
      </c>
      <c r="B18">
        <f>_xlfn.T.DIST.2T(ABS(C16),B19)</f>
        <v>0.44785157168887602</v>
      </c>
    </row>
    <row r="19" spans="1:3" x14ac:dyDescent="0.25">
      <c r="A19" t="s">
        <v>28</v>
      </c>
      <c r="B19" s="33">
        <f>B17-2</f>
        <v>8</v>
      </c>
    </row>
    <row r="20" spans="1:3" x14ac:dyDescent="0.25">
      <c r="A20" t="s">
        <v>90</v>
      </c>
      <c r="B20" s="26" t="s">
        <v>147</v>
      </c>
      <c r="C20" s="16">
        <f>SQRT(SUM(Q2:Q10)/(B17*(B17-1)))</f>
        <v>0.38815804341359034</v>
      </c>
    </row>
    <row r="21" spans="1:3" x14ac:dyDescent="0.25">
      <c r="A21" t="s">
        <v>91</v>
      </c>
      <c r="B21" s="16">
        <f>SQRT(SUM(O2:O13)/(B17*(B17-1)))</f>
        <v>0.31446603773522014</v>
      </c>
      <c r="C21" s="26" t="s">
        <v>147</v>
      </c>
    </row>
  </sheetData>
  <pageMargins left="0.7" right="0.7" top="0.75" bottom="0.75" header="0.3" footer="0.3"/>
  <pageSetup orientation="portrait" horizontalDpi="4294967293" verticalDpi="4294967293"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ADA5C-A052-41EA-9AD3-DF4BAA4A2816}">
  <sheetPr>
    <tabColor theme="9"/>
  </sheetPr>
  <dimension ref="A1:C18"/>
  <sheetViews>
    <sheetView workbookViewId="0">
      <selection activeCell="B2" sqref="B2:B11"/>
    </sheetView>
  </sheetViews>
  <sheetFormatPr defaultRowHeight="15" x14ac:dyDescent="0.25"/>
  <cols>
    <col min="1" max="1" width="18.85546875" bestFit="1" customWidth="1"/>
    <col min="2" max="3" width="11.7109375" bestFit="1" customWidth="1"/>
  </cols>
  <sheetData>
    <row r="1" spans="1:3" x14ac:dyDescent="0.25">
      <c r="B1" s="1" t="s">
        <v>33</v>
      </c>
      <c r="C1" s="1" t="s">
        <v>34</v>
      </c>
    </row>
    <row r="2" spans="1:3" x14ac:dyDescent="0.25">
      <c r="B2" s="3">
        <v>1</v>
      </c>
      <c r="C2">
        <v>2</v>
      </c>
    </row>
    <row r="3" spans="1:3" x14ac:dyDescent="0.25">
      <c r="B3" s="3">
        <v>1</v>
      </c>
      <c r="C3">
        <v>1</v>
      </c>
    </row>
    <row r="4" spans="1:3" x14ac:dyDescent="0.25">
      <c r="B4" s="3">
        <v>1</v>
      </c>
      <c r="C4">
        <v>3</v>
      </c>
    </row>
    <row r="5" spans="1:3" x14ac:dyDescent="0.25">
      <c r="B5" s="3">
        <v>1</v>
      </c>
      <c r="C5">
        <v>4</v>
      </c>
    </row>
    <row r="6" spans="1:3" x14ac:dyDescent="0.25">
      <c r="B6" s="3">
        <v>2</v>
      </c>
      <c r="C6">
        <v>2</v>
      </c>
    </row>
    <row r="7" spans="1:3" x14ac:dyDescent="0.25">
      <c r="B7" s="3">
        <v>2</v>
      </c>
      <c r="C7">
        <v>1</v>
      </c>
    </row>
    <row r="8" spans="1:3" x14ac:dyDescent="0.25">
      <c r="B8" s="3">
        <v>2</v>
      </c>
      <c r="C8">
        <v>4</v>
      </c>
    </row>
    <row r="9" spans="1:3" x14ac:dyDescent="0.25">
      <c r="B9" s="3">
        <v>2</v>
      </c>
      <c r="C9">
        <v>4</v>
      </c>
    </row>
    <row r="10" spans="1:3" x14ac:dyDescent="0.25">
      <c r="B10" s="3">
        <v>3</v>
      </c>
      <c r="C10">
        <v>4</v>
      </c>
    </row>
    <row r="11" spans="1:3" x14ac:dyDescent="0.25">
      <c r="B11" s="3">
        <v>4</v>
      </c>
      <c r="C11">
        <v>3</v>
      </c>
    </row>
    <row r="12" spans="1:3" x14ac:dyDescent="0.25">
      <c r="B12" s="3" t="s">
        <v>52</v>
      </c>
      <c r="C12" t="s">
        <v>51</v>
      </c>
    </row>
    <row r="13" spans="1:3" x14ac:dyDescent="0.25">
      <c r="A13" s="2" t="s">
        <v>54</v>
      </c>
      <c r="B13" s="27">
        <f>COUNTIF(B2:B11,1)/10</f>
        <v>0.4</v>
      </c>
      <c r="C13" s="27">
        <f>COUNTIF(C2:C11,1)/10</f>
        <v>0.2</v>
      </c>
    </row>
    <row r="14" spans="1:3" x14ac:dyDescent="0.25">
      <c r="A14" s="2" t="s">
        <v>55</v>
      </c>
      <c r="B14" s="27">
        <f>COUNTIF(B2:B11,2)/10</f>
        <v>0.4</v>
      </c>
      <c r="C14" s="27">
        <f>COUNTIF(C2:C11,2)/10</f>
        <v>0.2</v>
      </c>
    </row>
    <row r="15" spans="1:3" x14ac:dyDescent="0.25">
      <c r="A15" t="s">
        <v>56</v>
      </c>
      <c r="B15" s="13">
        <f>COUNTIF(B2:B11,3)/10</f>
        <v>0.1</v>
      </c>
      <c r="C15" s="13">
        <f>COUNTIF(C2:C11,3)/10</f>
        <v>0.2</v>
      </c>
    </row>
    <row r="16" spans="1:3" x14ac:dyDescent="0.25">
      <c r="A16" t="s">
        <v>57</v>
      </c>
      <c r="B16" s="13">
        <f>COUNTIF(B2:B11,4)/10</f>
        <v>0.1</v>
      </c>
      <c r="C16" s="13">
        <f>COUNTIF(C2:C11,4)/10</f>
        <v>0.4</v>
      </c>
    </row>
    <row r="17" spans="1:3" x14ac:dyDescent="0.25">
      <c r="A17" t="s">
        <v>58</v>
      </c>
      <c r="B17" s="13">
        <f>COUNTIF(B2:B11,5)/10</f>
        <v>0</v>
      </c>
      <c r="C17" s="13">
        <f>COUNTIF(C2:C11,5)/10</f>
        <v>0</v>
      </c>
    </row>
    <row r="18" spans="1:3" x14ac:dyDescent="0.25">
      <c r="A18" t="s">
        <v>87</v>
      </c>
      <c r="B18" s="16">
        <f>_xlfn.STDEV.P(B2:B11)</f>
        <v>0.94339811320566036</v>
      </c>
      <c r="C18" s="16">
        <f>_xlfn.STDEV.P(C2:C11)</f>
        <v>1.1661903789690602</v>
      </c>
    </row>
  </sheetData>
  <pageMargins left="0.7" right="0.7" top="0.75" bottom="0.75" header="0.3" footer="0.3"/>
  <pageSetup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Wilcoxon</vt:lpstr>
      <vt:lpstr>S-Ambiguity</vt:lpstr>
      <vt:lpstr>Amb.Trend</vt:lpstr>
      <vt:lpstr>Wilcoxon-Frag</vt:lpstr>
      <vt:lpstr>Fragmentation</vt:lpstr>
      <vt:lpstr>Frag. Trend</vt:lpstr>
      <vt:lpstr>Wilcoxon-uncert</vt:lpstr>
      <vt:lpstr>Shared uncertainty</vt:lpstr>
      <vt:lpstr>Uncert. Trend</vt:lpstr>
      <vt:lpstr>Wilcoxon-Contruct</vt:lpstr>
      <vt:lpstr>S-Group Construct</vt:lpstr>
      <vt:lpstr>Constr. Trend</vt:lpstr>
      <vt:lpstr>Wilcoxon-Dialogue</vt:lpstr>
      <vt:lpstr>S-Group Dialogue</vt:lpstr>
      <vt:lpstr>Engage Trend</vt:lpstr>
      <vt:lpstr>Wilcoxon-ConMean</vt:lpstr>
      <vt:lpstr>S-Shared meaning</vt:lpstr>
      <vt:lpstr>Share Trend</vt:lpstr>
      <vt:lpstr>Wilcoxon-Diversity</vt:lpstr>
      <vt:lpstr>S-Group diversity</vt:lpstr>
      <vt:lpstr>Diversity Trend</vt:lpstr>
      <vt:lpstr>Wilcoxon-Ref integory</vt:lpstr>
      <vt:lpstr>S-Ref integrity</vt:lpstr>
      <vt:lpstr>Ref. int. Trend</vt:lpstr>
      <vt:lpstr>Wilcoxon-Relintegrity</vt:lpstr>
      <vt:lpstr>S-Rel integrity</vt:lpstr>
      <vt:lpstr>Rel. int. Trend</vt:lpstr>
      <vt:lpstr>Wilcoxon -hypothesis 1</vt:lpstr>
      <vt:lpstr>Wilcoxon-hypothesis 2</vt:lpstr>
      <vt:lpstr>Baseline Demographics</vt:lpstr>
      <vt:lpstr>Debriefing</vt:lpstr>
      <vt:lpstr>Debriefing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Laptop</cp:lastModifiedBy>
  <dcterms:created xsi:type="dcterms:W3CDTF">2021-10-06T12:22:29Z</dcterms:created>
  <dcterms:modified xsi:type="dcterms:W3CDTF">2022-05-04T19:36:24Z</dcterms:modified>
</cp:coreProperties>
</file>