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Tuks\Post graduate\My trail\Carcass parameters\"/>
    </mc:Choice>
  </mc:AlternateContent>
  <xr:revisionPtr revIDLastSave="0" documentId="13_ncr:1_{575B214A-B1D6-4D82-8C50-80C997C8C8D4}" xr6:coauthVersionLast="45" xr6:coauthVersionMax="46" xr10:uidLastSave="{00000000-0000-0000-0000-000000000000}"/>
  <bookViews>
    <workbookView xWindow="-108" yWindow="-108" windowWidth="23256" windowHeight="12576" firstSheet="3" activeTab="5" xr2:uid="{C550E194-FC2E-4E87-9735-82005B89A1A0}"/>
  </bookViews>
  <sheets>
    <sheet name="Slaughter order" sheetId="1" r:id="rId1"/>
    <sheet name="Missing one" sheetId="2" r:id="rId2"/>
    <sheet name="figuring out missed one" sheetId="3" r:id="rId3"/>
    <sheet name="Main sheet" sheetId="4" r:id="rId4"/>
    <sheet name="Chanel fat mass calculation" sheetId="6" r:id="rId5"/>
    <sheet name="Carcass analysis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7" i="5" l="1"/>
  <c r="F14" i="5"/>
  <c r="F13" i="5"/>
  <c r="F12" i="5"/>
  <c r="F11" i="5"/>
  <c r="P6" i="5"/>
  <c r="P5" i="5"/>
  <c r="P4" i="5"/>
  <c r="P3" i="5"/>
  <c r="M6" i="5"/>
  <c r="M5" i="5"/>
  <c r="M4" i="5"/>
  <c r="M3" i="5"/>
  <c r="J6" i="5"/>
  <c r="J5" i="5"/>
  <c r="J4" i="5"/>
  <c r="J3" i="5"/>
  <c r="I6" i="5"/>
  <c r="I5" i="5"/>
  <c r="I4" i="5"/>
  <c r="I3" i="5"/>
  <c r="F6" i="5"/>
  <c r="F5" i="5"/>
  <c r="F4" i="5"/>
  <c r="F3" i="5"/>
  <c r="C9" i="5"/>
  <c r="C16" i="5"/>
  <c r="C15" i="5"/>
  <c r="C14" i="5"/>
  <c r="C13" i="5"/>
  <c r="C12" i="5"/>
  <c r="C11" i="5"/>
  <c r="C10" i="5"/>
  <c r="C8" i="5"/>
  <c r="C7" i="5"/>
  <c r="C5" i="5"/>
  <c r="C6" i="5"/>
  <c r="C4" i="5"/>
  <c r="C3" i="5"/>
  <c r="G23" i="4" l="1"/>
  <c r="G19" i="4"/>
  <c r="G24" i="4"/>
  <c r="G6" i="4"/>
  <c r="G14" i="4"/>
  <c r="G27" i="4"/>
  <c r="G9" i="4"/>
  <c r="G12" i="4"/>
  <c r="G29" i="4"/>
  <c r="G3" i="4"/>
  <c r="G18" i="4"/>
  <c r="G5" i="4"/>
  <c r="G15" i="4"/>
  <c r="G2" i="4"/>
  <c r="G11" i="4"/>
  <c r="G21" i="4"/>
  <c r="G25" i="4"/>
  <c r="G28" i="4"/>
  <c r="G17" i="4"/>
  <c r="G26" i="4"/>
  <c r="G4" i="4"/>
  <c r="G10" i="4"/>
  <c r="G13" i="4"/>
  <c r="G22" i="4"/>
  <c r="G20" i="4"/>
  <c r="G16" i="4"/>
  <c r="G8" i="4"/>
  <c r="G7" i="4"/>
  <c r="G38" i="4"/>
  <c r="G53" i="4"/>
  <c r="G42" i="4"/>
  <c r="G49" i="4"/>
  <c r="G50" i="4"/>
  <c r="G40" i="4"/>
  <c r="G32" i="4"/>
  <c r="G44" i="4"/>
  <c r="G51" i="4"/>
  <c r="G34" i="4"/>
  <c r="G58" i="4"/>
  <c r="G57" i="4"/>
  <c r="G43" i="4"/>
  <c r="G55" i="4"/>
  <c r="G37" i="4"/>
  <c r="G41" i="4"/>
  <c r="G59" i="4"/>
  <c r="G36" i="4"/>
  <c r="G54" i="4"/>
  <c r="G47" i="4"/>
  <c r="G31" i="4"/>
  <c r="G56" i="4"/>
  <c r="G52" i="4"/>
  <c r="G48" i="4"/>
  <c r="G45" i="4"/>
  <c r="G46" i="4"/>
  <c r="G30" i="4"/>
  <c r="G35" i="4"/>
  <c r="G39" i="4"/>
  <c r="G33" i="4"/>
  <c r="G85" i="4"/>
  <c r="G80" i="4"/>
  <c r="G74" i="4"/>
  <c r="G67" i="4"/>
  <c r="G68" i="4"/>
  <c r="G73" i="4"/>
  <c r="G86" i="4"/>
  <c r="G76" i="4"/>
  <c r="G60" i="4"/>
  <c r="G61" i="4"/>
  <c r="G89" i="4"/>
  <c r="G71" i="4"/>
  <c r="G82" i="4"/>
  <c r="G81" i="4"/>
  <c r="G78" i="4"/>
  <c r="G66" i="4"/>
  <c r="G65" i="4"/>
  <c r="G75" i="4"/>
  <c r="G88" i="4"/>
  <c r="G84" i="4"/>
  <c r="G69" i="4"/>
  <c r="G64" i="4"/>
  <c r="G70" i="4"/>
  <c r="G62" i="4"/>
  <c r="G87" i="4"/>
  <c r="G77" i="4"/>
  <c r="G72" i="4"/>
  <c r="G83" i="4"/>
  <c r="G79" i="4"/>
  <c r="G63" i="4"/>
  <c r="G116" i="4"/>
  <c r="G104" i="4"/>
  <c r="G92" i="4"/>
  <c r="G109" i="4"/>
  <c r="G94" i="4"/>
  <c r="G103" i="4"/>
  <c r="G115" i="4"/>
  <c r="G105" i="4"/>
  <c r="G111" i="4"/>
  <c r="G98" i="4"/>
  <c r="G100" i="4"/>
  <c r="G96" i="4"/>
  <c r="G99" i="4"/>
  <c r="G108" i="4"/>
  <c r="G101" i="4"/>
  <c r="G90" i="4"/>
  <c r="G113" i="4"/>
  <c r="G107" i="4"/>
  <c r="G97" i="4"/>
  <c r="G91" i="4"/>
  <c r="G95" i="4"/>
  <c r="G114" i="4"/>
  <c r="G106" i="4"/>
  <c r="G112" i="4"/>
  <c r="G93" i="4"/>
  <c r="G110" i="4"/>
  <c r="G102" i="4"/>
  <c r="AD19" i="4"/>
  <c r="AD24" i="4"/>
  <c r="AD6" i="4"/>
  <c r="AD14" i="4"/>
  <c r="AD27" i="4"/>
  <c r="AD9" i="4"/>
  <c r="AD12" i="4"/>
  <c r="AD29" i="4"/>
  <c r="AD3" i="4"/>
  <c r="AD18" i="4"/>
  <c r="AD5" i="4"/>
  <c r="AD15" i="4"/>
  <c r="AD2" i="4"/>
  <c r="AD11" i="4"/>
  <c r="AD21" i="4"/>
  <c r="AD25" i="4"/>
  <c r="AD28" i="4"/>
  <c r="AD17" i="4"/>
  <c r="AD26" i="4"/>
  <c r="AD4" i="4"/>
  <c r="AD10" i="4"/>
  <c r="AD13" i="4"/>
  <c r="AD22" i="4"/>
  <c r="AD20" i="4"/>
  <c r="AD16" i="4"/>
  <c r="AD8" i="4"/>
  <c r="AD7" i="4"/>
  <c r="AD38" i="4"/>
  <c r="AD53" i="4"/>
  <c r="AD42" i="4"/>
  <c r="AD49" i="4"/>
  <c r="AD50" i="4"/>
  <c r="AD40" i="4"/>
  <c r="AD32" i="4"/>
  <c r="AD44" i="4"/>
  <c r="AD51" i="4"/>
  <c r="AD34" i="4"/>
  <c r="AD58" i="4"/>
  <c r="AD57" i="4"/>
  <c r="AD43" i="4"/>
  <c r="AD55" i="4"/>
  <c r="AD37" i="4"/>
  <c r="AD41" i="4"/>
  <c r="AD59" i="4"/>
  <c r="AD36" i="4"/>
  <c r="AD54" i="4"/>
  <c r="AD47" i="4"/>
  <c r="AD31" i="4"/>
  <c r="AD56" i="4"/>
  <c r="AD52" i="4"/>
  <c r="AD48" i="4"/>
  <c r="AD45" i="4"/>
  <c r="AD46" i="4"/>
  <c r="AD30" i="4"/>
  <c r="AD35" i="4"/>
  <c r="AD39" i="4"/>
  <c r="AD33" i="4"/>
  <c r="AD85" i="4"/>
  <c r="AD80" i="4"/>
  <c r="AD74" i="4"/>
  <c r="AD67" i="4"/>
  <c r="AD68" i="4"/>
  <c r="AD73" i="4"/>
  <c r="AD86" i="4"/>
  <c r="AD76" i="4"/>
  <c r="AD60" i="4"/>
  <c r="AD61" i="4"/>
  <c r="AD89" i="4"/>
  <c r="AD71" i="4"/>
  <c r="AD82" i="4"/>
  <c r="AD81" i="4"/>
  <c r="AD78" i="4"/>
  <c r="AD66" i="4"/>
  <c r="AD65" i="4"/>
  <c r="AD75" i="4"/>
  <c r="AD88" i="4"/>
  <c r="AD84" i="4"/>
  <c r="AD69" i="4"/>
  <c r="AD64" i="4"/>
  <c r="AD70" i="4"/>
  <c r="AD62" i="4"/>
  <c r="AD87" i="4"/>
  <c r="AD77" i="4"/>
  <c r="AD72" i="4"/>
  <c r="AD83" i="4"/>
  <c r="AD79" i="4"/>
  <c r="AD63" i="4"/>
  <c r="AD116" i="4"/>
  <c r="AD104" i="4"/>
  <c r="AD92" i="4"/>
  <c r="AD109" i="4"/>
  <c r="AD94" i="4"/>
  <c r="AD103" i="4"/>
  <c r="AD115" i="4"/>
  <c r="AD105" i="4"/>
  <c r="AD111" i="4"/>
  <c r="AD98" i="4"/>
  <c r="AD100" i="4"/>
  <c r="AD96" i="4"/>
  <c r="AD99" i="4"/>
  <c r="AD108" i="4"/>
  <c r="AD101" i="4"/>
  <c r="AD90" i="4"/>
  <c r="AD113" i="4"/>
  <c r="AD107" i="4"/>
  <c r="AD97" i="4"/>
  <c r="AD91" i="4"/>
  <c r="AD95" i="4"/>
  <c r="AD114" i="4"/>
  <c r="AD106" i="4"/>
  <c r="AD112" i="4"/>
  <c r="AD93" i="4"/>
  <c r="AD110" i="4"/>
  <c r="AD102" i="4"/>
  <c r="AD23" i="4"/>
  <c r="Y23" i="4"/>
  <c r="Z23" i="4" s="1"/>
  <c r="C6" i="6"/>
  <c r="C3" i="6"/>
  <c r="C4" i="6"/>
  <c r="C5" i="6"/>
  <c r="T19" i="4"/>
  <c r="T24" i="4"/>
  <c r="T6" i="4"/>
  <c r="T14" i="4"/>
  <c r="T27" i="4"/>
  <c r="T9" i="4"/>
  <c r="T12" i="4"/>
  <c r="T29" i="4"/>
  <c r="T3" i="4"/>
  <c r="T18" i="4"/>
  <c r="T5" i="4"/>
  <c r="T15" i="4"/>
  <c r="T2" i="4"/>
  <c r="T11" i="4"/>
  <c r="T21" i="4"/>
  <c r="T25" i="4"/>
  <c r="T28" i="4"/>
  <c r="T17" i="4"/>
  <c r="T26" i="4"/>
  <c r="T4" i="4"/>
  <c r="T10" i="4"/>
  <c r="T13" i="4"/>
  <c r="T22" i="4"/>
  <c r="T20" i="4"/>
  <c r="T16" i="4"/>
  <c r="T8" i="4"/>
  <c r="T7" i="4"/>
  <c r="T38" i="4"/>
  <c r="T53" i="4"/>
  <c r="T42" i="4"/>
  <c r="T49" i="4"/>
  <c r="T50" i="4"/>
  <c r="T40" i="4"/>
  <c r="T32" i="4"/>
  <c r="T44" i="4"/>
  <c r="T51" i="4"/>
  <c r="T34" i="4"/>
  <c r="T58" i="4"/>
  <c r="T57" i="4"/>
  <c r="T43" i="4"/>
  <c r="T55" i="4"/>
  <c r="T37" i="4"/>
  <c r="T41" i="4"/>
  <c r="T59" i="4"/>
  <c r="T36" i="4"/>
  <c r="T54" i="4"/>
  <c r="T47" i="4"/>
  <c r="T31" i="4"/>
  <c r="T56" i="4"/>
  <c r="T52" i="4"/>
  <c r="T48" i="4"/>
  <c r="T45" i="4"/>
  <c r="T46" i="4"/>
  <c r="T30" i="4"/>
  <c r="T35" i="4"/>
  <c r="T39" i="4"/>
  <c r="T33" i="4"/>
  <c r="T85" i="4"/>
  <c r="T80" i="4"/>
  <c r="T74" i="4"/>
  <c r="T67" i="4"/>
  <c r="T68" i="4"/>
  <c r="T73" i="4"/>
  <c r="T86" i="4"/>
  <c r="T76" i="4"/>
  <c r="T60" i="4"/>
  <c r="T61" i="4"/>
  <c r="T89" i="4"/>
  <c r="T71" i="4"/>
  <c r="T82" i="4"/>
  <c r="T81" i="4"/>
  <c r="T78" i="4"/>
  <c r="T66" i="4"/>
  <c r="T65" i="4"/>
  <c r="T75" i="4"/>
  <c r="T88" i="4"/>
  <c r="T84" i="4"/>
  <c r="T69" i="4"/>
  <c r="T64" i="4"/>
  <c r="T70" i="4"/>
  <c r="T62" i="4"/>
  <c r="T87" i="4"/>
  <c r="T77" i="4"/>
  <c r="T72" i="4"/>
  <c r="T83" i="4"/>
  <c r="T79" i="4"/>
  <c r="T63" i="4"/>
  <c r="T116" i="4"/>
  <c r="T104" i="4"/>
  <c r="T92" i="4"/>
  <c r="T109" i="4"/>
  <c r="T94" i="4"/>
  <c r="T103" i="4"/>
  <c r="T115" i="4"/>
  <c r="T105" i="4"/>
  <c r="T111" i="4"/>
  <c r="T98" i="4"/>
  <c r="T100" i="4"/>
  <c r="T96" i="4"/>
  <c r="T99" i="4"/>
  <c r="T108" i="4"/>
  <c r="T101" i="4"/>
  <c r="T90" i="4"/>
  <c r="T113" i="4"/>
  <c r="T107" i="4"/>
  <c r="T97" i="4"/>
  <c r="T91" i="4"/>
  <c r="T95" i="4"/>
  <c r="T114" i="4"/>
  <c r="T106" i="4"/>
  <c r="T112" i="4"/>
  <c r="T93" i="4"/>
  <c r="T110" i="4"/>
  <c r="T102" i="4"/>
  <c r="T23" i="4"/>
  <c r="Y33" i="4"/>
  <c r="Z33" i="4" s="1"/>
  <c r="Y63" i="4"/>
  <c r="Z63" i="4" s="1"/>
  <c r="Y39" i="4"/>
  <c r="Z39" i="4" s="1"/>
  <c r="Y35" i="4"/>
  <c r="Z35" i="4" s="1"/>
  <c r="Y30" i="4"/>
  <c r="Z30" i="4" s="1"/>
  <c r="Y79" i="4"/>
  <c r="Z79" i="4" s="1"/>
  <c r="Y83" i="4"/>
  <c r="Z83" i="4" s="1"/>
  <c r="Y46" i="4"/>
  <c r="Z46" i="4" s="1"/>
  <c r="Y72" i="4"/>
  <c r="Z72" i="4" s="1"/>
  <c r="Y45" i="4"/>
  <c r="Z45" i="4" s="1"/>
  <c r="Y48" i="4"/>
  <c r="Z48" i="4" s="1"/>
  <c r="Y52" i="4"/>
  <c r="Z52" i="4" s="1"/>
  <c r="Y56" i="4"/>
  <c r="Z56" i="4" s="1"/>
  <c r="Y31" i="4"/>
  <c r="Z31" i="4" s="1"/>
  <c r="Y47" i="4"/>
  <c r="Z47" i="4" s="1"/>
  <c r="Y54" i="4"/>
  <c r="Z54" i="4" s="1"/>
  <c r="Y36" i="4"/>
  <c r="Z36" i="4" s="1"/>
  <c r="Y59" i="4"/>
  <c r="Z59" i="4" s="1"/>
  <c r="Y77" i="4"/>
  <c r="Z77" i="4" s="1"/>
  <c r="Y41" i="4"/>
  <c r="Z41" i="4" s="1"/>
  <c r="Y87" i="4"/>
  <c r="Z87" i="4" s="1"/>
  <c r="Y37" i="4"/>
  <c r="Z37" i="4" s="1"/>
  <c r="Y55" i="4"/>
  <c r="Z55" i="4" s="1"/>
  <c r="Y62" i="4"/>
  <c r="Z62" i="4" s="1"/>
  <c r="Y70" i="4"/>
  <c r="Z70" i="4" s="1"/>
  <c r="Y43" i="4"/>
  <c r="Z43" i="4" s="1"/>
  <c r="Y57" i="4"/>
  <c r="Z57" i="4" s="1"/>
  <c r="Y58" i="4"/>
  <c r="Z58" i="4" s="1"/>
  <c r="Y34" i="4"/>
  <c r="Z34" i="4" s="1"/>
  <c r="Y64" i="4"/>
  <c r="Z64" i="4" s="1"/>
  <c r="Y51" i="4"/>
  <c r="Z51" i="4" s="1"/>
  <c r="Y44" i="4"/>
  <c r="Z44" i="4" s="1"/>
  <c r="Y32" i="4"/>
  <c r="Z32" i="4" s="1"/>
  <c r="Y40" i="4"/>
  <c r="Z40" i="4" s="1"/>
  <c r="Y50" i="4"/>
  <c r="Z50" i="4" s="1"/>
  <c r="Y49" i="4"/>
  <c r="Z49" i="4" s="1"/>
  <c r="Y42" i="4"/>
  <c r="Z42" i="4" s="1"/>
  <c r="Y53" i="4"/>
  <c r="Z53" i="4" s="1"/>
  <c r="Y38" i="4"/>
  <c r="Z38" i="4" s="1"/>
  <c r="Y69" i="4"/>
  <c r="Z69" i="4" s="1"/>
  <c r="Y84" i="4"/>
  <c r="Z84" i="4" s="1"/>
  <c r="Y88" i="4"/>
  <c r="Z88" i="4" s="1"/>
  <c r="Y75" i="4"/>
  <c r="Z75" i="4" s="1"/>
  <c r="Y65" i="4"/>
  <c r="Z65" i="4" s="1"/>
  <c r="Y66" i="4"/>
  <c r="Z66" i="4" s="1"/>
  <c r="Y78" i="4"/>
  <c r="Z78" i="4" s="1"/>
  <c r="Y81" i="4"/>
  <c r="Z81" i="4" s="1"/>
  <c r="Y82" i="4"/>
  <c r="Z82" i="4" s="1"/>
  <c r="Y71" i="4"/>
  <c r="Z71" i="4" s="1"/>
  <c r="Y89" i="4"/>
  <c r="Z89" i="4" s="1"/>
  <c r="Y61" i="4"/>
  <c r="Z61" i="4" s="1"/>
  <c r="Y60" i="4"/>
  <c r="Z60" i="4" s="1"/>
  <c r="Y76" i="4"/>
  <c r="Z76" i="4" s="1"/>
  <c r="Y86" i="4"/>
  <c r="Z86" i="4" s="1"/>
  <c r="Y73" i="4"/>
  <c r="Z73" i="4" s="1"/>
  <c r="Y68" i="4"/>
  <c r="Z68" i="4" s="1"/>
  <c r="Y67" i="4"/>
  <c r="Z67" i="4" s="1"/>
  <c r="Y74" i="4"/>
  <c r="Z74" i="4" s="1"/>
  <c r="Y80" i="4"/>
  <c r="Z80" i="4" s="1"/>
  <c r="Y85" i="4"/>
  <c r="Z85" i="4" s="1"/>
  <c r="Y102" i="4"/>
  <c r="Z102" i="4" s="1"/>
  <c r="Y110" i="4"/>
  <c r="Z110" i="4" s="1"/>
  <c r="Y93" i="4"/>
  <c r="Z93" i="4" s="1"/>
  <c r="Y112" i="4"/>
  <c r="Z112" i="4" s="1"/>
  <c r="Y106" i="4"/>
  <c r="Z106" i="4" s="1"/>
  <c r="Y95" i="4"/>
  <c r="Z95" i="4" s="1"/>
  <c r="Y114" i="4"/>
  <c r="Z114" i="4" s="1"/>
  <c r="Y91" i="4"/>
  <c r="Z91" i="4" s="1"/>
  <c r="Y97" i="4"/>
  <c r="Z97" i="4" s="1"/>
  <c r="Y107" i="4"/>
  <c r="Z107" i="4" s="1"/>
  <c r="Y113" i="4"/>
  <c r="Z113" i="4" s="1"/>
  <c r="Y90" i="4"/>
  <c r="Z90" i="4" s="1"/>
  <c r="Y101" i="4"/>
  <c r="Z101" i="4" s="1"/>
  <c r="Y108" i="4"/>
  <c r="Z108" i="4" s="1"/>
  <c r="Y99" i="4"/>
  <c r="Z99" i="4" s="1"/>
  <c r="Y96" i="4"/>
  <c r="Z96" i="4" s="1"/>
  <c r="Y100" i="4"/>
  <c r="Z100" i="4" s="1"/>
  <c r="Y7" i="4"/>
  <c r="Z7" i="4" s="1"/>
  <c r="Y8" i="4"/>
  <c r="Z8" i="4" s="1"/>
  <c r="Y16" i="4"/>
  <c r="Z16" i="4" s="1"/>
  <c r="Y20" i="4"/>
  <c r="Z20" i="4" s="1"/>
  <c r="Y22" i="4"/>
  <c r="Z22" i="4" s="1"/>
  <c r="Y13" i="4"/>
  <c r="Z13" i="4" s="1"/>
  <c r="Y10" i="4"/>
  <c r="Z10" i="4" s="1"/>
  <c r="Y4" i="4"/>
  <c r="Z4" i="4" s="1"/>
  <c r="Y26" i="4"/>
  <c r="Z26" i="4" s="1"/>
  <c r="Y17" i="4"/>
  <c r="Z17" i="4" s="1"/>
  <c r="Y28" i="4"/>
  <c r="Z28" i="4" s="1"/>
  <c r="Y25" i="4"/>
  <c r="Z25" i="4" s="1"/>
  <c r="Y21" i="4"/>
  <c r="Z21" i="4" s="1"/>
  <c r="Y11" i="4"/>
  <c r="Z11" i="4" s="1"/>
  <c r="Y2" i="4"/>
  <c r="Z2" i="4" s="1"/>
  <c r="Y15" i="4"/>
  <c r="Z15" i="4" s="1"/>
  <c r="Y5" i="4"/>
  <c r="Z5" i="4" s="1"/>
  <c r="Y18" i="4"/>
  <c r="Z18" i="4" s="1"/>
  <c r="Y3" i="4"/>
  <c r="Z3" i="4" s="1"/>
  <c r="Y98" i="4"/>
  <c r="Z98" i="4" s="1"/>
  <c r="Y111" i="4"/>
  <c r="Z111" i="4" s="1"/>
  <c r="Y105" i="4"/>
  <c r="Z105" i="4" s="1"/>
  <c r="Y115" i="4"/>
  <c r="Z115" i="4" s="1"/>
  <c r="Y103" i="4"/>
  <c r="Z103" i="4" s="1"/>
  <c r="Y94" i="4"/>
  <c r="Z94" i="4" s="1"/>
  <c r="Y109" i="4"/>
  <c r="Z109" i="4" s="1"/>
  <c r="Y92" i="4"/>
  <c r="Z92" i="4" s="1"/>
  <c r="Y104" i="4"/>
  <c r="Z104" i="4" s="1"/>
  <c r="Y116" i="4"/>
  <c r="Z116" i="4" s="1"/>
  <c r="Y29" i="4"/>
  <c r="Z29" i="4" s="1"/>
  <c r="Y12" i="4"/>
  <c r="Z12" i="4" s="1"/>
  <c r="Y27" i="4"/>
  <c r="Z27" i="4" s="1"/>
  <c r="Y14" i="4"/>
  <c r="Z14" i="4" s="1"/>
  <c r="Y6" i="4"/>
  <c r="Z6" i="4" s="1"/>
  <c r="Y24" i="4"/>
  <c r="Z24" i="4" s="1"/>
  <c r="Y19" i="4"/>
  <c r="Z19" i="4" s="1"/>
  <c r="Y9" i="4"/>
  <c r="Z9" i="4" s="1"/>
  <c r="AC19" i="4"/>
  <c r="AC24" i="4"/>
  <c r="AC6" i="4"/>
  <c r="AC14" i="4"/>
  <c r="AC27" i="4"/>
  <c r="AC9" i="4"/>
  <c r="AC12" i="4"/>
  <c r="AC29" i="4"/>
  <c r="AC116" i="4"/>
  <c r="AC104" i="4"/>
  <c r="AC92" i="4"/>
  <c r="AC109" i="4"/>
  <c r="AC94" i="4"/>
  <c r="AC103" i="4"/>
  <c r="AC115" i="4"/>
  <c r="AC105" i="4"/>
  <c r="AC111" i="4"/>
  <c r="AC98" i="4"/>
  <c r="AC3" i="4"/>
  <c r="AC18" i="4"/>
  <c r="AC5" i="4"/>
  <c r="AC15" i="4"/>
  <c r="AC2" i="4"/>
  <c r="AC11" i="4"/>
  <c r="AC21" i="4"/>
  <c r="AC25" i="4"/>
  <c r="AC28" i="4"/>
  <c r="AC17" i="4"/>
  <c r="AC26" i="4"/>
  <c r="AC4" i="4"/>
  <c r="AC10" i="4"/>
  <c r="AC13" i="4"/>
  <c r="AC22" i="4"/>
  <c r="AC20" i="4"/>
  <c r="AC16" i="4"/>
  <c r="AC8" i="4"/>
  <c r="AC7" i="4"/>
  <c r="AC100" i="4"/>
  <c r="AC96" i="4"/>
  <c r="AC99" i="4"/>
  <c r="AC108" i="4"/>
  <c r="AC101" i="4"/>
  <c r="AC90" i="4"/>
  <c r="AC113" i="4"/>
  <c r="AC107" i="4"/>
  <c r="AC97" i="4"/>
  <c r="AC91" i="4"/>
  <c r="AC95" i="4"/>
  <c r="AC114" i="4"/>
  <c r="AC106" i="4"/>
  <c r="AC112" i="4"/>
  <c r="AC93" i="4"/>
  <c r="AC110" i="4"/>
  <c r="AC102" i="4"/>
  <c r="AC85" i="4"/>
  <c r="AC80" i="4"/>
  <c r="AC74" i="4"/>
  <c r="AC67" i="4"/>
  <c r="AC68" i="4"/>
  <c r="AC73" i="4"/>
  <c r="AC86" i="4"/>
  <c r="AC76" i="4"/>
  <c r="AC60" i="4"/>
  <c r="AC61" i="4"/>
  <c r="AC89" i="4"/>
  <c r="AC71" i="4"/>
  <c r="AC82" i="4"/>
  <c r="AC81" i="4"/>
  <c r="AC78" i="4"/>
  <c r="AC66" i="4"/>
  <c r="AC65" i="4"/>
  <c r="AC75" i="4"/>
  <c r="AC88" i="4"/>
  <c r="AC84" i="4"/>
  <c r="AC69" i="4"/>
  <c r="AC38" i="4"/>
  <c r="AC53" i="4"/>
  <c r="AC42" i="4"/>
  <c r="AC49" i="4"/>
  <c r="AC50" i="4"/>
  <c r="AC40" i="4"/>
  <c r="AC32" i="4"/>
  <c r="AC44" i="4"/>
  <c r="AC51" i="4"/>
  <c r="AC64" i="4"/>
  <c r="AC34" i="4"/>
  <c r="AC58" i="4"/>
  <c r="AC57" i="4"/>
  <c r="AC43" i="4"/>
  <c r="AC70" i="4"/>
  <c r="AC62" i="4"/>
  <c r="AC55" i="4"/>
  <c r="AC37" i="4"/>
  <c r="AC87" i="4"/>
  <c r="AC41" i="4"/>
  <c r="AC77" i="4"/>
  <c r="AC59" i="4"/>
  <c r="AC36" i="4"/>
  <c r="AC54" i="4"/>
  <c r="AC47" i="4"/>
  <c r="AC31" i="4"/>
  <c r="AC56" i="4"/>
  <c r="AC52" i="4"/>
  <c r="AC48" i="4"/>
  <c r="AC45" i="4"/>
  <c r="AC72" i="4"/>
  <c r="AC46" i="4"/>
  <c r="AC83" i="4"/>
  <c r="AC79" i="4"/>
  <c r="AC30" i="4"/>
  <c r="AC35" i="4"/>
  <c r="AC39" i="4"/>
  <c r="AC63" i="4"/>
  <c r="AC33" i="4"/>
  <c r="AC23" i="4"/>
  <c r="W19" i="4"/>
  <c r="W24" i="4"/>
  <c r="W6" i="4"/>
  <c r="W14" i="4"/>
  <c r="W27" i="4"/>
  <c r="W9" i="4"/>
  <c r="W12" i="4"/>
  <c r="W29" i="4"/>
  <c r="W116" i="4"/>
  <c r="W104" i="4"/>
  <c r="W92" i="4"/>
  <c r="W109" i="4"/>
  <c r="W94" i="4"/>
  <c r="W103" i="4"/>
  <c r="W115" i="4"/>
  <c r="W105" i="4"/>
  <c r="W111" i="4"/>
  <c r="W98" i="4"/>
  <c r="W3" i="4"/>
  <c r="W18" i="4"/>
  <c r="W5" i="4"/>
  <c r="W15" i="4"/>
  <c r="W2" i="4"/>
  <c r="W11" i="4"/>
  <c r="W21" i="4"/>
  <c r="W25" i="4"/>
  <c r="W28" i="4"/>
  <c r="W17" i="4"/>
  <c r="W26" i="4"/>
  <c r="W4" i="4"/>
  <c r="W10" i="4"/>
  <c r="W13" i="4"/>
  <c r="W22" i="4"/>
  <c r="W20" i="4"/>
  <c r="W16" i="4"/>
  <c r="W8" i="4"/>
  <c r="W7" i="4"/>
  <c r="W100" i="4"/>
  <c r="W96" i="4"/>
  <c r="W99" i="4"/>
  <c r="W108" i="4"/>
  <c r="W101" i="4"/>
  <c r="W90" i="4"/>
  <c r="W113" i="4"/>
  <c r="W107" i="4"/>
  <c r="W97" i="4"/>
  <c r="W91" i="4"/>
  <c r="W95" i="4"/>
  <c r="W114" i="4"/>
  <c r="W106" i="4"/>
  <c r="W112" i="4"/>
  <c r="W93" i="4"/>
  <c r="W110" i="4"/>
  <c r="W102" i="4"/>
  <c r="W85" i="4"/>
  <c r="W80" i="4"/>
  <c r="W74" i="4"/>
  <c r="W67" i="4"/>
  <c r="W68" i="4"/>
  <c r="W73" i="4"/>
  <c r="W86" i="4"/>
  <c r="W76" i="4"/>
  <c r="W60" i="4"/>
  <c r="W61" i="4"/>
  <c r="W89" i="4"/>
  <c r="W71" i="4"/>
  <c r="W82" i="4"/>
  <c r="W81" i="4"/>
  <c r="W78" i="4"/>
  <c r="W66" i="4"/>
  <c r="W65" i="4"/>
  <c r="W75" i="4"/>
  <c r="W88" i="4"/>
  <c r="W84" i="4"/>
  <c r="W69" i="4"/>
  <c r="W38" i="4"/>
  <c r="W53" i="4"/>
  <c r="W42" i="4"/>
  <c r="W49" i="4"/>
  <c r="W50" i="4"/>
  <c r="W40" i="4"/>
  <c r="W32" i="4"/>
  <c r="W44" i="4"/>
  <c r="W51" i="4"/>
  <c r="W64" i="4"/>
  <c r="W34" i="4"/>
  <c r="W58" i="4"/>
  <c r="W57" i="4"/>
  <c r="W43" i="4"/>
  <c r="W70" i="4"/>
  <c r="W62" i="4"/>
  <c r="W55" i="4"/>
  <c r="W37" i="4"/>
  <c r="W87" i="4"/>
  <c r="W41" i="4"/>
  <c r="W77" i="4"/>
  <c r="W59" i="4"/>
  <c r="W36" i="4"/>
  <c r="W54" i="4"/>
  <c r="W47" i="4"/>
  <c r="W31" i="4"/>
  <c r="W56" i="4"/>
  <c r="W52" i="4"/>
  <c r="W48" i="4"/>
  <c r="W45" i="4"/>
  <c r="W72" i="4"/>
  <c r="W46" i="4"/>
  <c r="W83" i="4"/>
  <c r="W79" i="4"/>
  <c r="W30" i="4"/>
  <c r="W35" i="4"/>
  <c r="W39" i="4"/>
  <c r="W63" i="4"/>
  <c r="W33" i="4"/>
  <c r="W23" i="4"/>
  <c r="G42" i="3"/>
  <c r="F42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3" i="3"/>
  <c r="F8" i="3"/>
  <c r="F4" i="3"/>
  <c r="F5" i="3"/>
  <c r="F6" i="3"/>
  <c r="F7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3" i="3"/>
</calcChain>
</file>

<file path=xl/sharedStrings.xml><?xml version="1.0" encoding="utf-8"?>
<sst xmlns="http://schemas.openxmlformats.org/spreadsheetml/2006/main" count="338" uniqueCount="169">
  <si>
    <t>00004</t>
  </si>
  <si>
    <t>Weight 27/2</t>
  </si>
  <si>
    <t>Slaughter order</t>
  </si>
  <si>
    <t>500.339130434783</t>
  </si>
  <si>
    <t/>
  </si>
  <si>
    <t>SN</t>
  </si>
  <si>
    <t>Batch</t>
  </si>
  <si>
    <t>CCM</t>
  </si>
  <si>
    <t>ACM</t>
  </si>
  <si>
    <t>CFM</t>
  </si>
  <si>
    <t>CMass</t>
  </si>
  <si>
    <t>EarTag</t>
  </si>
  <si>
    <t>Fat</t>
  </si>
  <si>
    <t>Grade</t>
  </si>
  <si>
    <t>gDate</t>
  </si>
  <si>
    <t>HookMass</t>
  </si>
  <si>
    <t>Mass</t>
  </si>
  <si>
    <t>Price</t>
  </si>
  <si>
    <t>SlaughterDate</t>
  </si>
  <si>
    <t>A2</t>
  </si>
  <si>
    <t>NULL</t>
  </si>
  <si>
    <t>A3</t>
  </si>
  <si>
    <t>DUPLICATE</t>
  </si>
  <si>
    <t>090-02736</t>
  </si>
  <si>
    <t>080-08101</t>
  </si>
  <si>
    <t>090-02306</t>
  </si>
  <si>
    <t>080-08166</t>
  </si>
  <si>
    <t>080-08182</t>
  </si>
  <si>
    <t>080-02779</t>
  </si>
  <si>
    <t>080-02997</t>
  </si>
  <si>
    <t>080-08163</t>
  </si>
  <si>
    <t>090-00142</t>
  </si>
  <si>
    <t>080-08105</t>
  </si>
  <si>
    <t>090-02313</t>
  </si>
  <si>
    <t>090-00225</t>
  </si>
  <si>
    <t>090-02750</t>
  </si>
  <si>
    <t>080-08221</t>
  </si>
  <si>
    <t>090-00155</t>
  </si>
  <si>
    <t>090-02304</t>
  </si>
  <si>
    <t>090-02362</t>
  </si>
  <si>
    <t>080-02972</t>
  </si>
  <si>
    <t>080-08129</t>
  </si>
  <si>
    <t>090-00165</t>
  </si>
  <si>
    <t>090-02730</t>
  </si>
  <si>
    <t>080-02574</t>
  </si>
  <si>
    <t>080-08148</t>
  </si>
  <si>
    <t>090-02504</t>
  </si>
  <si>
    <t>090-02438</t>
  </si>
  <si>
    <t>090-02380</t>
  </si>
  <si>
    <t>080-02704</t>
  </si>
  <si>
    <t>080-02989</t>
  </si>
  <si>
    <t>080-02675</t>
  </si>
  <si>
    <t>080-08119</t>
  </si>
  <si>
    <t>080-02748</t>
  </si>
  <si>
    <t>090-02445</t>
  </si>
  <si>
    <t>080-08207</t>
  </si>
  <si>
    <t>090-00021</t>
  </si>
  <si>
    <t>090-02366</t>
  </si>
  <si>
    <t>080-02705</t>
  </si>
  <si>
    <t>080-08294</t>
  </si>
  <si>
    <t>080-08123</t>
  </si>
  <si>
    <t>080-02682</t>
  </si>
  <si>
    <t>080-02696</t>
  </si>
  <si>
    <t>090-02422</t>
  </si>
  <si>
    <t>A1</t>
  </si>
  <si>
    <t>090-00208</t>
  </si>
  <si>
    <t>090-00084</t>
  </si>
  <si>
    <t>AB3</t>
  </si>
  <si>
    <t>080-08100</t>
  </si>
  <si>
    <t>090-02483</t>
  </si>
  <si>
    <t>090-02727</t>
  </si>
  <si>
    <t>AB2</t>
  </si>
  <si>
    <t>090-00119</t>
  </si>
  <si>
    <t>090-02338</t>
  </si>
  <si>
    <t>090-00061</t>
  </si>
  <si>
    <t>090-02538</t>
  </si>
  <si>
    <t>090-02461</t>
  </si>
  <si>
    <t>090-02729</t>
  </si>
  <si>
    <t>080-02646</t>
  </si>
  <si>
    <t>080-02739</t>
  </si>
  <si>
    <t>080-02983</t>
  </si>
  <si>
    <t>080-02879</t>
  </si>
  <si>
    <t>080-02898</t>
  </si>
  <si>
    <t>090-02588</t>
  </si>
  <si>
    <t>090-02765</t>
  </si>
  <si>
    <t>090-00069</t>
  </si>
  <si>
    <t>080-02717</t>
  </si>
  <si>
    <t>090-02449</t>
  </si>
  <si>
    <t>090-02350</t>
  </si>
  <si>
    <t>080-08278</t>
  </si>
  <si>
    <t>090-02423</t>
  </si>
  <si>
    <t>080-02911</t>
  </si>
  <si>
    <t>080-08218</t>
  </si>
  <si>
    <t>080-02854</t>
  </si>
  <si>
    <t>090-02446</t>
  </si>
  <si>
    <t>080-08280</t>
  </si>
  <si>
    <t>090-02320</t>
  </si>
  <si>
    <t>080-08237</t>
  </si>
  <si>
    <t>080-08170</t>
  </si>
  <si>
    <t>080-02921</t>
  </si>
  <si>
    <t>080-02694</t>
  </si>
  <si>
    <t>050-02754</t>
  </si>
  <si>
    <t>080-02652</t>
  </si>
  <si>
    <t>080-08261</t>
  </si>
  <si>
    <t>090-02415</t>
  </si>
  <si>
    <t>080-08283</t>
  </si>
  <si>
    <t>090-00206</t>
  </si>
  <si>
    <t>080-02768</t>
  </si>
  <si>
    <t>080-08124</t>
  </si>
  <si>
    <t>080-02861</t>
  </si>
  <si>
    <t>090-02500</t>
  </si>
  <si>
    <t>090-00063</t>
  </si>
  <si>
    <t>090-00057</t>
  </si>
  <si>
    <t>080-08262</t>
  </si>
  <si>
    <t>090-02522</t>
  </si>
  <si>
    <t>080-02761</t>
  </si>
  <si>
    <t>080-02830</t>
  </si>
  <si>
    <t>080-08127</t>
  </si>
  <si>
    <t>080-02791</t>
  </si>
  <si>
    <t>090-00059</t>
  </si>
  <si>
    <t>080-08229</t>
  </si>
  <si>
    <t>080-02671</t>
  </si>
  <si>
    <t>090-02371</t>
  </si>
  <si>
    <t>090-02309</t>
  </si>
  <si>
    <t>080-08132</t>
  </si>
  <si>
    <t>080-02811</t>
  </si>
  <si>
    <t>080-02661</t>
  </si>
  <si>
    <t>080-02578</t>
  </si>
  <si>
    <t>090-00004</t>
  </si>
  <si>
    <t>080-02991</t>
  </si>
  <si>
    <t>080-02957</t>
  </si>
  <si>
    <t>080-02915</t>
  </si>
  <si>
    <t>090-02509</t>
  </si>
  <si>
    <t>090-02555</t>
  </si>
  <si>
    <t>Slaughter number</t>
  </si>
  <si>
    <t>Liver weight</t>
  </si>
  <si>
    <t>carcass length</t>
  </si>
  <si>
    <t>compactness</t>
  </si>
  <si>
    <t>ID</t>
  </si>
  <si>
    <t>Treatment</t>
  </si>
  <si>
    <t>Last live mass</t>
  </si>
  <si>
    <t>Dressing %</t>
  </si>
  <si>
    <t>fat thickness (mm)</t>
  </si>
  <si>
    <t>channel fat surfuce area(mm)</t>
  </si>
  <si>
    <t>Carcass Classes</t>
  </si>
  <si>
    <t>Class</t>
  </si>
  <si>
    <t>Number</t>
  </si>
  <si>
    <t>13th rib thickness</t>
  </si>
  <si>
    <t>treatment</t>
  </si>
  <si>
    <t>mm</t>
  </si>
  <si>
    <t>Fat surface area (mass)</t>
  </si>
  <si>
    <t>cubic mm</t>
  </si>
  <si>
    <t>mass</t>
  </si>
  <si>
    <t>Average Dressing %</t>
  </si>
  <si>
    <t>Average Compactness</t>
  </si>
  <si>
    <t>kg/cm</t>
  </si>
  <si>
    <t>Warm mass</t>
  </si>
  <si>
    <t>diff between 27/2 and last live mass</t>
  </si>
  <si>
    <t>determined by using a volumetric flask/measuring cylinder</t>
  </si>
  <si>
    <t>voulme displaced</t>
  </si>
  <si>
    <t>mass/volume</t>
  </si>
  <si>
    <t>average</t>
  </si>
  <si>
    <t>channel fat mass both sides (g)</t>
  </si>
  <si>
    <t>mass(g)</t>
  </si>
  <si>
    <t>Liver/ACM</t>
  </si>
  <si>
    <t>Pen number</t>
  </si>
  <si>
    <t>Average liver/acm</t>
  </si>
  <si>
    <t>liver/ACM</t>
  </si>
  <si>
    <t>Values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</si>
</sst>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7" formatCode="0.000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0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5" fillId="0" borderId="0"/>
    <xf numFmtId="0" fontId="8" fillId="0" borderId="0"/>
  </cellStyleXfs>
  <cellXfs count="83">
    <xf numFmtId="0" fontId="0" fillId="0" borderId="0" xfId="0"/>
    <xf numFmtId="0" fontId="0" fillId="0" borderId="0" xfId="0" applyNumberFormat="1"/>
    <xf numFmtId="0" fontId="0" fillId="0" borderId="3" xfId="0" applyNumberFormat="1" applyBorder="1"/>
    <xf numFmtId="0" fontId="0" fillId="0" borderId="1" xfId="0" applyNumberFormat="1" applyBorder="1"/>
    <xf numFmtId="0" fontId="0" fillId="0" borderId="2" xfId="0" applyNumberFormat="1" applyBorder="1"/>
    <xf numFmtId="0" fontId="0" fillId="0" borderId="0" xfId="0" applyNumberFormat="1" applyBorder="1"/>
    <xf numFmtId="0" fontId="0" fillId="2" borderId="2" xfId="0" applyNumberFormat="1" applyFill="1" applyBorder="1"/>
    <xf numFmtId="0" fontId="1" fillId="2" borderId="2" xfId="0" applyNumberFormat="1" applyFont="1" applyFill="1" applyBorder="1"/>
    <xf numFmtId="0" fontId="0" fillId="0" borderId="1" xfId="0" applyNumberFormat="1" applyFill="1" applyBorder="1"/>
    <xf numFmtId="0" fontId="0" fillId="0" borderId="2" xfId="0" applyNumberFormat="1" applyFill="1" applyBorder="1"/>
    <xf numFmtId="0" fontId="0" fillId="0" borderId="3" xfId="0" applyNumberFormat="1" applyFill="1" applyBorder="1"/>
    <xf numFmtId="0" fontId="0" fillId="0" borderId="0" xfId="0" applyNumberFormat="1" applyFill="1"/>
    <xf numFmtId="0" fontId="0" fillId="0" borderId="0" xfId="0" applyFill="1"/>
    <xf numFmtId="1" fontId="0" fillId="0" borderId="0" xfId="0" applyNumberFormat="1"/>
    <xf numFmtId="0" fontId="4" fillId="3" borderId="4" xfId="2" applyFont="1" applyFill="1" applyBorder="1" applyAlignment="1">
      <alignment horizontal="center"/>
    </xf>
    <xf numFmtId="0" fontId="4" fillId="0" borderId="5" xfId="2" applyFont="1" applyFill="1" applyBorder="1" applyAlignment="1">
      <alignment horizontal="right" wrapText="1"/>
    </xf>
    <xf numFmtId="0" fontId="3" fillId="0" borderId="0" xfId="2"/>
    <xf numFmtId="9" fontId="0" fillId="0" borderId="0" xfId="1" applyFont="1"/>
    <xf numFmtId="9" fontId="0" fillId="0" borderId="0" xfId="0" applyNumberFormat="1"/>
    <xf numFmtId="0" fontId="4" fillId="4" borderId="5" xfId="2" applyFont="1" applyFill="1" applyBorder="1" applyAlignment="1">
      <alignment horizontal="right" wrapText="1"/>
    </xf>
    <xf numFmtId="22" fontId="0" fillId="0" borderId="0" xfId="0" applyNumberFormat="1"/>
    <xf numFmtId="14" fontId="0" fillId="0" borderId="0" xfId="0" applyNumberFormat="1"/>
    <xf numFmtId="0" fontId="0" fillId="4" borderId="0" xfId="0" applyFill="1"/>
    <xf numFmtId="0" fontId="0" fillId="5" borderId="0" xfId="0" applyFill="1"/>
    <xf numFmtId="0" fontId="6" fillId="0" borderId="5" xfId="3" applyFont="1" applyFill="1" applyBorder="1" applyAlignment="1">
      <alignment horizontal="right" wrapText="1"/>
    </xf>
    <xf numFmtId="0" fontId="6" fillId="0" borderId="0" xfId="3" applyFont="1" applyFill="1" applyBorder="1" applyAlignment="1">
      <alignment horizontal="right" wrapText="1"/>
    </xf>
    <xf numFmtId="2" fontId="0" fillId="0" borderId="0" xfId="0" applyNumberFormat="1"/>
    <xf numFmtId="0" fontId="0" fillId="7" borderId="0" xfId="0" applyFill="1"/>
    <xf numFmtId="0" fontId="0" fillId="7" borderId="0" xfId="0" applyFill="1" applyBorder="1"/>
    <xf numFmtId="0" fontId="0" fillId="0" borderId="0" xfId="0" applyBorder="1"/>
    <xf numFmtId="0" fontId="0" fillId="7" borderId="9" xfId="0" applyFill="1" applyBorder="1"/>
    <xf numFmtId="0" fontId="0" fillId="7" borderId="10" xfId="0" applyFill="1" applyBorder="1"/>
    <xf numFmtId="0" fontId="0" fillId="6" borderId="9" xfId="0" applyFill="1" applyBorder="1"/>
    <xf numFmtId="0" fontId="0" fillId="0" borderId="10" xfId="0" applyBorder="1"/>
    <xf numFmtId="0" fontId="0" fillId="0" borderId="9" xfId="0" applyBorder="1"/>
    <xf numFmtId="0" fontId="0" fillId="9" borderId="9" xfId="0" applyFill="1" applyBorder="1"/>
    <xf numFmtId="0" fontId="0" fillId="2" borderId="9" xfId="0" applyFill="1" applyBorder="1"/>
    <xf numFmtId="0" fontId="0" fillId="4" borderId="9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2" fontId="0" fillId="0" borderId="10" xfId="0" applyNumberFormat="1" applyBorder="1"/>
    <xf numFmtId="2" fontId="0" fillId="0" borderId="13" xfId="0" applyNumberFormat="1" applyBorder="1"/>
    <xf numFmtId="0" fontId="0" fillId="4" borderId="11" xfId="0" applyFill="1" applyBorder="1"/>
    <xf numFmtId="2" fontId="0" fillId="0" borderId="0" xfId="0" applyNumberFormat="1" applyBorder="1"/>
    <xf numFmtId="2" fontId="0" fillId="0" borderId="12" xfId="0" applyNumberFormat="1" applyBorder="1"/>
    <xf numFmtId="10" fontId="0" fillId="0" borderId="10" xfId="1" applyNumberFormat="1" applyFont="1" applyBorder="1"/>
    <xf numFmtId="10" fontId="0" fillId="0" borderId="13" xfId="1" applyNumberFormat="1" applyFont="1" applyBorder="1"/>
    <xf numFmtId="0" fontId="0" fillId="7" borderId="0" xfId="0" applyFill="1" applyBorder="1" applyAlignment="1">
      <alignment horizontal="center"/>
    </xf>
    <xf numFmtId="2" fontId="0" fillId="0" borderId="10" xfId="1" applyNumberFormat="1" applyFont="1" applyBorder="1"/>
    <xf numFmtId="2" fontId="0" fillId="0" borderId="13" xfId="1" applyNumberFormat="1" applyFont="1" applyBorder="1"/>
    <xf numFmtId="0" fontId="4" fillId="10" borderId="5" xfId="2" applyFont="1" applyFill="1" applyBorder="1" applyAlignment="1">
      <alignment horizontal="center"/>
    </xf>
    <xf numFmtId="0" fontId="6" fillId="10" borderId="5" xfId="3" applyFont="1" applyFill="1" applyBorder="1" applyAlignment="1">
      <alignment horizontal="center"/>
    </xf>
    <xf numFmtId="0" fontId="6" fillId="10" borderId="0" xfId="3" applyFont="1" applyFill="1" applyBorder="1" applyAlignment="1">
      <alignment horizontal="center"/>
    </xf>
    <xf numFmtId="0" fontId="4" fillId="10" borderId="0" xfId="3" applyFont="1" applyFill="1" applyBorder="1" applyAlignment="1">
      <alignment horizontal="center"/>
    </xf>
    <xf numFmtId="0" fontId="4" fillId="6" borderId="5" xfId="2" applyFont="1" applyFill="1" applyBorder="1" applyAlignment="1">
      <alignment horizontal="right" wrapText="1"/>
    </xf>
    <xf numFmtId="0" fontId="4" fillId="9" borderId="5" xfId="2" applyFont="1" applyFill="1" applyBorder="1" applyAlignment="1">
      <alignment horizontal="right" wrapText="1"/>
    </xf>
    <xf numFmtId="0" fontId="4" fillId="2" borderId="5" xfId="2" applyFont="1" applyFill="1" applyBorder="1" applyAlignment="1">
      <alignment horizontal="right" wrapText="1"/>
    </xf>
    <xf numFmtId="0" fontId="0" fillId="0" borderId="0" xfId="0" applyAlignment="1"/>
    <xf numFmtId="164" fontId="0" fillId="0" borderId="0" xfId="0" applyNumberFormat="1"/>
    <xf numFmtId="165" fontId="0" fillId="0" borderId="0" xfId="0" applyNumberFormat="1"/>
    <xf numFmtId="0" fontId="7" fillId="0" borderId="5" xfId="4" applyFont="1" applyFill="1" applyBorder="1" applyAlignment="1">
      <alignment horizontal="right" wrapText="1"/>
    </xf>
    <xf numFmtId="0" fontId="7" fillId="7" borderId="5" xfId="4" applyFont="1" applyFill="1" applyBorder="1" applyAlignment="1">
      <alignment horizontal="right"/>
    </xf>
    <xf numFmtId="0" fontId="7" fillId="0" borderId="14" xfId="4" applyFont="1" applyFill="1" applyBorder="1" applyAlignment="1">
      <alignment horizontal="right" wrapText="1"/>
    </xf>
    <xf numFmtId="0" fontId="4" fillId="6" borderId="15" xfId="2" applyFont="1" applyFill="1" applyBorder="1" applyAlignment="1">
      <alignment horizontal="right" wrapText="1"/>
    </xf>
    <xf numFmtId="0" fontId="6" fillId="0" borderId="15" xfId="3" applyFont="1" applyFill="1" applyBorder="1" applyAlignment="1">
      <alignment horizontal="right" wrapText="1"/>
    </xf>
    <xf numFmtId="0" fontId="6" fillId="0" borderId="16" xfId="3" applyFont="1" applyFill="1" applyBorder="1" applyAlignment="1">
      <alignment horizontal="right" wrapText="1"/>
    </xf>
    <xf numFmtId="0" fontId="4" fillId="6" borderId="16" xfId="2" applyFont="1" applyFill="1" applyBorder="1" applyAlignment="1">
      <alignment horizontal="right" wrapText="1"/>
    </xf>
    <xf numFmtId="0" fontId="4" fillId="6" borderId="0" xfId="2" applyFont="1" applyFill="1" applyBorder="1" applyAlignment="1">
      <alignment horizontal="right" wrapText="1"/>
    </xf>
    <xf numFmtId="0" fontId="0" fillId="0" borderId="0" xfId="0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0" xfId="0" applyFill="1" applyAlignment="1">
      <alignment horizontal="center"/>
    </xf>
    <xf numFmtId="167" fontId="0" fillId="0" borderId="10" xfId="1" applyNumberFormat="1" applyFont="1" applyBorder="1"/>
    <xf numFmtId="2" fontId="0" fillId="7" borderId="10" xfId="0" applyNumberFormat="1" applyFill="1" applyBorder="1"/>
    <xf numFmtId="2" fontId="0" fillId="7" borderId="0" xfId="0" applyNumberFormat="1" applyFill="1" applyBorder="1"/>
    <xf numFmtId="10" fontId="0" fillId="7" borderId="10" xfId="0" applyNumberFormat="1" applyFill="1" applyBorder="1"/>
    <xf numFmtId="2" fontId="0" fillId="7" borderId="0" xfId="0" applyNumberFormat="1" applyFill="1" applyBorder="1" applyAlignment="1">
      <alignment horizontal="center"/>
    </xf>
    <xf numFmtId="0" fontId="0" fillId="0" borderId="13" xfId="1" applyNumberFormat="1" applyFont="1" applyBorder="1"/>
    <xf numFmtId="167" fontId="0" fillId="7" borderId="0" xfId="0" applyNumberFormat="1" applyFill="1" applyBorder="1" applyAlignment="1">
      <alignment horizontal="center"/>
    </xf>
    <xf numFmtId="0" fontId="0" fillId="0" borderId="10" xfId="1" applyNumberFormat="1" applyFont="1" applyBorder="1"/>
    <xf numFmtId="0" fontId="0" fillId="7" borderId="0" xfId="0" applyFill="1" applyAlignment="1">
      <alignment horizontal="center"/>
    </xf>
  </cellXfs>
  <cellStyles count="5">
    <cellStyle name="Normal" xfId="0" builtinId="0"/>
    <cellStyle name="Normal_Main sheet" xfId="4" xr:uid="{077F0266-1761-48F1-9062-509D84FAC5C5}"/>
    <cellStyle name="Normal_Sheet1" xfId="2" xr:uid="{BD5A8F45-4B14-4BBF-9E0B-5DA167ED3330}"/>
    <cellStyle name="Normal_Sheet1_1" xfId="3" xr:uid="{B571DC0F-F446-4FB1-9C4A-071C68098665}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B9867-8291-4AA3-8E8B-0858755C15E4}">
  <dimension ref="A1:B116"/>
  <sheetViews>
    <sheetView topLeftCell="A70" workbookViewId="0">
      <selection activeCell="B18" sqref="B18"/>
    </sheetView>
  </sheetViews>
  <sheetFormatPr defaultRowHeight="14.4" x14ac:dyDescent="0.3"/>
  <cols>
    <col min="2" max="2" width="10.5546875" bestFit="1" customWidth="1"/>
  </cols>
  <sheetData>
    <row r="1" spans="1:2" x14ac:dyDescent="0.3">
      <c r="A1">
        <v>1</v>
      </c>
      <c r="B1" s="13">
        <v>103635</v>
      </c>
    </row>
    <row r="2" spans="1:2" x14ac:dyDescent="0.3">
      <c r="A2">
        <v>2</v>
      </c>
      <c r="B2" s="13">
        <v>98554</v>
      </c>
    </row>
    <row r="3" spans="1:2" x14ac:dyDescent="0.3">
      <c r="A3">
        <v>3</v>
      </c>
      <c r="B3" s="13">
        <v>107288</v>
      </c>
    </row>
    <row r="4" spans="1:2" x14ac:dyDescent="0.3">
      <c r="A4">
        <v>4</v>
      </c>
      <c r="B4" s="13">
        <v>76459</v>
      </c>
    </row>
    <row r="5" spans="1:2" x14ac:dyDescent="0.3">
      <c r="A5">
        <v>5</v>
      </c>
      <c r="B5" s="13">
        <v>86327</v>
      </c>
    </row>
    <row r="6" spans="1:2" x14ac:dyDescent="0.3">
      <c r="A6">
        <v>6</v>
      </c>
      <c r="B6" s="13">
        <v>111245</v>
      </c>
    </row>
    <row r="7" spans="1:2" x14ac:dyDescent="0.3">
      <c r="A7">
        <v>7</v>
      </c>
      <c r="B7" s="13">
        <v>82959</v>
      </c>
    </row>
    <row r="8" spans="1:2" x14ac:dyDescent="0.3">
      <c r="A8">
        <v>8</v>
      </c>
      <c r="B8" s="13">
        <v>2611</v>
      </c>
    </row>
    <row r="9" spans="1:2" x14ac:dyDescent="0.3">
      <c r="A9">
        <v>9</v>
      </c>
      <c r="B9" s="13">
        <v>115119</v>
      </c>
    </row>
    <row r="10" spans="1:2" x14ac:dyDescent="0.3">
      <c r="A10">
        <v>10</v>
      </c>
      <c r="B10" s="13">
        <v>150911</v>
      </c>
    </row>
    <row r="11" spans="1:2" x14ac:dyDescent="0.3">
      <c r="A11">
        <v>11</v>
      </c>
      <c r="B11" s="13">
        <v>2578</v>
      </c>
    </row>
    <row r="12" spans="1:2" x14ac:dyDescent="0.3">
      <c r="A12">
        <v>12</v>
      </c>
      <c r="B12" s="13">
        <v>77479</v>
      </c>
    </row>
    <row r="13" spans="1:2" x14ac:dyDescent="0.3">
      <c r="A13">
        <v>13</v>
      </c>
      <c r="B13" s="13">
        <v>112523</v>
      </c>
    </row>
    <row r="14" spans="1:2" x14ac:dyDescent="0.3">
      <c r="A14">
        <v>14</v>
      </c>
      <c r="B14" s="13">
        <v>84347</v>
      </c>
    </row>
    <row r="15" spans="1:2" x14ac:dyDescent="0.3">
      <c r="A15">
        <v>15</v>
      </c>
      <c r="B15" s="13">
        <v>108973</v>
      </c>
    </row>
    <row r="16" spans="1:2" x14ac:dyDescent="0.3">
      <c r="A16">
        <v>16</v>
      </c>
      <c r="B16" s="13">
        <v>116314</v>
      </c>
    </row>
    <row r="17" spans="1:2" x14ac:dyDescent="0.3">
      <c r="A17">
        <v>17</v>
      </c>
      <c r="B17" s="13">
        <v>109290</v>
      </c>
    </row>
    <row r="18" spans="1:2" x14ac:dyDescent="0.3">
      <c r="A18">
        <v>18</v>
      </c>
      <c r="B18" s="13">
        <v>114077</v>
      </c>
    </row>
    <row r="19" spans="1:2" x14ac:dyDescent="0.3">
      <c r="A19">
        <v>19</v>
      </c>
      <c r="B19" s="13">
        <v>87527</v>
      </c>
    </row>
    <row r="20" spans="1:2" x14ac:dyDescent="0.3">
      <c r="A20">
        <v>20</v>
      </c>
      <c r="B20" s="13">
        <v>4</v>
      </c>
    </row>
    <row r="21" spans="1:2" x14ac:dyDescent="0.3">
      <c r="A21">
        <v>21</v>
      </c>
      <c r="B21" s="13">
        <v>2991</v>
      </c>
    </row>
    <row r="22" spans="1:2" x14ac:dyDescent="0.3">
      <c r="A22">
        <v>22</v>
      </c>
      <c r="B22" s="13">
        <v>73218</v>
      </c>
    </row>
    <row r="23" spans="1:2" x14ac:dyDescent="0.3">
      <c r="A23">
        <v>23</v>
      </c>
      <c r="B23" s="13">
        <v>88386</v>
      </c>
    </row>
    <row r="24" spans="1:2" x14ac:dyDescent="0.3">
      <c r="A24">
        <v>24</v>
      </c>
      <c r="B24" s="13">
        <v>2957</v>
      </c>
    </row>
    <row r="25" spans="1:2" x14ac:dyDescent="0.3">
      <c r="A25">
        <v>25</v>
      </c>
      <c r="B25" s="13">
        <v>2915</v>
      </c>
    </row>
    <row r="26" spans="1:2" x14ac:dyDescent="0.3">
      <c r="A26">
        <v>26</v>
      </c>
      <c r="B26" s="13">
        <v>102712</v>
      </c>
    </row>
    <row r="27" spans="1:2" x14ac:dyDescent="0.3">
      <c r="A27">
        <v>27</v>
      </c>
      <c r="B27" s="13">
        <v>108074</v>
      </c>
    </row>
    <row r="28" spans="1:2" x14ac:dyDescent="0.3">
      <c r="A28">
        <v>28</v>
      </c>
      <c r="B28" s="13">
        <v>112710</v>
      </c>
    </row>
    <row r="29" spans="1:2" x14ac:dyDescent="0.3">
      <c r="A29">
        <v>29</v>
      </c>
      <c r="B29" s="13">
        <v>90954</v>
      </c>
    </row>
    <row r="30" spans="1:2" x14ac:dyDescent="0.3">
      <c r="A30">
        <v>30</v>
      </c>
      <c r="B30" s="13">
        <v>108641</v>
      </c>
    </row>
    <row r="31" spans="1:2" x14ac:dyDescent="0.3">
      <c r="A31">
        <v>31</v>
      </c>
      <c r="B31" s="13">
        <v>72571</v>
      </c>
    </row>
    <row r="32" spans="1:2" x14ac:dyDescent="0.3">
      <c r="A32">
        <v>32</v>
      </c>
      <c r="B32" s="13">
        <v>83014</v>
      </c>
    </row>
    <row r="33" spans="1:2" x14ac:dyDescent="0.3">
      <c r="A33">
        <v>33</v>
      </c>
      <c r="B33" s="13">
        <v>85495</v>
      </c>
    </row>
    <row r="34" spans="1:2" x14ac:dyDescent="0.3">
      <c r="A34">
        <v>34</v>
      </c>
      <c r="B34" s="13">
        <v>2509</v>
      </c>
    </row>
    <row r="35" spans="1:2" x14ac:dyDescent="0.3">
      <c r="A35">
        <v>35</v>
      </c>
      <c r="B35" s="13">
        <v>2555</v>
      </c>
    </row>
    <row r="36" spans="1:2" x14ac:dyDescent="0.3">
      <c r="A36">
        <v>36</v>
      </c>
      <c r="B36" s="13">
        <v>89727</v>
      </c>
    </row>
    <row r="37" spans="1:2" x14ac:dyDescent="0.3">
      <c r="A37">
        <v>37</v>
      </c>
      <c r="B37" s="13">
        <v>81170</v>
      </c>
    </row>
    <row r="38" spans="1:2" x14ac:dyDescent="0.3">
      <c r="A38">
        <v>38</v>
      </c>
      <c r="B38" s="13">
        <v>80888</v>
      </c>
    </row>
    <row r="39" spans="1:2" x14ac:dyDescent="0.3">
      <c r="A39">
        <v>39</v>
      </c>
      <c r="B39" s="13">
        <v>2911</v>
      </c>
    </row>
    <row r="40" spans="1:2" x14ac:dyDescent="0.3">
      <c r="A40">
        <v>40</v>
      </c>
      <c r="B40" s="13">
        <v>85200</v>
      </c>
    </row>
    <row r="41" spans="1:2" x14ac:dyDescent="0.3">
      <c r="A41">
        <v>41</v>
      </c>
      <c r="B41" s="13">
        <v>88143</v>
      </c>
    </row>
    <row r="42" spans="1:2" x14ac:dyDescent="0.3">
      <c r="A42">
        <v>42</v>
      </c>
      <c r="B42" s="13">
        <v>111569</v>
      </c>
    </row>
    <row r="43" spans="1:2" x14ac:dyDescent="0.3">
      <c r="A43">
        <v>43</v>
      </c>
      <c r="B43" s="13">
        <v>89645</v>
      </c>
    </row>
    <row r="44" spans="1:2" x14ac:dyDescent="0.3">
      <c r="A44">
        <v>44</v>
      </c>
      <c r="B44" s="13">
        <v>69098</v>
      </c>
    </row>
    <row r="45" spans="1:2" x14ac:dyDescent="0.3">
      <c r="A45">
        <v>45</v>
      </c>
      <c r="B45" s="13">
        <v>115234</v>
      </c>
    </row>
    <row r="46" spans="1:2" x14ac:dyDescent="0.3">
      <c r="A46">
        <v>46</v>
      </c>
      <c r="B46" s="13">
        <v>111446</v>
      </c>
    </row>
    <row r="47" spans="1:2" x14ac:dyDescent="0.3">
      <c r="A47">
        <v>47</v>
      </c>
      <c r="B47" s="13">
        <v>86854</v>
      </c>
    </row>
    <row r="48" spans="1:2" x14ac:dyDescent="0.3">
      <c r="A48">
        <v>48</v>
      </c>
      <c r="B48" s="13">
        <v>8218</v>
      </c>
    </row>
    <row r="49" spans="1:2" x14ac:dyDescent="0.3">
      <c r="A49">
        <v>49</v>
      </c>
      <c r="B49" s="13">
        <v>85096</v>
      </c>
    </row>
    <row r="50" spans="1:2" x14ac:dyDescent="0.3">
      <c r="A50">
        <v>50</v>
      </c>
      <c r="B50" s="13">
        <v>115995</v>
      </c>
    </row>
    <row r="51" spans="1:2" x14ac:dyDescent="0.3">
      <c r="A51">
        <v>51</v>
      </c>
      <c r="B51" s="13">
        <v>110197</v>
      </c>
    </row>
    <row r="52" spans="1:2" x14ac:dyDescent="0.3">
      <c r="A52">
        <v>52</v>
      </c>
      <c r="B52" s="13">
        <v>114952</v>
      </c>
    </row>
    <row r="53" spans="1:2" x14ac:dyDescent="0.3">
      <c r="A53">
        <v>53</v>
      </c>
      <c r="B53" s="13">
        <v>84300</v>
      </c>
    </row>
    <row r="54" spans="1:2" x14ac:dyDescent="0.3">
      <c r="A54">
        <v>54</v>
      </c>
      <c r="B54" s="13">
        <v>112709</v>
      </c>
    </row>
    <row r="55" spans="1:2" x14ac:dyDescent="0.3">
      <c r="A55">
        <v>55</v>
      </c>
      <c r="B55" s="13">
        <v>102017</v>
      </c>
    </row>
    <row r="56" spans="1:2" x14ac:dyDescent="0.3">
      <c r="A56">
        <v>56</v>
      </c>
      <c r="B56" s="13">
        <v>111179</v>
      </c>
    </row>
    <row r="57" spans="1:2" x14ac:dyDescent="0.3">
      <c r="A57">
        <v>57</v>
      </c>
      <c r="B57" s="13">
        <v>105841</v>
      </c>
    </row>
    <row r="58" spans="1:2" x14ac:dyDescent="0.3">
      <c r="A58">
        <v>58</v>
      </c>
      <c r="B58" s="13">
        <v>90414</v>
      </c>
    </row>
    <row r="59" spans="1:2" x14ac:dyDescent="0.3">
      <c r="A59">
        <v>59</v>
      </c>
      <c r="B59" s="13">
        <v>81605</v>
      </c>
    </row>
    <row r="60" spans="1:2" x14ac:dyDescent="0.3">
      <c r="A60">
        <v>60</v>
      </c>
      <c r="B60" s="13">
        <v>82868</v>
      </c>
    </row>
    <row r="61" spans="1:2" x14ac:dyDescent="0.3">
      <c r="A61">
        <v>61</v>
      </c>
      <c r="B61" s="13">
        <v>87018</v>
      </c>
    </row>
    <row r="62" spans="1:2" x14ac:dyDescent="0.3">
      <c r="A62">
        <v>62</v>
      </c>
      <c r="B62" s="13">
        <v>111856</v>
      </c>
    </row>
    <row r="63" spans="1:2" x14ac:dyDescent="0.3">
      <c r="A63">
        <v>63</v>
      </c>
      <c r="B63" s="13">
        <v>2854</v>
      </c>
    </row>
    <row r="64" spans="1:2" x14ac:dyDescent="0.3">
      <c r="A64">
        <v>64</v>
      </c>
      <c r="B64" s="13">
        <v>66896</v>
      </c>
    </row>
    <row r="65" spans="1:2" x14ac:dyDescent="0.3">
      <c r="A65">
        <v>65</v>
      </c>
      <c r="B65" s="13">
        <v>67300</v>
      </c>
    </row>
    <row r="66" spans="1:2" x14ac:dyDescent="0.3">
      <c r="A66">
        <v>66</v>
      </c>
      <c r="B66" s="13">
        <v>116479</v>
      </c>
    </row>
    <row r="67" spans="1:2" x14ac:dyDescent="0.3">
      <c r="A67">
        <v>67</v>
      </c>
      <c r="B67" s="13">
        <v>85475</v>
      </c>
    </row>
    <row r="68" spans="1:2" x14ac:dyDescent="0.3">
      <c r="A68">
        <v>68</v>
      </c>
      <c r="B68" s="13">
        <v>109579</v>
      </c>
    </row>
    <row r="69" spans="1:2" x14ac:dyDescent="0.3">
      <c r="A69">
        <v>69</v>
      </c>
      <c r="B69" s="13">
        <v>109479</v>
      </c>
    </row>
    <row r="70" spans="1:2" x14ac:dyDescent="0.3">
      <c r="A70">
        <v>70</v>
      </c>
      <c r="B70" s="13">
        <v>94940</v>
      </c>
    </row>
    <row r="71" spans="1:2" x14ac:dyDescent="0.3">
      <c r="A71">
        <v>71</v>
      </c>
      <c r="B71" s="13">
        <v>77844</v>
      </c>
    </row>
    <row r="72" spans="1:2" x14ac:dyDescent="0.3">
      <c r="A72">
        <v>72</v>
      </c>
      <c r="B72" s="13">
        <v>77241</v>
      </c>
    </row>
    <row r="73" spans="1:2" x14ac:dyDescent="0.3">
      <c r="A73">
        <v>73</v>
      </c>
      <c r="B73" s="13">
        <v>2566</v>
      </c>
    </row>
    <row r="74" spans="1:2" x14ac:dyDescent="0.3">
      <c r="A74">
        <v>74</v>
      </c>
      <c r="B74" s="13">
        <v>116211</v>
      </c>
    </row>
    <row r="75" spans="1:2" x14ac:dyDescent="0.3">
      <c r="A75">
        <v>75</v>
      </c>
      <c r="B75" s="13">
        <v>110464</v>
      </c>
    </row>
    <row r="76" spans="1:2" x14ac:dyDescent="0.3">
      <c r="A76">
        <v>76</v>
      </c>
      <c r="B76" s="13">
        <v>84078</v>
      </c>
    </row>
    <row r="77" spans="1:2" x14ac:dyDescent="0.3">
      <c r="A77">
        <v>77</v>
      </c>
      <c r="B77" s="13">
        <v>79409</v>
      </c>
    </row>
    <row r="78" spans="1:2" x14ac:dyDescent="0.3">
      <c r="A78">
        <v>78</v>
      </c>
      <c r="B78" s="13">
        <v>110541</v>
      </c>
    </row>
    <row r="79" spans="1:2" x14ac:dyDescent="0.3">
      <c r="A79">
        <v>79</v>
      </c>
      <c r="B79" s="13">
        <v>82279</v>
      </c>
    </row>
    <row r="80" spans="1:2" x14ac:dyDescent="0.3">
      <c r="A80">
        <v>80</v>
      </c>
      <c r="B80" s="13">
        <v>2468</v>
      </c>
    </row>
    <row r="81" spans="1:2" x14ac:dyDescent="0.3">
      <c r="A81">
        <v>81</v>
      </c>
      <c r="B81" s="13">
        <v>103443</v>
      </c>
    </row>
    <row r="82" spans="1:2" x14ac:dyDescent="0.3">
      <c r="A82">
        <v>82</v>
      </c>
      <c r="B82" s="13">
        <v>81119</v>
      </c>
    </row>
    <row r="83" spans="1:2" x14ac:dyDescent="0.3">
      <c r="A83">
        <v>83</v>
      </c>
      <c r="B83" s="13">
        <v>2904</v>
      </c>
    </row>
    <row r="84" spans="1:2" x14ac:dyDescent="0.3">
      <c r="A84">
        <v>84</v>
      </c>
      <c r="B84" s="13">
        <v>84283</v>
      </c>
    </row>
    <row r="85" spans="1:2" x14ac:dyDescent="0.3">
      <c r="A85">
        <v>85</v>
      </c>
      <c r="B85" s="13">
        <v>109193</v>
      </c>
    </row>
    <row r="86" spans="1:2" x14ac:dyDescent="0.3">
      <c r="A86">
        <v>86</v>
      </c>
      <c r="B86" s="13">
        <v>77065</v>
      </c>
    </row>
    <row r="87" spans="1:2" x14ac:dyDescent="0.3">
      <c r="A87">
        <v>87</v>
      </c>
      <c r="B87" s="13">
        <v>72858</v>
      </c>
    </row>
    <row r="88" spans="1:2" x14ac:dyDescent="0.3">
      <c r="A88">
        <v>88</v>
      </c>
      <c r="B88" s="13">
        <v>113663</v>
      </c>
    </row>
    <row r="89" spans="1:2" x14ac:dyDescent="0.3">
      <c r="A89">
        <v>89</v>
      </c>
      <c r="B89" s="13">
        <v>112094</v>
      </c>
    </row>
    <row r="90" spans="1:2" x14ac:dyDescent="0.3">
      <c r="A90">
        <v>90</v>
      </c>
      <c r="B90" s="13">
        <v>84278</v>
      </c>
    </row>
    <row r="91" spans="1:2" x14ac:dyDescent="0.3">
      <c r="A91">
        <v>91</v>
      </c>
      <c r="B91" s="13">
        <v>2748</v>
      </c>
    </row>
    <row r="92" spans="1:2" x14ac:dyDescent="0.3">
      <c r="A92">
        <v>92</v>
      </c>
      <c r="B92" s="13">
        <v>73446</v>
      </c>
    </row>
    <row r="93" spans="1:2" x14ac:dyDescent="0.3">
      <c r="A93">
        <v>93</v>
      </c>
      <c r="B93" s="13">
        <v>111665</v>
      </c>
    </row>
    <row r="94" spans="1:2" x14ac:dyDescent="0.3">
      <c r="A94">
        <v>94</v>
      </c>
      <c r="B94" s="13">
        <v>76314</v>
      </c>
    </row>
    <row r="95" spans="1:2" x14ac:dyDescent="0.3">
      <c r="A95">
        <v>95</v>
      </c>
      <c r="B95" s="13">
        <v>114033</v>
      </c>
    </row>
    <row r="96" spans="1:2" x14ac:dyDescent="0.3">
      <c r="A96">
        <v>96</v>
      </c>
      <c r="B96" s="13">
        <v>2380</v>
      </c>
    </row>
    <row r="97" spans="1:2" x14ac:dyDescent="0.3">
      <c r="A97">
        <v>97</v>
      </c>
      <c r="B97" s="13">
        <v>94730</v>
      </c>
    </row>
    <row r="98" spans="1:2" x14ac:dyDescent="0.3">
      <c r="A98">
        <v>98</v>
      </c>
      <c r="B98" s="13">
        <v>116646</v>
      </c>
    </row>
    <row r="99" spans="1:2" x14ac:dyDescent="0.3">
      <c r="A99">
        <v>99</v>
      </c>
      <c r="B99" s="13">
        <v>2704</v>
      </c>
    </row>
    <row r="100" spans="1:2" x14ac:dyDescent="0.3">
      <c r="A100">
        <v>100</v>
      </c>
      <c r="B100" s="13">
        <v>111545</v>
      </c>
    </row>
    <row r="101" spans="1:2" x14ac:dyDescent="0.3">
      <c r="A101">
        <v>101</v>
      </c>
      <c r="B101" s="13">
        <v>85178</v>
      </c>
    </row>
    <row r="102" spans="1:2" x14ac:dyDescent="0.3">
      <c r="A102">
        <v>102</v>
      </c>
      <c r="B102" s="13">
        <v>64308</v>
      </c>
    </row>
    <row r="103" spans="1:2" x14ac:dyDescent="0.3">
      <c r="A103">
        <v>103</v>
      </c>
      <c r="B103" s="13">
        <v>112045</v>
      </c>
    </row>
    <row r="104" spans="1:2" x14ac:dyDescent="0.3">
      <c r="A104">
        <v>104</v>
      </c>
      <c r="B104" s="13">
        <v>109519</v>
      </c>
    </row>
    <row r="105" spans="1:2" x14ac:dyDescent="0.3">
      <c r="A105">
        <v>105</v>
      </c>
      <c r="B105" s="13">
        <v>87884</v>
      </c>
    </row>
    <row r="106" spans="1:2" x14ac:dyDescent="0.3">
      <c r="A106">
        <v>106</v>
      </c>
      <c r="B106" s="13">
        <v>84504</v>
      </c>
    </row>
    <row r="107" spans="1:2" x14ac:dyDescent="0.3">
      <c r="A107">
        <v>107</v>
      </c>
      <c r="B107" s="13">
        <v>86001</v>
      </c>
    </row>
    <row r="108" spans="1:2" x14ac:dyDescent="0.3">
      <c r="A108">
        <v>108</v>
      </c>
      <c r="B108" s="13">
        <v>2989</v>
      </c>
    </row>
    <row r="109" spans="1:2" x14ac:dyDescent="0.3">
      <c r="A109">
        <v>109</v>
      </c>
      <c r="B109" s="13">
        <v>110341</v>
      </c>
    </row>
    <row r="110" spans="1:2" x14ac:dyDescent="0.3">
      <c r="A110">
        <v>110</v>
      </c>
      <c r="B110" s="13">
        <v>96051</v>
      </c>
    </row>
    <row r="111" spans="1:2" x14ac:dyDescent="0.3">
      <c r="A111">
        <v>111</v>
      </c>
      <c r="B111" s="13">
        <v>2675</v>
      </c>
    </row>
    <row r="112" spans="1:2" x14ac:dyDescent="0.3">
      <c r="A112">
        <v>112</v>
      </c>
      <c r="B112" s="13">
        <v>75568</v>
      </c>
    </row>
    <row r="113" spans="1:2" x14ac:dyDescent="0.3">
      <c r="A113">
        <v>113</v>
      </c>
      <c r="B113" s="13">
        <v>79904</v>
      </c>
    </row>
    <row r="114" spans="1:2" x14ac:dyDescent="0.3">
      <c r="A114">
        <v>114</v>
      </c>
      <c r="B114" s="13">
        <v>8119</v>
      </c>
    </row>
    <row r="115" spans="1:2" x14ac:dyDescent="0.3">
      <c r="A115">
        <v>115</v>
      </c>
      <c r="B115" s="13">
        <v>66755</v>
      </c>
    </row>
    <row r="116" spans="1:2" x14ac:dyDescent="0.3">
      <c r="B116" s="13"/>
    </row>
  </sheetData>
  <sortState xmlns:xlrd2="http://schemas.microsoft.com/office/spreadsheetml/2017/richdata2" ref="A1:B115">
    <sortCondition ref="A1:A11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E2291-10D1-487D-8891-EA18309F4728}">
  <dimension ref="A1:I115"/>
  <sheetViews>
    <sheetView workbookViewId="0">
      <selection activeCell="G19" sqref="G19"/>
    </sheetView>
  </sheetViews>
  <sheetFormatPr defaultRowHeight="14.4" x14ac:dyDescent="0.3"/>
  <cols>
    <col min="1" max="1" width="9.5546875" style="1" bestFit="1" customWidth="1"/>
    <col min="3" max="3" width="9.5546875" style="1" bestFit="1" customWidth="1"/>
  </cols>
  <sheetData>
    <row r="1" spans="1:9" x14ac:dyDescent="0.3">
      <c r="A1" s="1">
        <v>4</v>
      </c>
      <c r="C1" s="8" t="s">
        <v>0</v>
      </c>
      <c r="H1" s="1"/>
      <c r="I1" s="1"/>
    </row>
    <row r="2" spans="1:9" x14ac:dyDescent="0.3">
      <c r="A2" s="1">
        <v>2380</v>
      </c>
      <c r="C2" s="9">
        <v>2380</v>
      </c>
      <c r="H2" s="1"/>
      <c r="I2" s="1"/>
    </row>
    <row r="3" spans="1:9" x14ac:dyDescent="0.3">
      <c r="A3" s="1">
        <v>2468</v>
      </c>
      <c r="C3" s="9">
        <v>2468</v>
      </c>
      <c r="H3" s="1"/>
      <c r="I3" s="1"/>
    </row>
    <row r="4" spans="1:9" x14ac:dyDescent="0.3">
      <c r="A4" s="1">
        <v>2509</v>
      </c>
      <c r="C4" s="6">
        <v>2509</v>
      </c>
      <c r="D4" s="6">
        <v>103267</v>
      </c>
      <c r="H4" s="1"/>
      <c r="I4" s="1"/>
    </row>
    <row r="5" spans="1:9" x14ac:dyDescent="0.3">
      <c r="A5" s="1">
        <v>2555</v>
      </c>
      <c r="C5" s="9">
        <v>2555</v>
      </c>
      <c r="H5" s="1"/>
      <c r="I5" s="1"/>
    </row>
    <row r="6" spans="1:9" x14ac:dyDescent="0.3">
      <c r="A6" s="1">
        <v>2566</v>
      </c>
      <c r="C6" s="7">
        <v>2566</v>
      </c>
      <c r="D6" s="6">
        <v>91628</v>
      </c>
      <c r="H6" s="1"/>
      <c r="I6" s="1"/>
    </row>
    <row r="7" spans="1:9" x14ac:dyDescent="0.3">
      <c r="A7" s="1">
        <v>2578</v>
      </c>
      <c r="C7" s="9">
        <v>2578</v>
      </c>
      <c r="D7" s="1"/>
      <c r="H7" s="1"/>
      <c r="I7" s="1"/>
    </row>
    <row r="8" spans="1:9" ht="15" thickBot="1" x14ac:dyDescent="0.35">
      <c r="A8" s="1">
        <v>2661</v>
      </c>
      <c r="C8" s="10">
        <v>2661</v>
      </c>
      <c r="D8" s="1"/>
      <c r="H8" s="1"/>
      <c r="I8" s="1"/>
    </row>
    <row r="9" spans="1:9" x14ac:dyDescent="0.3">
      <c r="A9" s="1">
        <v>2675</v>
      </c>
      <c r="C9" s="8">
        <v>2675</v>
      </c>
      <c r="D9" s="1"/>
      <c r="H9" s="1"/>
      <c r="I9" s="1"/>
    </row>
    <row r="10" spans="1:9" x14ac:dyDescent="0.3">
      <c r="A10" s="1">
        <v>2704</v>
      </c>
      <c r="C10" s="9">
        <v>2704</v>
      </c>
      <c r="D10" s="1"/>
      <c r="H10" s="1"/>
      <c r="I10" s="1"/>
    </row>
    <row r="11" spans="1:9" x14ac:dyDescent="0.3">
      <c r="A11" s="1">
        <v>2748</v>
      </c>
      <c r="C11" s="9">
        <v>2748</v>
      </c>
      <c r="D11" s="1"/>
      <c r="H11" s="1"/>
      <c r="I11" s="1"/>
    </row>
    <row r="12" spans="1:9" x14ac:dyDescent="0.3">
      <c r="A12" s="1">
        <v>2854</v>
      </c>
      <c r="C12" s="9">
        <v>2854</v>
      </c>
      <c r="D12" s="1"/>
      <c r="H12" s="1"/>
      <c r="I12" s="1"/>
    </row>
    <row r="13" spans="1:9" x14ac:dyDescent="0.3">
      <c r="A13" s="1">
        <v>2904</v>
      </c>
      <c r="C13" s="9">
        <v>2904</v>
      </c>
      <c r="D13" s="1"/>
      <c r="H13" s="1"/>
      <c r="I13" s="1"/>
    </row>
    <row r="14" spans="1:9" ht="15" thickBot="1" x14ac:dyDescent="0.35">
      <c r="A14" s="1">
        <v>2911</v>
      </c>
      <c r="C14" s="10">
        <v>2911</v>
      </c>
      <c r="D14" s="1"/>
      <c r="H14" s="1"/>
      <c r="I14" s="1"/>
    </row>
    <row r="15" spans="1:9" x14ac:dyDescent="0.3">
      <c r="A15" s="1">
        <v>2915</v>
      </c>
      <c r="C15" s="8">
        <v>2915</v>
      </c>
      <c r="D15" s="1"/>
      <c r="H15" s="1"/>
      <c r="I15" s="1"/>
    </row>
    <row r="16" spans="1:9" x14ac:dyDescent="0.3">
      <c r="A16" s="1">
        <v>2957</v>
      </c>
      <c r="C16" s="9">
        <v>2957</v>
      </c>
      <c r="D16" s="1"/>
      <c r="H16" s="1"/>
      <c r="I16" s="1"/>
    </row>
    <row r="17" spans="1:9" x14ac:dyDescent="0.3">
      <c r="A17" s="1">
        <v>2989</v>
      </c>
      <c r="C17" s="6">
        <v>2989</v>
      </c>
      <c r="D17" s="6">
        <v>84588</v>
      </c>
      <c r="H17" s="1"/>
      <c r="I17" s="1"/>
    </row>
    <row r="18" spans="1:9" x14ac:dyDescent="0.3">
      <c r="A18" s="1">
        <v>2991</v>
      </c>
      <c r="C18" s="9">
        <v>2991</v>
      </c>
      <c r="D18" s="1"/>
      <c r="H18" s="1"/>
      <c r="I18" s="1"/>
    </row>
    <row r="19" spans="1:9" x14ac:dyDescent="0.3">
      <c r="A19" s="1">
        <v>8119</v>
      </c>
      <c r="C19" s="9">
        <v>8119</v>
      </c>
      <c r="D19" s="1"/>
      <c r="H19" s="1"/>
      <c r="I19" s="1"/>
    </row>
    <row r="20" spans="1:9" x14ac:dyDescent="0.3">
      <c r="A20" s="1">
        <v>8218</v>
      </c>
      <c r="C20" s="9">
        <v>8218</v>
      </c>
      <c r="D20" s="1"/>
      <c r="H20" s="1"/>
      <c r="I20" s="1"/>
    </row>
    <row r="21" spans="1:9" ht="15" thickBot="1" x14ac:dyDescent="0.35">
      <c r="A21" s="1">
        <v>64308</v>
      </c>
      <c r="C21" s="2">
        <v>64308</v>
      </c>
      <c r="D21" s="1"/>
      <c r="H21" s="1"/>
      <c r="I21" s="1"/>
    </row>
    <row r="22" spans="1:9" x14ac:dyDescent="0.3">
      <c r="A22" s="1">
        <v>66755</v>
      </c>
      <c r="C22" s="3">
        <v>66755</v>
      </c>
      <c r="D22" s="1"/>
      <c r="H22" s="1"/>
      <c r="I22" s="1"/>
    </row>
    <row r="23" spans="1:9" x14ac:dyDescent="0.3">
      <c r="A23" s="1">
        <v>66896</v>
      </c>
      <c r="C23" s="4">
        <v>66896</v>
      </c>
      <c r="D23" s="1"/>
      <c r="H23" s="1"/>
      <c r="I23" s="1"/>
    </row>
    <row r="24" spans="1:9" x14ac:dyDescent="0.3">
      <c r="A24" s="1">
        <v>67300</v>
      </c>
      <c r="C24" s="4">
        <v>67300</v>
      </c>
      <c r="D24" s="1"/>
      <c r="H24" s="1"/>
      <c r="I24" s="1"/>
    </row>
    <row r="25" spans="1:9" x14ac:dyDescent="0.3">
      <c r="A25" s="1">
        <v>69098</v>
      </c>
      <c r="C25" s="4">
        <v>69098</v>
      </c>
      <c r="D25" s="1"/>
      <c r="H25" s="1"/>
      <c r="I25" s="1"/>
    </row>
    <row r="26" spans="1:9" ht="15" thickBot="1" x14ac:dyDescent="0.35">
      <c r="A26" s="1">
        <v>72571</v>
      </c>
      <c r="C26" s="2">
        <v>72571</v>
      </c>
      <c r="D26" s="1"/>
      <c r="H26" s="1"/>
      <c r="I26" s="1"/>
    </row>
    <row r="27" spans="1:9" x14ac:dyDescent="0.3">
      <c r="A27" s="1">
        <v>72858</v>
      </c>
      <c r="C27" s="4">
        <v>72858</v>
      </c>
      <c r="D27" s="1"/>
      <c r="H27" s="1"/>
      <c r="I27" s="1"/>
    </row>
    <row r="28" spans="1:9" x14ac:dyDescent="0.3">
      <c r="A28" s="1">
        <v>73218</v>
      </c>
      <c r="C28" s="4">
        <v>73218</v>
      </c>
      <c r="D28" s="1"/>
      <c r="H28" s="1"/>
      <c r="I28" s="1"/>
    </row>
    <row r="29" spans="1:9" x14ac:dyDescent="0.3">
      <c r="A29" s="1">
        <v>73446</v>
      </c>
      <c r="C29" s="4">
        <v>73446</v>
      </c>
      <c r="D29" s="1"/>
      <c r="H29" s="1"/>
      <c r="I29" s="1"/>
    </row>
    <row r="30" spans="1:9" x14ac:dyDescent="0.3">
      <c r="A30" s="1">
        <v>75568</v>
      </c>
      <c r="C30" s="4">
        <v>75568</v>
      </c>
      <c r="D30" s="1"/>
      <c r="H30" s="1"/>
      <c r="I30" s="1"/>
    </row>
    <row r="31" spans="1:9" ht="15" thickBot="1" x14ac:dyDescent="0.35">
      <c r="A31" s="1">
        <v>76314</v>
      </c>
      <c r="C31" s="5">
        <v>76314</v>
      </c>
      <c r="D31" s="1"/>
      <c r="H31" s="1"/>
      <c r="I31" s="1"/>
    </row>
    <row r="32" spans="1:9" x14ac:dyDescent="0.3">
      <c r="A32" s="1">
        <v>76459</v>
      </c>
      <c r="C32" s="3">
        <v>76459</v>
      </c>
      <c r="D32" s="1"/>
      <c r="H32" s="1"/>
      <c r="I32" s="1"/>
    </row>
    <row r="33" spans="1:9" x14ac:dyDescent="0.3">
      <c r="A33" s="1">
        <v>77065</v>
      </c>
      <c r="C33" s="4">
        <v>77065</v>
      </c>
      <c r="D33" s="1"/>
      <c r="H33" s="1"/>
      <c r="I33" s="1"/>
    </row>
    <row r="34" spans="1:9" x14ac:dyDescent="0.3">
      <c r="A34" s="1">
        <v>77241</v>
      </c>
      <c r="C34" s="4">
        <v>77241</v>
      </c>
      <c r="D34" s="1"/>
      <c r="H34" s="1"/>
      <c r="I34" s="1"/>
    </row>
    <row r="35" spans="1:9" x14ac:dyDescent="0.3">
      <c r="A35" s="1">
        <v>77479</v>
      </c>
      <c r="C35" s="4">
        <v>77479</v>
      </c>
      <c r="D35" s="1"/>
      <c r="H35" s="1"/>
      <c r="I35" s="1"/>
    </row>
    <row r="36" spans="1:9" x14ac:dyDescent="0.3">
      <c r="A36" s="1">
        <v>77844</v>
      </c>
      <c r="C36" s="4">
        <v>77844</v>
      </c>
      <c r="H36" s="1"/>
      <c r="I36" s="1"/>
    </row>
    <row r="37" spans="1:9" ht="15" thickBot="1" x14ac:dyDescent="0.35">
      <c r="A37" s="1">
        <v>79409</v>
      </c>
      <c r="C37" s="2">
        <v>79409</v>
      </c>
      <c r="H37" s="1"/>
      <c r="I37" s="1"/>
    </row>
    <row r="38" spans="1:9" x14ac:dyDescent="0.3">
      <c r="A38" s="1">
        <v>79904</v>
      </c>
      <c r="C38" s="3">
        <v>79904</v>
      </c>
      <c r="H38" s="1"/>
      <c r="I38" s="1"/>
    </row>
    <row r="39" spans="1:9" x14ac:dyDescent="0.3">
      <c r="A39" s="1">
        <v>80888</v>
      </c>
      <c r="C39" s="4">
        <v>80888</v>
      </c>
      <c r="H39" s="1"/>
      <c r="I39" s="1"/>
    </row>
    <row r="40" spans="1:9" x14ac:dyDescent="0.3">
      <c r="A40" s="1">
        <v>81119</v>
      </c>
      <c r="C40" s="4">
        <v>81119</v>
      </c>
      <c r="H40" s="1"/>
      <c r="I40" s="1"/>
    </row>
    <row r="41" spans="1:9" x14ac:dyDescent="0.3">
      <c r="A41" s="1">
        <v>81170</v>
      </c>
      <c r="C41" s="4">
        <v>81170</v>
      </c>
      <c r="H41" s="1"/>
      <c r="I41" s="1"/>
    </row>
    <row r="42" spans="1:9" x14ac:dyDescent="0.3">
      <c r="A42" s="1">
        <v>81605</v>
      </c>
      <c r="C42" s="4">
        <v>81605</v>
      </c>
      <c r="H42" s="1"/>
      <c r="I42" s="1"/>
    </row>
    <row r="43" spans="1:9" ht="15" thickBot="1" x14ac:dyDescent="0.35">
      <c r="A43" s="1">
        <v>82279</v>
      </c>
      <c r="C43" s="2">
        <v>82279</v>
      </c>
      <c r="H43" s="1"/>
      <c r="I43" s="1"/>
    </row>
    <row r="44" spans="1:9" x14ac:dyDescent="0.3">
      <c r="A44" s="1">
        <v>82868</v>
      </c>
      <c r="C44" s="3">
        <v>82868</v>
      </c>
      <c r="H44" s="1"/>
      <c r="I44" s="1"/>
    </row>
    <row r="45" spans="1:9" x14ac:dyDescent="0.3">
      <c r="A45" s="1">
        <v>82959</v>
      </c>
      <c r="C45" s="4">
        <v>82959</v>
      </c>
      <c r="H45" s="1"/>
      <c r="I45" s="1"/>
    </row>
    <row r="46" spans="1:9" x14ac:dyDescent="0.3">
      <c r="A46" s="1">
        <v>83014</v>
      </c>
      <c r="C46" s="4">
        <v>83014</v>
      </c>
      <c r="H46" s="1"/>
      <c r="I46" s="1"/>
    </row>
    <row r="47" spans="1:9" x14ac:dyDescent="0.3">
      <c r="A47" s="1">
        <v>84078</v>
      </c>
      <c r="C47" s="4">
        <v>84078</v>
      </c>
      <c r="H47" s="1"/>
      <c r="I47" s="1"/>
    </row>
    <row r="48" spans="1:9" x14ac:dyDescent="0.3">
      <c r="A48" s="1">
        <v>84278</v>
      </c>
      <c r="C48" s="4">
        <v>84278</v>
      </c>
      <c r="H48" s="1"/>
      <c r="I48" s="1"/>
    </row>
    <row r="49" spans="1:9" ht="15" thickBot="1" x14ac:dyDescent="0.35">
      <c r="A49" s="1">
        <v>84283</v>
      </c>
      <c r="C49" s="2">
        <v>84283</v>
      </c>
      <c r="H49" s="1"/>
      <c r="I49" s="1"/>
    </row>
    <row r="50" spans="1:9" x14ac:dyDescent="0.3">
      <c r="A50" s="1">
        <v>84306</v>
      </c>
      <c r="C50" s="8">
        <v>84306</v>
      </c>
      <c r="H50" s="1"/>
      <c r="I50" s="1"/>
    </row>
    <row r="51" spans="1:9" x14ac:dyDescent="0.3">
      <c r="A51" s="1">
        <v>84347</v>
      </c>
      <c r="C51" s="4">
        <v>84347</v>
      </c>
      <c r="H51" s="1"/>
      <c r="I51" s="1"/>
    </row>
    <row r="52" spans="1:9" x14ac:dyDescent="0.3">
      <c r="A52" s="1">
        <v>84504</v>
      </c>
      <c r="C52" s="4">
        <v>84504</v>
      </c>
      <c r="H52" s="1"/>
      <c r="I52" s="1"/>
    </row>
    <row r="53" spans="1:9" x14ac:dyDescent="0.3">
      <c r="A53" s="11">
        <v>85098</v>
      </c>
      <c r="B53" s="12"/>
      <c r="C53" s="9">
        <v>85098</v>
      </c>
      <c r="H53" s="1"/>
      <c r="I53" s="1"/>
    </row>
    <row r="54" spans="1:9" ht="15" thickBot="1" x14ac:dyDescent="0.35">
      <c r="A54" s="1">
        <v>85178</v>
      </c>
      <c r="C54" s="2">
        <v>85178</v>
      </c>
      <c r="H54" s="1"/>
      <c r="I54" s="1"/>
    </row>
    <row r="55" spans="1:9" x14ac:dyDescent="0.3">
      <c r="A55" s="1">
        <v>85200</v>
      </c>
      <c r="C55" s="3">
        <v>85200</v>
      </c>
      <c r="H55" s="1"/>
      <c r="I55" s="1"/>
    </row>
    <row r="56" spans="1:9" x14ac:dyDescent="0.3">
      <c r="A56" s="1">
        <v>85475</v>
      </c>
      <c r="C56" s="4">
        <v>85475</v>
      </c>
      <c r="H56" s="1"/>
      <c r="I56" s="1"/>
    </row>
    <row r="57" spans="1:9" x14ac:dyDescent="0.3">
      <c r="A57" s="1">
        <v>85495</v>
      </c>
      <c r="C57" s="4">
        <v>85495</v>
      </c>
      <c r="H57" s="1"/>
      <c r="I57" s="1"/>
    </row>
    <row r="58" spans="1:9" x14ac:dyDescent="0.3">
      <c r="A58" s="1">
        <v>86001</v>
      </c>
      <c r="C58" s="4">
        <v>86001</v>
      </c>
      <c r="H58" s="1"/>
      <c r="I58" s="1"/>
    </row>
    <row r="59" spans="1:9" x14ac:dyDescent="0.3">
      <c r="A59" s="1">
        <v>86327</v>
      </c>
      <c r="C59" s="4">
        <v>86327</v>
      </c>
      <c r="H59" s="1"/>
      <c r="I59" s="1"/>
    </row>
    <row r="60" spans="1:9" ht="15" thickBot="1" x14ac:dyDescent="0.35">
      <c r="A60" s="1">
        <v>86854</v>
      </c>
      <c r="C60" s="5">
        <v>86854</v>
      </c>
      <c r="H60" s="1"/>
      <c r="I60" s="1"/>
    </row>
    <row r="61" spans="1:9" x14ac:dyDescent="0.3">
      <c r="A61" s="1">
        <v>87018</v>
      </c>
      <c r="C61" s="3">
        <v>87018</v>
      </c>
      <c r="H61" s="1"/>
      <c r="I61" s="1"/>
    </row>
    <row r="62" spans="1:9" x14ac:dyDescent="0.3">
      <c r="A62" s="1">
        <v>87527</v>
      </c>
      <c r="C62" s="4">
        <v>87527</v>
      </c>
      <c r="H62" s="1"/>
      <c r="I62" s="1"/>
    </row>
    <row r="63" spans="1:9" x14ac:dyDescent="0.3">
      <c r="A63" s="1">
        <v>87884</v>
      </c>
      <c r="C63" s="4">
        <v>87884</v>
      </c>
      <c r="H63" s="1"/>
      <c r="I63" s="1"/>
    </row>
    <row r="64" spans="1:9" x14ac:dyDescent="0.3">
      <c r="A64" s="1">
        <v>88143</v>
      </c>
      <c r="C64" s="4">
        <v>88143</v>
      </c>
      <c r="H64" s="1"/>
      <c r="I64" s="1"/>
    </row>
    <row r="65" spans="1:9" x14ac:dyDescent="0.3">
      <c r="A65" s="1">
        <v>88386</v>
      </c>
      <c r="C65" s="4">
        <v>88386</v>
      </c>
      <c r="H65" s="1"/>
      <c r="I65" s="1"/>
    </row>
    <row r="66" spans="1:9" ht="15" thickBot="1" x14ac:dyDescent="0.35">
      <c r="A66" s="1">
        <v>89645</v>
      </c>
      <c r="C66" s="2">
        <v>89645</v>
      </c>
      <c r="H66" s="1"/>
      <c r="I66" s="1"/>
    </row>
    <row r="67" spans="1:9" x14ac:dyDescent="0.3">
      <c r="A67" s="1">
        <v>89727</v>
      </c>
      <c r="C67" s="3">
        <v>89727</v>
      </c>
      <c r="H67" s="1"/>
      <c r="I67" s="1"/>
    </row>
    <row r="68" spans="1:9" x14ac:dyDescent="0.3">
      <c r="A68" s="1">
        <v>90414</v>
      </c>
      <c r="C68" s="4">
        <v>90414</v>
      </c>
      <c r="H68" s="1"/>
      <c r="I68" s="1"/>
    </row>
    <row r="69" spans="1:9" x14ac:dyDescent="0.3">
      <c r="A69" s="1">
        <v>90954</v>
      </c>
      <c r="C69" s="4">
        <v>90954</v>
      </c>
      <c r="H69" s="1"/>
      <c r="I69" s="1"/>
    </row>
    <row r="70" spans="1:9" x14ac:dyDescent="0.3">
      <c r="A70" s="1">
        <v>94730</v>
      </c>
      <c r="C70" s="4">
        <v>94730</v>
      </c>
      <c r="H70" s="1"/>
      <c r="I70" s="1"/>
    </row>
    <row r="71" spans="1:9" ht="15" thickBot="1" x14ac:dyDescent="0.35">
      <c r="A71" s="1">
        <v>94940</v>
      </c>
      <c r="C71" s="2">
        <v>94940</v>
      </c>
      <c r="H71" s="1"/>
      <c r="I71" s="1"/>
    </row>
    <row r="72" spans="1:9" x14ac:dyDescent="0.3">
      <c r="A72" s="1">
        <v>96051</v>
      </c>
      <c r="C72" s="3">
        <v>96051</v>
      </c>
      <c r="H72" s="1"/>
      <c r="I72" s="1"/>
    </row>
    <row r="73" spans="1:9" x14ac:dyDescent="0.3">
      <c r="A73" s="1">
        <v>102017</v>
      </c>
      <c r="C73" s="4">
        <v>102017</v>
      </c>
      <c r="D73" s="4">
        <v>98554</v>
      </c>
      <c r="H73" s="1"/>
      <c r="I73" s="1"/>
    </row>
    <row r="74" spans="1:9" x14ac:dyDescent="0.3">
      <c r="A74" s="1">
        <v>102712</v>
      </c>
      <c r="C74" s="4">
        <v>102712</v>
      </c>
      <c r="H74" s="1"/>
      <c r="I74" s="1"/>
    </row>
    <row r="75" spans="1:9" ht="15" thickBot="1" x14ac:dyDescent="0.35">
      <c r="A75" s="1">
        <v>103443</v>
      </c>
      <c r="C75" s="2">
        <v>103443</v>
      </c>
      <c r="H75" s="1"/>
      <c r="I75" s="1"/>
    </row>
    <row r="76" spans="1:9" x14ac:dyDescent="0.3">
      <c r="A76" s="1">
        <v>103635</v>
      </c>
      <c r="C76" s="3">
        <v>103635</v>
      </c>
      <c r="H76" s="1"/>
      <c r="I76" s="1"/>
    </row>
    <row r="77" spans="1:9" x14ac:dyDescent="0.3">
      <c r="A77" s="1">
        <v>105841</v>
      </c>
      <c r="C77" s="4">
        <v>105841</v>
      </c>
      <c r="H77" s="1"/>
      <c r="I77" s="1"/>
    </row>
    <row r="78" spans="1:9" x14ac:dyDescent="0.3">
      <c r="A78" s="1">
        <v>107288</v>
      </c>
      <c r="C78" s="4">
        <v>107288</v>
      </c>
      <c r="H78" s="1"/>
      <c r="I78" s="1"/>
    </row>
    <row r="79" spans="1:9" x14ac:dyDescent="0.3">
      <c r="A79" s="1">
        <v>108074</v>
      </c>
      <c r="C79" s="4">
        <v>108074</v>
      </c>
      <c r="H79" s="1"/>
      <c r="I79" s="1"/>
    </row>
    <row r="80" spans="1:9" x14ac:dyDescent="0.3">
      <c r="A80" s="1">
        <v>108641</v>
      </c>
      <c r="C80" s="4">
        <v>108641</v>
      </c>
      <c r="H80" s="1"/>
      <c r="I80" s="1"/>
    </row>
    <row r="81" spans="1:9" ht="15" thickBot="1" x14ac:dyDescent="0.35">
      <c r="A81" s="1">
        <v>108973</v>
      </c>
      <c r="C81" s="2">
        <v>108973</v>
      </c>
      <c r="H81" s="1"/>
      <c r="I81" s="1"/>
    </row>
    <row r="82" spans="1:9" x14ac:dyDescent="0.3">
      <c r="A82" s="1">
        <v>109193</v>
      </c>
      <c r="C82" s="3">
        <v>109193</v>
      </c>
      <c r="H82" s="1"/>
      <c r="I82" s="1"/>
    </row>
    <row r="83" spans="1:9" x14ac:dyDescent="0.3">
      <c r="A83" s="1">
        <v>109290</v>
      </c>
      <c r="C83" s="4">
        <v>109290</v>
      </c>
      <c r="H83" s="1"/>
      <c r="I83" s="1"/>
    </row>
    <row r="84" spans="1:9" x14ac:dyDescent="0.3">
      <c r="A84" s="1">
        <v>109479</v>
      </c>
      <c r="C84" s="4">
        <v>109479</v>
      </c>
      <c r="H84" s="1"/>
      <c r="I84" s="1"/>
    </row>
    <row r="85" spans="1:9" x14ac:dyDescent="0.3">
      <c r="A85" s="1">
        <v>109529</v>
      </c>
      <c r="C85" s="9">
        <v>109529</v>
      </c>
      <c r="H85" s="1"/>
      <c r="I85" s="1"/>
    </row>
    <row r="86" spans="1:9" x14ac:dyDescent="0.3">
      <c r="A86" s="1">
        <v>109579</v>
      </c>
      <c r="C86" s="4">
        <v>109579</v>
      </c>
      <c r="H86" s="1"/>
      <c r="I86" s="1"/>
    </row>
    <row r="87" spans="1:9" ht="15" thickBot="1" x14ac:dyDescent="0.35">
      <c r="A87" s="1">
        <v>110197</v>
      </c>
      <c r="C87" s="5">
        <v>110197</v>
      </c>
      <c r="H87" s="1"/>
      <c r="I87" s="1"/>
    </row>
    <row r="88" spans="1:9" x14ac:dyDescent="0.3">
      <c r="A88" s="1">
        <v>110341</v>
      </c>
      <c r="C88" s="3">
        <v>110341</v>
      </c>
      <c r="H88" s="1"/>
      <c r="I88" s="1"/>
    </row>
    <row r="89" spans="1:9" x14ac:dyDescent="0.3">
      <c r="A89" s="1">
        <v>110464</v>
      </c>
      <c r="C89" s="4">
        <v>110464</v>
      </c>
      <c r="H89" s="1"/>
      <c r="I89" s="1"/>
    </row>
    <row r="90" spans="1:9" x14ac:dyDescent="0.3">
      <c r="A90" s="1">
        <v>110541</v>
      </c>
      <c r="C90" s="4">
        <v>110541</v>
      </c>
      <c r="H90" s="1"/>
      <c r="I90" s="1"/>
    </row>
    <row r="91" spans="1:9" x14ac:dyDescent="0.3">
      <c r="A91" s="1">
        <v>111179</v>
      </c>
      <c r="C91" s="4">
        <v>111179</v>
      </c>
      <c r="H91" s="1"/>
      <c r="I91" s="1"/>
    </row>
    <row r="92" spans="1:9" ht="15" thickBot="1" x14ac:dyDescent="0.35">
      <c r="A92" s="1">
        <v>111245</v>
      </c>
      <c r="C92" s="2">
        <v>111245</v>
      </c>
      <c r="H92" s="1"/>
      <c r="I92" s="1"/>
    </row>
    <row r="93" spans="1:9" x14ac:dyDescent="0.3">
      <c r="A93" s="1">
        <v>111446</v>
      </c>
      <c r="C93" s="3">
        <v>111446</v>
      </c>
      <c r="H93" s="1"/>
      <c r="I93" s="1"/>
    </row>
    <row r="94" spans="1:9" x14ac:dyDescent="0.3">
      <c r="A94" s="1">
        <v>111545</v>
      </c>
      <c r="C94" s="4">
        <v>111545</v>
      </c>
      <c r="H94" s="1"/>
      <c r="I94" s="1"/>
    </row>
    <row r="95" spans="1:9" x14ac:dyDescent="0.3">
      <c r="A95" s="1">
        <v>111569</v>
      </c>
      <c r="C95" s="4">
        <v>111569</v>
      </c>
      <c r="H95" s="1"/>
      <c r="I95" s="1"/>
    </row>
    <row r="96" spans="1:9" x14ac:dyDescent="0.3">
      <c r="A96" s="1">
        <v>111665</v>
      </c>
      <c r="C96" s="4">
        <v>111665</v>
      </c>
      <c r="H96" s="1"/>
      <c r="I96" s="1"/>
    </row>
    <row r="97" spans="1:9" ht="15" thickBot="1" x14ac:dyDescent="0.35">
      <c r="A97" s="1">
        <v>111856</v>
      </c>
      <c r="C97" s="4">
        <v>111856</v>
      </c>
      <c r="H97" s="1"/>
      <c r="I97" s="1"/>
    </row>
    <row r="98" spans="1:9" x14ac:dyDescent="0.3">
      <c r="A98" s="1">
        <v>112045</v>
      </c>
      <c r="C98" s="3">
        <v>112045</v>
      </c>
      <c r="H98" s="1"/>
      <c r="I98" s="1"/>
    </row>
    <row r="99" spans="1:9" x14ac:dyDescent="0.3">
      <c r="A99" s="1">
        <v>112094</v>
      </c>
      <c r="C99" s="4">
        <v>112094</v>
      </c>
      <c r="H99" s="1"/>
      <c r="I99" s="1"/>
    </row>
    <row r="100" spans="1:9" x14ac:dyDescent="0.3">
      <c r="A100" s="1">
        <v>112523</v>
      </c>
      <c r="C100" s="4">
        <v>112523</v>
      </c>
      <c r="H100" s="1"/>
      <c r="I100" s="1"/>
    </row>
    <row r="101" spans="1:9" x14ac:dyDescent="0.3">
      <c r="A101" s="1">
        <v>112709</v>
      </c>
      <c r="C101" s="4">
        <v>112709</v>
      </c>
      <c r="H101" s="1"/>
      <c r="I101" s="1"/>
    </row>
    <row r="102" spans="1:9" x14ac:dyDescent="0.3">
      <c r="A102" s="1">
        <v>112710</v>
      </c>
      <c r="C102" s="4">
        <v>112710</v>
      </c>
      <c r="H102" s="1"/>
      <c r="I102" s="1"/>
    </row>
    <row r="103" spans="1:9" ht="15" thickBot="1" x14ac:dyDescent="0.35">
      <c r="A103" s="1">
        <v>113663</v>
      </c>
      <c r="C103" s="2">
        <v>113663</v>
      </c>
      <c r="H103" s="1"/>
      <c r="I103" s="1"/>
    </row>
    <row r="104" spans="1:9" x14ac:dyDescent="0.3">
      <c r="A104" s="1">
        <v>114033</v>
      </c>
      <c r="C104" s="4">
        <v>114033</v>
      </c>
      <c r="H104" s="1"/>
      <c r="I104" s="1"/>
    </row>
    <row r="105" spans="1:9" x14ac:dyDescent="0.3">
      <c r="A105" s="1">
        <v>114077</v>
      </c>
      <c r="C105" s="4">
        <v>114077</v>
      </c>
      <c r="H105" s="1"/>
      <c r="I105" s="1"/>
    </row>
    <row r="106" spans="1:9" x14ac:dyDescent="0.3">
      <c r="A106" s="1">
        <v>114952</v>
      </c>
      <c r="C106" s="4">
        <v>114952</v>
      </c>
      <c r="H106" s="1"/>
      <c r="I106" s="1"/>
    </row>
    <row r="107" spans="1:9" x14ac:dyDescent="0.3">
      <c r="A107" s="1">
        <v>115119</v>
      </c>
      <c r="C107" s="4">
        <v>115119</v>
      </c>
      <c r="H107" s="1"/>
      <c r="I107" s="1"/>
    </row>
    <row r="108" spans="1:9" ht="15" thickBot="1" x14ac:dyDescent="0.35">
      <c r="A108" s="1">
        <v>115234</v>
      </c>
      <c r="C108" s="2">
        <v>115234</v>
      </c>
      <c r="H108" s="1"/>
      <c r="I108" s="1"/>
    </row>
    <row r="109" spans="1:9" x14ac:dyDescent="0.3">
      <c r="A109" s="1">
        <v>115995</v>
      </c>
      <c r="C109" s="3">
        <v>115995</v>
      </c>
      <c r="H109" s="1"/>
      <c r="I109" s="1"/>
    </row>
    <row r="110" spans="1:9" x14ac:dyDescent="0.3">
      <c r="A110" s="1">
        <v>116211</v>
      </c>
      <c r="C110" s="4">
        <v>116211</v>
      </c>
      <c r="H110" s="1"/>
      <c r="I110" s="1"/>
    </row>
    <row r="111" spans="1:9" x14ac:dyDescent="0.3">
      <c r="A111" s="1">
        <v>116314</v>
      </c>
      <c r="C111" s="4">
        <v>116314</v>
      </c>
      <c r="H111" s="1"/>
      <c r="I111" s="1"/>
    </row>
    <row r="112" spans="1:9" x14ac:dyDescent="0.3">
      <c r="A112" s="1">
        <v>116479</v>
      </c>
      <c r="C112" s="4">
        <v>116479</v>
      </c>
      <c r="H112" s="1"/>
      <c r="I112" s="1"/>
    </row>
    <row r="113" spans="1:9" x14ac:dyDescent="0.3">
      <c r="A113" s="1">
        <v>116646</v>
      </c>
      <c r="C113" s="4">
        <v>116646</v>
      </c>
      <c r="H113" s="1"/>
      <c r="I113" s="1"/>
    </row>
    <row r="114" spans="1:9" x14ac:dyDescent="0.3">
      <c r="A114" s="1">
        <v>150911</v>
      </c>
      <c r="C114" s="5">
        <v>150911</v>
      </c>
      <c r="H114" s="1"/>
      <c r="I114" s="1"/>
    </row>
    <row r="115" spans="1:9" x14ac:dyDescent="0.3">
      <c r="H115" s="1"/>
      <c r="I115" s="1"/>
    </row>
  </sheetData>
  <sortState xmlns:xlrd2="http://schemas.microsoft.com/office/spreadsheetml/2017/richdata2" ref="C2:C134">
    <sortCondition ref="C1:C134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B34AC-61CD-4136-8AEB-02AC9E532847}">
  <dimension ref="A1:H118"/>
  <sheetViews>
    <sheetView workbookViewId="0">
      <selection activeCell="E8" sqref="E8"/>
    </sheetView>
  </sheetViews>
  <sheetFormatPr defaultRowHeight="14.4" x14ac:dyDescent="0.3"/>
  <cols>
    <col min="1" max="1" width="11.6640625" bestFit="1" customWidth="1"/>
    <col min="2" max="2" width="14.88671875" bestFit="1" customWidth="1"/>
    <col min="5" max="5" width="11.6640625" bestFit="1" customWidth="1"/>
  </cols>
  <sheetData>
    <row r="1" spans="1:8" x14ac:dyDescent="0.3">
      <c r="A1" s="14" t="s">
        <v>1</v>
      </c>
      <c r="B1" s="14" t="s">
        <v>2</v>
      </c>
      <c r="E1" s="14" t="s">
        <v>1</v>
      </c>
    </row>
    <row r="2" spans="1:8" x14ac:dyDescent="0.3">
      <c r="A2" s="15">
        <v>566</v>
      </c>
      <c r="B2" s="16"/>
      <c r="E2" s="15">
        <v>566</v>
      </c>
    </row>
    <row r="3" spans="1:8" x14ac:dyDescent="0.3">
      <c r="A3" s="15">
        <v>521</v>
      </c>
      <c r="B3" s="15">
        <v>1</v>
      </c>
      <c r="C3">
        <v>208</v>
      </c>
      <c r="D3">
        <v>297.60000000000002</v>
      </c>
      <c r="E3" s="15">
        <v>521</v>
      </c>
      <c r="F3" s="17">
        <f>D3/E3</f>
        <v>0.57120921305182348</v>
      </c>
      <c r="G3" s="17">
        <f>D3/E3</f>
        <v>0.57120921305182348</v>
      </c>
      <c r="H3" s="18">
        <f>F3-G3</f>
        <v>0</v>
      </c>
    </row>
    <row r="4" spans="1:8" x14ac:dyDescent="0.3">
      <c r="A4" s="15">
        <v>530</v>
      </c>
      <c r="B4" s="15">
        <v>2</v>
      </c>
      <c r="C4">
        <v>209</v>
      </c>
      <c r="D4">
        <v>304.39999999999998</v>
      </c>
      <c r="E4" s="15">
        <v>530</v>
      </c>
      <c r="F4" s="17">
        <f t="shared" ref="F4:F7" si="0">D4/E4</f>
        <v>0.5743396226415094</v>
      </c>
      <c r="G4" s="17">
        <f t="shared" ref="G4:G40" si="1">D4/E4</f>
        <v>0.5743396226415094</v>
      </c>
      <c r="H4" s="18">
        <f t="shared" ref="H4:H40" si="2">F4-G4</f>
        <v>0</v>
      </c>
    </row>
    <row r="5" spans="1:8" x14ac:dyDescent="0.3">
      <c r="A5" s="15">
        <v>502</v>
      </c>
      <c r="B5" s="15">
        <v>3</v>
      </c>
      <c r="C5">
        <v>210</v>
      </c>
      <c r="D5">
        <v>305.2</v>
      </c>
      <c r="E5" s="15">
        <v>502</v>
      </c>
      <c r="F5" s="17">
        <f t="shared" si="0"/>
        <v>0.60796812749003981</v>
      </c>
      <c r="G5" s="17">
        <f t="shared" si="1"/>
        <v>0.60796812749003981</v>
      </c>
      <c r="H5" s="18">
        <f t="shared" si="2"/>
        <v>0</v>
      </c>
    </row>
    <row r="6" spans="1:8" x14ac:dyDescent="0.3">
      <c r="A6" s="15">
        <v>577</v>
      </c>
      <c r="B6" s="15">
        <v>4</v>
      </c>
      <c r="C6">
        <v>211</v>
      </c>
      <c r="D6">
        <v>337</v>
      </c>
      <c r="E6" s="15">
        <v>577</v>
      </c>
      <c r="F6" s="17">
        <f t="shared" si="0"/>
        <v>0.58405545927209701</v>
      </c>
      <c r="G6" s="17">
        <f t="shared" si="1"/>
        <v>0.58405545927209701</v>
      </c>
      <c r="H6" s="18">
        <f t="shared" si="2"/>
        <v>0</v>
      </c>
    </row>
    <row r="7" spans="1:8" x14ac:dyDescent="0.3">
      <c r="A7" s="15">
        <v>612</v>
      </c>
      <c r="B7" s="15">
        <v>5</v>
      </c>
      <c r="C7">
        <v>212</v>
      </c>
      <c r="D7">
        <v>337.8</v>
      </c>
      <c r="E7" s="15">
        <v>612</v>
      </c>
      <c r="F7" s="17">
        <f t="shared" si="0"/>
        <v>0.55196078431372553</v>
      </c>
      <c r="G7" s="17">
        <f t="shared" si="1"/>
        <v>0.55196078431372553</v>
      </c>
      <c r="H7" s="18">
        <f t="shared" si="2"/>
        <v>0</v>
      </c>
    </row>
    <row r="8" spans="1:8" x14ac:dyDescent="0.3">
      <c r="A8" s="15">
        <v>506</v>
      </c>
      <c r="B8" s="15">
        <v>6</v>
      </c>
      <c r="C8">
        <v>213</v>
      </c>
      <c r="D8">
        <v>339.4</v>
      </c>
      <c r="E8" s="19">
        <v>566</v>
      </c>
      <c r="F8" s="17">
        <f t="shared" ref="F8:F40" si="3">D8/E9</f>
        <v>0.67075098814229239</v>
      </c>
      <c r="G8" s="17">
        <f t="shared" si="1"/>
        <v>0.59964664310954063</v>
      </c>
      <c r="H8" s="18">
        <f t="shared" si="2"/>
        <v>7.1104345032751759E-2</v>
      </c>
    </row>
    <row r="9" spans="1:8" x14ac:dyDescent="0.3">
      <c r="A9" s="15">
        <v>516</v>
      </c>
      <c r="B9" s="15">
        <v>7</v>
      </c>
      <c r="C9">
        <v>214</v>
      </c>
      <c r="D9">
        <v>292</v>
      </c>
      <c r="E9" s="15">
        <v>506</v>
      </c>
      <c r="F9" s="17">
        <f t="shared" si="3"/>
        <v>0.56589147286821706</v>
      </c>
      <c r="G9" s="17">
        <f t="shared" si="1"/>
        <v>0.57707509881422925</v>
      </c>
      <c r="H9" s="18">
        <f t="shared" si="2"/>
        <v>-1.1183625946012188E-2</v>
      </c>
    </row>
    <row r="10" spans="1:8" x14ac:dyDescent="0.3">
      <c r="A10" s="15">
        <v>528</v>
      </c>
      <c r="B10" s="15">
        <v>8</v>
      </c>
      <c r="C10">
        <v>215</v>
      </c>
      <c r="D10">
        <v>295.2</v>
      </c>
      <c r="E10" s="15">
        <v>516</v>
      </c>
      <c r="F10" s="17">
        <f t="shared" si="3"/>
        <v>0.55909090909090908</v>
      </c>
      <c r="G10" s="17">
        <f t="shared" si="1"/>
        <v>0.5720930232558139</v>
      </c>
      <c r="H10" s="18">
        <f t="shared" si="2"/>
        <v>-1.3002114164904821E-2</v>
      </c>
    </row>
    <row r="11" spans="1:8" x14ac:dyDescent="0.3">
      <c r="A11" s="15">
        <v>471</v>
      </c>
      <c r="B11" s="15">
        <v>9</v>
      </c>
      <c r="C11">
        <v>216</v>
      </c>
      <c r="D11">
        <v>309.39999999999998</v>
      </c>
      <c r="E11" s="15">
        <v>528</v>
      </c>
      <c r="F11" s="17">
        <f t="shared" si="3"/>
        <v>0.65690021231422502</v>
      </c>
      <c r="G11" s="17">
        <f t="shared" si="1"/>
        <v>0.58598484848484844</v>
      </c>
      <c r="H11" s="18">
        <f t="shared" si="2"/>
        <v>7.0915363829376576E-2</v>
      </c>
    </row>
    <row r="12" spans="1:8" x14ac:dyDescent="0.3">
      <c r="A12" s="15">
        <v>461</v>
      </c>
      <c r="B12" s="15">
        <v>10</v>
      </c>
      <c r="C12">
        <v>217</v>
      </c>
      <c r="D12">
        <v>279.60000000000002</v>
      </c>
      <c r="E12" s="15">
        <v>471</v>
      </c>
      <c r="F12" s="17">
        <f t="shared" si="3"/>
        <v>0.60650759219088946</v>
      </c>
      <c r="G12" s="17">
        <f t="shared" si="1"/>
        <v>0.59363057324840773</v>
      </c>
      <c r="H12" s="18">
        <f t="shared" si="2"/>
        <v>1.2877018942481722E-2</v>
      </c>
    </row>
    <row r="13" spans="1:8" x14ac:dyDescent="0.3">
      <c r="A13" s="15">
        <v>541</v>
      </c>
      <c r="B13" s="15">
        <v>11</v>
      </c>
      <c r="C13">
        <v>218</v>
      </c>
      <c r="D13">
        <v>281</v>
      </c>
      <c r="E13" s="15">
        <v>461</v>
      </c>
      <c r="F13" s="17">
        <f t="shared" si="3"/>
        <v>0.51940850277264328</v>
      </c>
      <c r="G13" s="17">
        <f t="shared" si="1"/>
        <v>0.6095444685466378</v>
      </c>
      <c r="H13" s="18">
        <f t="shared" si="2"/>
        <v>-9.013596577399452E-2</v>
      </c>
    </row>
    <row r="14" spans="1:8" x14ac:dyDescent="0.3">
      <c r="A14" s="15">
        <v>475</v>
      </c>
      <c r="B14" s="15">
        <v>12</v>
      </c>
      <c r="C14">
        <v>219</v>
      </c>
      <c r="D14">
        <v>313.39999999999998</v>
      </c>
      <c r="E14" s="15">
        <v>541</v>
      </c>
      <c r="F14" s="17">
        <f t="shared" si="3"/>
        <v>0.65978947368421048</v>
      </c>
      <c r="G14" s="17">
        <f t="shared" si="1"/>
        <v>0.57929759704251382</v>
      </c>
      <c r="H14" s="18">
        <f t="shared" si="2"/>
        <v>8.0491876641696658E-2</v>
      </c>
    </row>
    <row r="15" spans="1:8" x14ac:dyDescent="0.3">
      <c r="A15" s="15">
        <v>515</v>
      </c>
      <c r="B15" s="15">
        <v>13</v>
      </c>
      <c r="C15">
        <v>220</v>
      </c>
      <c r="D15">
        <v>274.8</v>
      </c>
      <c r="E15" s="15">
        <v>475</v>
      </c>
      <c r="F15" s="17">
        <f t="shared" si="3"/>
        <v>0.53359223300970871</v>
      </c>
      <c r="G15" s="17">
        <f t="shared" si="1"/>
        <v>0.57852631578947367</v>
      </c>
      <c r="H15" s="18">
        <f t="shared" si="2"/>
        <v>-4.4934082779764961E-2</v>
      </c>
    </row>
    <row r="16" spans="1:8" x14ac:dyDescent="0.3">
      <c r="A16" s="15">
        <v>526</v>
      </c>
      <c r="B16" s="15">
        <v>14</v>
      </c>
      <c r="C16">
        <v>221</v>
      </c>
      <c r="D16">
        <v>301.60000000000002</v>
      </c>
      <c r="E16" s="15">
        <v>515</v>
      </c>
      <c r="F16" s="17">
        <f t="shared" si="3"/>
        <v>0.57338403041825103</v>
      </c>
      <c r="G16" s="17">
        <f t="shared" si="1"/>
        <v>0.58563106796116504</v>
      </c>
      <c r="H16" s="18">
        <f t="shared" si="2"/>
        <v>-1.2247037542914008E-2</v>
      </c>
    </row>
    <row r="17" spans="1:8" x14ac:dyDescent="0.3">
      <c r="A17" s="15">
        <v>453</v>
      </c>
      <c r="B17" s="15">
        <v>15</v>
      </c>
      <c r="C17">
        <v>222</v>
      </c>
      <c r="D17">
        <v>310.39999999999998</v>
      </c>
      <c r="E17" s="15">
        <v>526</v>
      </c>
      <c r="F17" s="17">
        <f t="shared" si="3"/>
        <v>0.68520971302428246</v>
      </c>
      <c r="G17" s="17">
        <f t="shared" si="1"/>
        <v>0.59011406844106462</v>
      </c>
      <c r="H17" s="18">
        <f t="shared" si="2"/>
        <v>9.5095644583217842E-2</v>
      </c>
    </row>
    <row r="18" spans="1:8" x14ac:dyDescent="0.3">
      <c r="A18" s="15">
        <v>490</v>
      </c>
      <c r="B18" s="15">
        <v>16</v>
      </c>
      <c r="C18">
        <v>223</v>
      </c>
      <c r="D18">
        <v>262.60000000000002</v>
      </c>
      <c r="E18" s="15">
        <v>453</v>
      </c>
      <c r="F18" s="17">
        <f t="shared" si="3"/>
        <v>0.53591836734693887</v>
      </c>
      <c r="G18" s="17">
        <f t="shared" si="1"/>
        <v>0.57969094922737308</v>
      </c>
      <c r="H18" s="18">
        <f t="shared" si="2"/>
        <v>-4.3772581880434203E-2</v>
      </c>
    </row>
    <row r="19" spans="1:8" x14ac:dyDescent="0.3">
      <c r="A19" s="15">
        <v>462</v>
      </c>
      <c r="B19" s="15">
        <v>17</v>
      </c>
      <c r="C19">
        <v>224</v>
      </c>
      <c r="D19">
        <v>286.60000000000002</v>
      </c>
      <c r="E19" s="15">
        <v>490</v>
      </c>
      <c r="F19" s="17">
        <f t="shared" si="3"/>
        <v>0.62034632034632042</v>
      </c>
      <c r="G19" s="17">
        <f t="shared" si="1"/>
        <v>0.58489795918367349</v>
      </c>
      <c r="H19" s="18">
        <f t="shared" si="2"/>
        <v>3.5448361162646935E-2</v>
      </c>
    </row>
    <row r="20" spans="1:8" x14ac:dyDescent="0.3">
      <c r="A20" s="15">
        <v>464</v>
      </c>
      <c r="B20" s="15">
        <v>18</v>
      </c>
      <c r="C20">
        <v>225</v>
      </c>
      <c r="D20">
        <v>264.60000000000002</v>
      </c>
      <c r="E20" s="15">
        <v>462</v>
      </c>
      <c r="F20" s="17">
        <f t="shared" si="3"/>
        <v>0.57025862068965527</v>
      </c>
      <c r="G20" s="17">
        <f t="shared" si="1"/>
        <v>0.57272727272727275</v>
      </c>
      <c r="H20" s="18">
        <f t="shared" si="2"/>
        <v>-2.4686520376174803E-3</v>
      </c>
    </row>
    <row r="21" spans="1:8" x14ac:dyDescent="0.3">
      <c r="A21" s="15">
        <v>523</v>
      </c>
      <c r="B21" s="15">
        <v>19</v>
      </c>
      <c r="C21">
        <v>226</v>
      </c>
      <c r="D21">
        <v>271.2</v>
      </c>
      <c r="E21" s="15">
        <v>464</v>
      </c>
      <c r="F21" s="17">
        <f t="shared" si="3"/>
        <v>0.51854684512428295</v>
      </c>
      <c r="G21" s="17">
        <f t="shared" si="1"/>
        <v>0.58448275862068966</v>
      </c>
      <c r="H21" s="18">
        <f t="shared" si="2"/>
        <v>-6.5935913496406706E-2</v>
      </c>
    </row>
    <row r="22" spans="1:8" x14ac:dyDescent="0.3">
      <c r="A22" s="15">
        <v>475</v>
      </c>
      <c r="B22" s="15">
        <v>20</v>
      </c>
      <c r="C22">
        <v>227</v>
      </c>
      <c r="D22">
        <v>306</v>
      </c>
      <c r="E22" s="15">
        <v>523</v>
      </c>
      <c r="F22" s="17">
        <f t="shared" si="3"/>
        <v>0.64421052631578946</v>
      </c>
      <c r="G22" s="17">
        <f t="shared" si="1"/>
        <v>0.58508604206500958</v>
      </c>
      <c r="H22" s="18">
        <f t="shared" si="2"/>
        <v>5.9124484250779874E-2</v>
      </c>
    </row>
    <row r="23" spans="1:8" x14ac:dyDescent="0.3">
      <c r="A23" s="15">
        <v>506</v>
      </c>
      <c r="B23" s="15">
        <v>21</v>
      </c>
      <c r="C23">
        <v>228</v>
      </c>
      <c r="D23">
        <v>270</v>
      </c>
      <c r="E23" s="15">
        <v>475</v>
      </c>
      <c r="F23" s="17">
        <f t="shared" si="3"/>
        <v>0.53359683794466406</v>
      </c>
      <c r="G23" s="17">
        <f t="shared" si="1"/>
        <v>0.56842105263157894</v>
      </c>
      <c r="H23" s="18">
        <f t="shared" si="2"/>
        <v>-3.4824214686914878E-2</v>
      </c>
    </row>
    <row r="24" spans="1:8" x14ac:dyDescent="0.3">
      <c r="A24" s="15">
        <v>474</v>
      </c>
      <c r="B24" s="15">
        <v>22</v>
      </c>
      <c r="C24">
        <v>229</v>
      </c>
      <c r="D24">
        <v>292.39999999999998</v>
      </c>
      <c r="E24" s="15">
        <v>506</v>
      </c>
      <c r="F24" s="17">
        <f t="shared" si="3"/>
        <v>0.61687763713080168</v>
      </c>
      <c r="G24" s="17">
        <f t="shared" si="1"/>
        <v>0.57786561264822134</v>
      </c>
      <c r="H24" s="18">
        <f t="shared" si="2"/>
        <v>3.9012024482580343E-2</v>
      </c>
    </row>
    <row r="25" spans="1:8" x14ac:dyDescent="0.3">
      <c r="A25" s="15">
        <v>494</v>
      </c>
      <c r="B25" s="15">
        <v>23</v>
      </c>
      <c r="C25">
        <v>230</v>
      </c>
      <c r="D25">
        <v>274.2</v>
      </c>
      <c r="E25" s="15">
        <v>474</v>
      </c>
      <c r="F25" s="17">
        <f t="shared" si="3"/>
        <v>0.55506072874493928</v>
      </c>
      <c r="G25" s="17">
        <f t="shared" si="1"/>
        <v>0.57848101265822782</v>
      </c>
      <c r="H25" s="18">
        <f t="shared" si="2"/>
        <v>-2.3420283913288542E-2</v>
      </c>
    </row>
    <row r="26" spans="1:8" x14ac:dyDescent="0.3">
      <c r="A26" s="15">
        <v>535</v>
      </c>
      <c r="B26" s="15">
        <v>24</v>
      </c>
      <c r="C26">
        <v>231</v>
      </c>
      <c r="D26">
        <v>283.39999999999998</v>
      </c>
      <c r="E26" s="15">
        <v>494</v>
      </c>
      <c r="F26" s="17">
        <f t="shared" si="3"/>
        <v>0.52971962616822421</v>
      </c>
      <c r="G26" s="17">
        <f t="shared" si="1"/>
        <v>0.5736842105263158</v>
      </c>
      <c r="H26" s="18">
        <f t="shared" si="2"/>
        <v>-4.3964584358091585E-2</v>
      </c>
    </row>
    <row r="27" spans="1:8" x14ac:dyDescent="0.3">
      <c r="A27" s="15">
        <v>548</v>
      </c>
      <c r="B27" s="15">
        <v>25</v>
      </c>
      <c r="C27">
        <v>232</v>
      </c>
      <c r="D27">
        <v>293.39999999999998</v>
      </c>
      <c r="E27" s="15">
        <v>535</v>
      </c>
      <c r="F27" s="17">
        <f t="shared" si="3"/>
        <v>0.53540145985401455</v>
      </c>
      <c r="G27" s="17">
        <f t="shared" si="1"/>
        <v>0.54841121495327094</v>
      </c>
      <c r="H27" s="18">
        <f t="shared" si="2"/>
        <v>-1.3009755099256393E-2</v>
      </c>
    </row>
    <row r="28" spans="1:8" x14ac:dyDescent="0.3">
      <c r="A28" s="15">
        <v>526</v>
      </c>
      <c r="B28" s="15">
        <v>26</v>
      </c>
      <c r="C28">
        <v>233</v>
      </c>
      <c r="D28">
        <v>314</v>
      </c>
      <c r="E28" s="15">
        <v>548</v>
      </c>
      <c r="F28" s="17">
        <f t="shared" si="3"/>
        <v>0.59695817490494296</v>
      </c>
      <c r="G28" s="17">
        <f t="shared" si="1"/>
        <v>0.57299270072992703</v>
      </c>
      <c r="H28" s="18">
        <f t="shared" si="2"/>
        <v>2.3965474175015933E-2</v>
      </c>
    </row>
    <row r="29" spans="1:8" x14ac:dyDescent="0.3">
      <c r="A29" s="15">
        <v>507</v>
      </c>
      <c r="B29" s="15">
        <v>27</v>
      </c>
      <c r="C29">
        <v>234</v>
      </c>
      <c r="D29">
        <v>301.39999999999998</v>
      </c>
      <c r="E29" s="15">
        <v>526</v>
      </c>
      <c r="F29" s="17">
        <f t="shared" si="3"/>
        <v>0.5944773175542406</v>
      </c>
      <c r="G29" s="17">
        <f t="shared" si="1"/>
        <v>0.57300380228136882</v>
      </c>
      <c r="H29" s="18">
        <f t="shared" si="2"/>
        <v>2.1473515272871779E-2</v>
      </c>
    </row>
    <row r="30" spans="1:8" x14ac:dyDescent="0.3">
      <c r="A30" s="15">
        <v>511</v>
      </c>
      <c r="B30" s="15">
        <v>28</v>
      </c>
      <c r="C30">
        <v>235</v>
      </c>
      <c r="D30">
        <v>285.60000000000002</v>
      </c>
      <c r="E30" s="15">
        <v>507</v>
      </c>
      <c r="F30" s="17">
        <f t="shared" si="3"/>
        <v>0.55890410958904113</v>
      </c>
      <c r="G30" s="17">
        <f t="shared" si="1"/>
        <v>0.56331360946745568</v>
      </c>
      <c r="H30" s="18">
        <f t="shared" si="2"/>
        <v>-4.4094998784145467E-3</v>
      </c>
    </row>
    <row r="31" spans="1:8" x14ac:dyDescent="0.3">
      <c r="A31" s="15">
        <v>428</v>
      </c>
      <c r="B31" s="15">
        <v>29</v>
      </c>
      <c r="C31">
        <v>236</v>
      </c>
      <c r="D31">
        <v>304</v>
      </c>
      <c r="E31" s="15">
        <v>511</v>
      </c>
      <c r="F31" s="17">
        <f t="shared" si="3"/>
        <v>0.71028037383177567</v>
      </c>
      <c r="G31" s="17">
        <f t="shared" si="1"/>
        <v>0.59491193737769077</v>
      </c>
      <c r="H31" s="18">
        <f t="shared" si="2"/>
        <v>0.1153684364540849</v>
      </c>
    </row>
    <row r="32" spans="1:8" x14ac:dyDescent="0.3">
      <c r="A32" s="15">
        <v>511</v>
      </c>
      <c r="B32" s="15">
        <v>30</v>
      </c>
      <c r="C32">
        <v>237</v>
      </c>
      <c r="D32">
        <v>246.2</v>
      </c>
      <c r="E32" s="15">
        <v>428</v>
      </c>
      <c r="F32" s="17">
        <f t="shared" si="3"/>
        <v>0.48180039138943248</v>
      </c>
      <c r="G32" s="17">
        <f t="shared" si="1"/>
        <v>0.5752336448598131</v>
      </c>
      <c r="H32" s="18">
        <f t="shared" si="2"/>
        <v>-9.3433253470380617E-2</v>
      </c>
    </row>
    <row r="33" spans="1:8" x14ac:dyDescent="0.3">
      <c r="A33" s="15">
        <v>473</v>
      </c>
      <c r="B33" s="15">
        <v>31</v>
      </c>
      <c r="C33">
        <v>238</v>
      </c>
      <c r="D33">
        <v>294.39999999999998</v>
      </c>
      <c r="E33" s="15">
        <v>511</v>
      </c>
      <c r="F33" s="17">
        <f t="shared" si="3"/>
        <v>0.62241014799154326</v>
      </c>
      <c r="G33" s="17">
        <f t="shared" si="1"/>
        <v>0.5761252446183952</v>
      </c>
      <c r="H33" s="18">
        <f t="shared" si="2"/>
        <v>4.6284903373148056E-2</v>
      </c>
    </row>
    <row r="34" spans="1:8" x14ac:dyDescent="0.3">
      <c r="A34" s="15">
        <v>500</v>
      </c>
      <c r="B34" s="15">
        <v>32</v>
      </c>
      <c r="C34">
        <v>239</v>
      </c>
      <c r="D34">
        <v>269</v>
      </c>
      <c r="E34" s="15">
        <v>473</v>
      </c>
      <c r="F34" s="17">
        <f t="shared" si="3"/>
        <v>0.53800000000000003</v>
      </c>
      <c r="G34" s="17">
        <f t="shared" si="1"/>
        <v>0.56871035940803383</v>
      </c>
      <c r="H34" s="18">
        <f t="shared" si="2"/>
        <v>-3.0710359408033794E-2</v>
      </c>
    </row>
    <row r="35" spans="1:8" x14ac:dyDescent="0.3">
      <c r="A35" s="15">
        <v>470</v>
      </c>
      <c r="B35" s="15">
        <v>33</v>
      </c>
      <c r="C35">
        <v>240</v>
      </c>
      <c r="D35">
        <v>283.60000000000002</v>
      </c>
      <c r="E35" s="15">
        <v>500</v>
      </c>
      <c r="F35" s="17">
        <f t="shared" si="3"/>
        <v>0.60340425531914899</v>
      </c>
      <c r="G35" s="17">
        <f t="shared" si="1"/>
        <v>0.56720000000000004</v>
      </c>
      <c r="H35" s="18">
        <f t="shared" si="2"/>
        <v>3.6204255319148948E-2</v>
      </c>
    </row>
    <row r="36" spans="1:8" x14ac:dyDescent="0.3">
      <c r="A36" s="15">
        <v>529</v>
      </c>
      <c r="B36" s="15">
        <v>34</v>
      </c>
      <c r="C36">
        <v>241</v>
      </c>
      <c r="D36">
        <v>311.2</v>
      </c>
      <c r="E36" s="15">
        <v>470</v>
      </c>
      <c r="F36" s="17">
        <f t="shared" si="3"/>
        <v>0.58827977315689983</v>
      </c>
      <c r="G36" s="17">
        <f t="shared" si="1"/>
        <v>0.66212765957446806</v>
      </c>
      <c r="H36" s="18">
        <f t="shared" si="2"/>
        <v>-7.3847886417568231E-2</v>
      </c>
    </row>
    <row r="37" spans="1:8" x14ac:dyDescent="0.3">
      <c r="A37" s="15">
        <v>512</v>
      </c>
      <c r="B37" s="15">
        <v>35</v>
      </c>
      <c r="C37">
        <v>242</v>
      </c>
      <c r="D37">
        <v>278.8</v>
      </c>
      <c r="E37" s="15">
        <v>529</v>
      </c>
      <c r="F37" s="17">
        <f t="shared" si="3"/>
        <v>0.54453125000000002</v>
      </c>
      <c r="G37" s="17">
        <f t="shared" si="1"/>
        <v>0.52703213610586008</v>
      </c>
      <c r="H37" s="18">
        <f t="shared" si="2"/>
        <v>1.7499113894139939E-2</v>
      </c>
    </row>
    <row r="38" spans="1:8" x14ac:dyDescent="0.3">
      <c r="A38" s="15">
        <v>507</v>
      </c>
      <c r="B38" s="15">
        <v>36</v>
      </c>
      <c r="C38">
        <v>243</v>
      </c>
      <c r="D38">
        <v>299.2</v>
      </c>
      <c r="E38" s="15">
        <v>512</v>
      </c>
      <c r="F38" s="17">
        <f t="shared" si="3"/>
        <v>0.59013806706114391</v>
      </c>
      <c r="G38" s="17">
        <f t="shared" si="1"/>
        <v>0.58437499999999998</v>
      </c>
      <c r="H38" s="18">
        <f t="shared" si="2"/>
        <v>5.7630670611439339E-3</v>
      </c>
    </row>
    <row r="39" spans="1:8" x14ac:dyDescent="0.3">
      <c r="A39" s="15">
        <v>461</v>
      </c>
      <c r="B39" s="15">
        <v>37</v>
      </c>
      <c r="C39">
        <v>244</v>
      </c>
      <c r="D39">
        <v>282.39999999999998</v>
      </c>
      <c r="E39" s="15">
        <v>507</v>
      </c>
      <c r="F39" s="17">
        <f t="shared" si="3"/>
        <v>0.61258134490238603</v>
      </c>
      <c r="G39" s="17">
        <f t="shared" si="1"/>
        <v>0.55700197238658777</v>
      </c>
      <c r="H39" s="18">
        <f t="shared" si="2"/>
        <v>5.5579372515798253E-2</v>
      </c>
    </row>
    <row r="40" spans="1:8" x14ac:dyDescent="0.3">
      <c r="A40" s="15">
        <v>534</v>
      </c>
      <c r="B40" s="15">
        <v>38</v>
      </c>
      <c r="C40">
        <v>245</v>
      </c>
      <c r="D40">
        <v>262.2</v>
      </c>
      <c r="E40" s="15">
        <v>461</v>
      </c>
      <c r="F40" s="17">
        <f t="shared" si="3"/>
        <v>0.49101123595505614</v>
      </c>
      <c r="G40" s="17">
        <f t="shared" si="1"/>
        <v>0.56876355748373097</v>
      </c>
      <c r="H40" s="18">
        <f t="shared" si="2"/>
        <v>-7.7752321528674839E-2</v>
      </c>
    </row>
    <row r="41" spans="1:8" x14ac:dyDescent="0.3">
      <c r="A41" s="15">
        <v>516</v>
      </c>
      <c r="B41" s="15">
        <v>39</v>
      </c>
      <c r="C41">
        <v>246</v>
      </c>
      <c r="E41" s="15">
        <v>534</v>
      </c>
    </row>
    <row r="42" spans="1:8" x14ac:dyDescent="0.3">
      <c r="A42" s="15">
        <v>530</v>
      </c>
      <c r="B42" s="15">
        <v>40</v>
      </c>
      <c r="C42">
        <v>247</v>
      </c>
      <c r="E42" s="15">
        <v>516</v>
      </c>
      <c r="F42" s="17">
        <f>_xlfn.STDEV.S(F3:F40)</f>
        <v>5.2670233149193127E-2</v>
      </c>
      <c r="G42" s="17">
        <f>_xlfn.STDEV.S(G3:G40)</f>
        <v>2.0668318734340451E-2</v>
      </c>
    </row>
    <row r="43" spans="1:8" x14ac:dyDescent="0.3">
      <c r="A43" s="15">
        <v>478</v>
      </c>
      <c r="B43" s="15">
        <v>41</v>
      </c>
      <c r="C43">
        <v>248</v>
      </c>
      <c r="E43" s="15">
        <v>530</v>
      </c>
    </row>
    <row r="44" spans="1:8" x14ac:dyDescent="0.3">
      <c r="A44" s="15">
        <v>524</v>
      </c>
      <c r="B44" s="15">
        <v>42</v>
      </c>
      <c r="C44">
        <v>249</v>
      </c>
      <c r="E44" s="15">
        <v>478</v>
      </c>
    </row>
    <row r="45" spans="1:8" x14ac:dyDescent="0.3">
      <c r="A45" s="15">
        <v>480</v>
      </c>
      <c r="B45" s="15">
        <v>43</v>
      </c>
      <c r="C45">
        <v>250</v>
      </c>
      <c r="E45" s="15">
        <v>524</v>
      </c>
    </row>
    <row r="46" spans="1:8" x14ac:dyDescent="0.3">
      <c r="A46" s="15">
        <v>493</v>
      </c>
      <c r="B46" s="15">
        <v>44</v>
      </c>
      <c r="C46">
        <v>251</v>
      </c>
      <c r="E46" s="15">
        <v>480</v>
      </c>
    </row>
    <row r="47" spans="1:8" x14ac:dyDescent="0.3">
      <c r="A47" s="15">
        <v>526</v>
      </c>
      <c r="B47" s="15">
        <v>45</v>
      </c>
      <c r="C47">
        <v>252</v>
      </c>
      <c r="E47" s="15">
        <v>493</v>
      </c>
    </row>
    <row r="48" spans="1:8" x14ac:dyDescent="0.3">
      <c r="A48" s="15">
        <v>519</v>
      </c>
      <c r="B48" s="15">
        <v>46</v>
      </c>
      <c r="C48">
        <v>253</v>
      </c>
      <c r="E48" s="15">
        <v>526</v>
      </c>
    </row>
    <row r="49" spans="1:5" x14ac:dyDescent="0.3">
      <c r="A49" s="15">
        <v>544</v>
      </c>
      <c r="B49" s="15">
        <v>47</v>
      </c>
      <c r="C49">
        <v>254</v>
      </c>
      <c r="E49" s="15">
        <v>519</v>
      </c>
    </row>
    <row r="50" spans="1:5" x14ac:dyDescent="0.3">
      <c r="A50" s="15">
        <v>477</v>
      </c>
      <c r="B50" s="15">
        <v>48</v>
      </c>
      <c r="C50">
        <v>255</v>
      </c>
      <c r="E50" s="15">
        <v>544</v>
      </c>
    </row>
    <row r="51" spans="1:5" x14ac:dyDescent="0.3">
      <c r="A51" s="15">
        <v>478</v>
      </c>
      <c r="B51" s="15">
        <v>49</v>
      </c>
      <c r="C51">
        <v>256</v>
      </c>
      <c r="E51" s="15">
        <v>477</v>
      </c>
    </row>
    <row r="52" spans="1:5" x14ac:dyDescent="0.3">
      <c r="A52" s="15">
        <v>516</v>
      </c>
      <c r="B52" s="15">
        <v>50</v>
      </c>
      <c r="C52">
        <v>257</v>
      </c>
      <c r="E52" s="15">
        <v>478</v>
      </c>
    </row>
    <row r="53" spans="1:5" x14ac:dyDescent="0.3">
      <c r="A53" s="15">
        <v>433</v>
      </c>
      <c r="B53" s="15">
        <v>51</v>
      </c>
      <c r="C53">
        <v>258</v>
      </c>
      <c r="E53" s="15">
        <v>516</v>
      </c>
    </row>
    <row r="54" spans="1:5" x14ac:dyDescent="0.3">
      <c r="A54" s="15">
        <v>498</v>
      </c>
      <c r="B54" s="15">
        <v>52</v>
      </c>
      <c r="C54">
        <v>259</v>
      </c>
      <c r="E54" s="15">
        <v>433</v>
      </c>
    </row>
    <row r="55" spans="1:5" x14ac:dyDescent="0.3">
      <c r="A55" s="15">
        <v>420</v>
      </c>
      <c r="B55" s="15">
        <v>53</v>
      </c>
      <c r="C55">
        <v>260</v>
      </c>
      <c r="E55" s="15">
        <v>498</v>
      </c>
    </row>
    <row r="56" spans="1:5" x14ac:dyDescent="0.3">
      <c r="A56" s="15">
        <v>528</v>
      </c>
      <c r="B56" s="15">
        <v>54</v>
      </c>
      <c r="C56">
        <v>261</v>
      </c>
      <c r="E56" s="15">
        <v>420</v>
      </c>
    </row>
    <row r="57" spans="1:5" x14ac:dyDescent="0.3">
      <c r="A57" s="15">
        <v>525</v>
      </c>
      <c r="B57" s="15">
        <v>55</v>
      </c>
      <c r="C57">
        <v>262</v>
      </c>
      <c r="E57" s="15">
        <v>528</v>
      </c>
    </row>
    <row r="58" spans="1:5" x14ac:dyDescent="0.3">
      <c r="A58" s="15">
        <v>458</v>
      </c>
      <c r="B58" s="15">
        <v>56</v>
      </c>
      <c r="C58">
        <v>263</v>
      </c>
      <c r="E58" s="15">
        <v>525</v>
      </c>
    </row>
    <row r="59" spans="1:5" x14ac:dyDescent="0.3">
      <c r="A59" s="15">
        <v>510</v>
      </c>
      <c r="B59" s="15">
        <v>57</v>
      </c>
      <c r="C59">
        <v>264</v>
      </c>
      <c r="E59" s="15">
        <v>458</v>
      </c>
    </row>
    <row r="60" spans="1:5" x14ac:dyDescent="0.3">
      <c r="A60" s="15">
        <v>500</v>
      </c>
      <c r="B60" s="15">
        <v>58</v>
      </c>
      <c r="C60">
        <v>265</v>
      </c>
      <c r="E60" s="15">
        <v>510</v>
      </c>
    </row>
    <row r="61" spans="1:5" x14ac:dyDescent="0.3">
      <c r="A61" s="15">
        <v>527</v>
      </c>
      <c r="B61" s="15">
        <v>59</v>
      </c>
      <c r="C61">
        <v>266</v>
      </c>
      <c r="E61" s="15">
        <v>500</v>
      </c>
    </row>
    <row r="62" spans="1:5" x14ac:dyDescent="0.3">
      <c r="A62" s="15">
        <v>559</v>
      </c>
      <c r="B62" s="15">
        <v>60</v>
      </c>
      <c r="C62">
        <v>267</v>
      </c>
      <c r="E62" s="15">
        <v>527</v>
      </c>
    </row>
    <row r="63" spans="1:5" x14ac:dyDescent="0.3">
      <c r="A63" s="15">
        <v>467</v>
      </c>
      <c r="B63" s="15">
        <v>61</v>
      </c>
      <c r="C63">
        <v>268</v>
      </c>
      <c r="E63" s="15">
        <v>559</v>
      </c>
    </row>
    <row r="64" spans="1:5" x14ac:dyDescent="0.3">
      <c r="A64" s="15">
        <v>546</v>
      </c>
      <c r="B64" s="15">
        <v>62</v>
      </c>
      <c r="C64">
        <v>269</v>
      </c>
      <c r="E64" s="15">
        <v>467</v>
      </c>
    </row>
    <row r="65" spans="1:5" x14ac:dyDescent="0.3">
      <c r="A65" s="15">
        <v>498</v>
      </c>
      <c r="B65" s="15">
        <v>63</v>
      </c>
      <c r="C65">
        <v>270</v>
      </c>
      <c r="E65" s="15">
        <v>546</v>
      </c>
    </row>
    <row r="66" spans="1:5" x14ac:dyDescent="0.3">
      <c r="A66" s="15">
        <v>479</v>
      </c>
      <c r="B66" s="15">
        <v>64</v>
      </c>
      <c r="C66">
        <v>271</v>
      </c>
      <c r="E66" s="15">
        <v>498</v>
      </c>
    </row>
    <row r="67" spans="1:5" x14ac:dyDescent="0.3">
      <c r="A67" s="15">
        <v>513</v>
      </c>
      <c r="B67" s="15">
        <v>65</v>
      </c>
      <c r="C67">
        <v>272</v>
      </c>
      <c r="E67" s="15">
        <v>479</v>
      </c>
    </row>
    <row r="68" spans="1:5" x14ac:dyDescent="0.3">
      <c r="A68" s="15">
        <v>528</v>
      </c>
      <c r="B68" s="15">
        <v>66</v>
      </c>
      <c r="C68">
        <v>273</v>
      </c>
      <c r="E68" s="15">
        <v>513</v>
      </c>
    </row>
    <row r="69" spans="1:5" x14ac:dyDescent="0.3">
      <c r="A69" s="15">
        <v>530</v>
      </c>
      <c r="B69" s="15">
        <v>67</v>
      </c>
      <c r="C69">
        <v>274</v>
      </c>
      <c r="E69" s="15">
        <v>528</v>
      </c>
    </row>
    <row r="70" spans="1:5" x14ac:dyDescent="0.3">
      <c r="A70" s="15">
        <v>550</v>
      </c>
      <c r="B70" s="15">
        <v>68</v>
      </c>
      <c r="C70">
        <v>275</v>
      </c>
      <c r="E70" s="15">
        <v>530</v>
      </c>
    </row>
    <row r="71" spans="1:5" x14ac:dyDescent="0.3">
      <c r="A71" s="15">
        <v>537</v>
      </c>
      <c r="B71" s="15">
        <v>69</v>
      </c>
      <c r="C71">
        <v>276</v>
      </c>
      <c r="E71" s="15">
        <v>550</v>
      </c>
    </row>
    <row r="72" spans="1:5" x14ac:dyDescent="0.3">
      <c r="A72" s="15">
        <v>506</v>
      </c>
      <c r="B72" s="15">
        <v>70</v>
      </c>
      <c r="C72">
        <v>277</v>
      </c>
      <c r="E72" s="15">
        <v>537</v>
      </c>
    </row>
    <row r="73" spans="1:5" x14ac:dyDescent="0.3">
      <c r="A73" s="15">
        <v>474</v>
      </c>
      <c r="B73" s="15">
        <v>71</v>
      </c>
      <c r="C73">
        <v>278</v>
      </c>
      <c r="E73" s="15">
        <v>506</v>
      </c>
    </row>
    <row r="74" spans="1:5" x14ac:dyDescent="0.3">
      <c r="A74" s="15">
        <v>486</v>
      </c>
      <c r="B74" s="15">
        <v>72</v>
      </c>
      <c r="C74">
        <v>279</v>
      </c>
      <c r="E74" s="15">
        <v>474</v>
      </c>
    </row>
    <row r="75" spans="1:5" x14ac:dyDescent="0.3">
      <c r="A75" s="15">
        <v>535</v>
      </c>
      <c r="B75" s="15">
        <v>73</v>
      </c>
      <c r="C75">
        <v>280</v>
      </c>
      <c r="E75" s="15">
        <v>486</v>
      </c>
    </row>
    <row r="76" spans="1:5" x14ac:dyDescent="0.3">
      <c r="A76" s="15">
        <v>473</v>
      </c>
      <c r="B76" s="15">
        <v>74</v>
      </c>
      <c r="C76">
        <v>281</v>
      </c>
      <c r="E76" s="15">
        <v>535</v>
      </c>
    </row>
    <row r="77" spans="1:5" x14ac:dyDescent="0.3">
      <c r="A77" s="15">
        <v>456</v>
      </c>
      <c r="B77" s="15">
        <v>75</v>
      </c>
      <c r="C77">
        <v>282</v>
      </c>
      <c r="E77" s="15">
        <v>473</v>
      </c>
    </row>
    <row r="78" spans="1:5" x14ac:dyDescent="0.3">
      <c r="A78" s="15">
        <v>470</v>
      </c>
      <c r="B78" s="15">
        <v>76</v>
      </c>
      <c r="C78">
        <v>283</v>
      </c>
      <c r="E78" s="15">
        <v>456</v>
      </c>
    </row>
    <row r="79" spans="1:5" x14ac:dyDescent="0.3">
      <c r="A79" s="15">
        <v>534</v>
      </c>
      <c r="B79" s="15">
        <v>77</v>
      </c>
      <c r="C79">
        <v>284</v>
      </c>
      <c r="E79" s="15">
        <v>470</v>
      </c>
    </row>
    <row r="80" spans="1:5" x14ac:dyDescent="0.3">
      <c r="A80" s="15">
        <v>474</v>
      </c>
      <c r="B80" s="15">
        <v>78</v>
      </c>
      <c r="C80">
        <v>285</v>
      </c>
      <c r="E80" s="15">
        <v>534</v>
      </c>
    </row>
    <row r="81" spans="1:5" x14ac:dyDescent="0.3">
      <c r="A81" s="15">
        <v>467</v>
      </c>
      <c r="B81" s="15">
        <v>79</v>
      </c>
      <c r="C81">
        <v>286</v>
      </c>
      <c r="E81" s="15">
        <v>474</v>
      </c>
    </row>
    <row r="82" spans="1:5" x14ac:dyDescent="0.3">
      <c r="A82" s="15">
        <v>540</v>
      </c>
      <c r="B82" s="15">
        <v>80</v>
      </c>
      <c r="C82">
        <v>287</v>
      </c>
      <c r="E82" s="15">
        <v>467</v>
      </c>
    </row>
    <row r="83" spans="1:5" x14ac:dyDescent="0.3">
      <c r="A83" s="15">
        <v>467</v>
      </c>
      <c r="B83" s="15">
        <v>81</v>
      </c>
      <c r="C83">
        <v>288</v>
      </c>
      <c r="E83" s="15">
        <v>540</v>
      </c>
    </row>
    <row r="84" spans="1:5" x14ac:dyDescent="0.3">
      <c r="A84" s="15">
        <v>512</v>
      </c>
      <c r="B84" s="15">
        <v>82</v>
      </c>
      <c r="C84">
        <v>289</v>
      </c>
      <c r="E84" s="15">
        <v>467</v>
      </c>
    </row>
    <row r="85" spans="1:5" x14ac:dyDescent="0.3">
      <c r="A85" s="15">
        <v>522</v>
      </c>
      <c r="B85" s="15">
        <v>83</v>
      </c>
      <c r="C85">
        <v>290</v>
      </c>
      <c r="E85" s="15">
        <v>512</v>
      </c>
    </row>
    <row r="86" spans="1:5" x14ac:dyDescent="0.3">
      <c r="A86" s="15">
        <v>437</v>
      </c>
      <c r="B86" s="15">
        <v>84</v>
      </c>
      <c r="C86">
        <v>291</v>
      </c>
      <c r="E86" s="15">
        <v>522</v>
      </c>
    </row>
    <row r="87" spans="1:5" x14ac:dyDescent="0.3">
      <c r="A87" s="15">
        <v>446</v>
      </c>
      <c r="B87" s="15">
        <v>85</v>
      </c>
      <c r="C87">
        <v>292</v>
      </c>
      <c r="E87" s="15">
        <v>437</v>
      </c>
    </row>
    <row r="88" spans="1:5" x14ac:dyDescent="0.3">
      <c r="A88" s="15">
        <v>437</v>
      </c>
      <c r="B88" s="15">
        <v>86</v>
      </c>
      <c r="C88">
        <v>293</v>
      </c>
      <c r="E88" s="15">
        <v>446</v>
      </c>
    </row>
    <row r="89" spans="1:5" x14ac:dyDescent="0.3">
      <c r="A89" s="15">
        <v>531</v>
      </c>
      <c r="B89" s="15">
        <v>87</v>
      </c>
      <c r="C89">
        <v>294</v>
      </c>
      <c r="E89" s="15">
        <v>437</v>
      </c>
    </row>
    <row r="90" spans="1:5" x14ac:dyDescent="0.3">
      <c r="A90" s="15">
        <v>549</v>
      </c>
      <c r="B90" s="15">
        <v>88</v>
      </c>
      <c r="C90">
        <v>295</v>
      </c>
      <c r="E90" s="15">
        <v>531</v>
      </c>
    </row>
    <row r="91" spans="1:5" x14ac:dyDescent="0.3">
      <c r="A91" s="15">
        <v>525</v>
      </c>
      <c r="B91" s="15">
        <v>89</v>
      </c>
      <c r="C91">
        <v>296</v>
      </c>
      <c r="E91" s="15">
        <v>549</v>
      </c>
    </row>
    <row r="92" spans="1:5" x14ac:dyDescent="0.3">
      <c r="A92" s="15">
        <v>428</v>
      </c>
      <c r="B92" s="15">
        <v>90</v>
      </c>
      <c r="C92">
        <v>297</v>
      </c>
      <c r="E92" s="15">
        <v>525</v>
      </c>
    </row>
    <row r="93" spans="1:5" x14ac:dyDescent="0.3">
      <c r="A93" s="15">
        <v>486</v>
      </c>
      <c r="B93" s="15">
        <v>91</v>
      </c>
      <c r="C93">
        <v>298</v>
      </c>
      <c r="E93" s="15">
        <v>428</v>
      </c>
    </row>
    <row r="94" spans="1:5" x14ac:dyDescent="0.3">
      <c r="A94" s="15">
        <v>526</v>
      </c>
      <c r="B94" s="15">
        <v>92</v>
      </c>
      <c r="C94">
        <v>299</v>
      </c>
      <c r="E94" s="15">
        <v>486</v>
      </c>
    </row>
    <row r="95" spans="1:5" x14ac:dyDescent="0.3">
      <c r="A95" s="15">
        <v>512</v>
      </c>
      <c r="B95" s="15">
        <v>93</v>
      </c>
      <c r="C95">
        <v>300</v>
      </c>
      <c r="E95" s="15">
        <v>526</v>
      </c>
    </row>
    <row r="96" spans="1:5" x14ac:dyDescent="0.3">
      <c r="A96" s="15">
        <v>527</v>
      </c>
      <c r="B96" s="15">
        <v>94</v>
      </c>
      <c r="C96">
        <v>301</v>
      </c>
      <c r="E96" s="15">
        <v>512</v>
      </c>
    </row>
    <row r="97" spans="1:5" x14ac:dyDescent="0.3">
      <c r="A97" s="15">
        <v>545</v>
      </c>
      <c r="B97" s="15">
        <v>95</v>
      </c>
      <c r="C97">
        <v>302</v>
      </c>
      <c r="E97" s="15">
        <v>527</v>
      </c>
    </row>
    <row r="98" spans="1:5" x14ac:dyDescent="0.3">
      <c r="A98" s="15">
        <v>410</v>
      </c>
      <c r="B98" s="15">
        <v>96</v>
      </c>
      <c r="C98">
        <v>303</v>
      </c>
      <c r="E98" s="15">
        <v>545</v>
      </c>
    </row>
    <row r="99" spans="1:5" x14ac:dyDescent="0.3">
      <c r="A99" s="15">
        <v>506</v>
      </c>
      <c r="B99" s="15">
        <v>97</v>
      </c>
      <c r="C99">
        <v>304</v>
      </c>
      <c r="E99" s="15">
        <v>410</v>
      </c>
    </row>
    <row r="100" spans="1:5" x14ac:dyDescent="0.3">
      <c r="A100" s="15">
        <v>472</v>
      </c>
      <c r="B100" s="15">
        <v>98</v>
      </c>
      <c r="C100">
        <v>305</v>
      </c>
      <c r="E100" s="15">
        <v>506</v>
      </c>
    </row>
    <row r="101" spans="1:5" x14ac:dyDescent="0.3">
      <c r="A101" s="15">
        <v>455</v>
      </c>
      <c r="B101" s="15">
        <v>99</v>
      </c>
      <c r="C101">
        <v>306</v>
      </c>
      <c r="E101" s="15">
        <v>472</v>
      </c>
    </row>
    <row r="102" spans="1:5" x14ac:dyDescent="0.3">
      <c r="A102" s="15">
        <v>538</v>
      </c>
      <c r="B102" s="15">
        <v>100</v>
      </c>
      <c r="C102">
        <v>307</v>
      </c>
      <c r="E102" s="15">
        <v>455</v>
      </c>
    </row>
    <row r="103" spans="1:5" x14ac:dyDescent="0.3">
      <c r="A103" s="15">
        <v>522</v>
      </c>
      <c r="B103" s="15">
        <v>101</v>
      </c>
      <c r="C103">
        <v>308</v>
      </c>
      <c r="E103" s="15">
        <v>538</v>
      </c>
    </row>
    <row r="104" spans="1:5" x14ac:dyDescent="0.3">
      <c r="A104" s="15">
        <v>506</v>
      </c>
      <c r="B104" s="15">
        <v>102</v>
      </c>
      <c r="C104">
        <v>309</v>
      </c>
      <c r="E104" s="15">
        <v>522</v>
      </c>
    </row>
    <row r="105" spans="1:5" x14ac:dyDescent="0.3">
      <c r="A105" s="15">
        <v>474</v>
      </c>
      <c r="B105" s="15">
        <v>103</v>
      </c>
      <c r="C105">
        <v>310</v>
      </c>
      <c r="E105" s="15">
        <v>506</v>
      </c>
    </row>
    <row r="106" spans="1:5" x14ac:dyDescent="0.3">
      <c r="A106" s="15">
        <v>558</v>
      </c>
      <c r="B106" s="15">
        <v>104</v>
      </c>
      <c r="C106">
        <v>311</v>
      </c>
      <c r="E106" s="15">
        <v>474</v>
      </c>
    </row>
    <row r="107" spans="1:5" x14ac:dyDescent="0.3">
      <c r="A107" s="15">
        <v>482</v>
      </c>
      <c r="B107" s="15">
        <v>105</v>
      </c>
      <c r="C107">
        <v>312</v>
      </c>
      <c r="E107" s="15">
        <v>558</v>
      </c>
    </row>
    <row r="108" spans="1:5" x14ac:dyDescent="0.3">
      <c r="A108" s="15">
        <v>513</v>
      </c>
      <c r="B108" s="15">
        <v>106</v>
      </c>
      <c r="C108">
        <v>313</v>
      </c>
      <c r="E108" s="15">
        <v>482</v>
      </c>
    </row>
    <row r="109" spans="1:5" x14ac:dyDescent="0.3">
      <c r="A109" s="15">
        <v>482</v>
      </c>
      <c r="B109" s="15">
        <v>107</v>
      </c>
      <c r="C109">
        <v>314</v>
      </c>
      <c r="E109" s="15">
        <v>513</v>
      </c>
    </row>
    <row r="110" spans="1:5" x14ac:dyDescent="0.3">
      <c r="A110" s="15">
        <v>411</v>
      </c>
      <c r="B110" s="15">
        <v>108</v>
      </c>
      <c r="C110">
        <v>315</v>
      </c>
      <c r="E110" s="15">
        <v>482</v>
      </c>
    </row>
    <row r="111" spans="1:5" x14ac:dyDescent="0.3">
      <c r="A111" s="15">
        <v>480</v>
      </c>
      <c r="B111" s="15">
        <v>109</v>
      </c>
      <c r="C111">
        <v>316</v>
      </c>
      <c r="E111" s="15">
        <v>411</v>
      </c>
    </row>
    <row r="112" spans="1:5" x14ac:dyDescent="0.3">
      <c r="A112" s="15">
        <v>442</v>
      </c>
      <c r="B112" s="15">
        <v>110</v>
      </c>
      <c r="C112">
        <v>317</v>
      </c>
      <c r="E112" s="15">
        <v>480</v>
      </c>
    </row>
    <row r="113" spans="1:5" x14ac:dyDescent="0.3">
      <c r="A113" s="15">
        <v>465</v>
      </c>
      <c r="B113" s="15">
        <v>111</v>
      </c>
      <c r="C113">
        <v>318</v>
      </c>
      <c r="E113" s="15">
        <v>442</v>
      </c>
    </row>
    <row r="114" spans="1:5" x14ac:dyDescent="0.3">
      <c r="A114" s="15">
        <v>524</v>
      </c>
      <c r="B114" s="15">
        <v>112</v>
      </c>
      <c r="C114">
        <v>319</v>
      </c>
      <c r="E114" s="15">
        <v>465</v>
      </c>
    </row>
    <row r="115" spans="1:5" x14ac:dyDescent="0.3">
      <c r="A115" s="15">
        <v>503</v>
      </c>
      <c r="B115" s="15">
        <v>113</v>
      </c>
      <c r="C115">
        <v>320</v>
      </c>
      <c r="E115" s="15">
        <v>524</v>
      </c>
    </row>
    <row r="116" spans="1:5" x14ac:dyDescent="0.3">
      <c r="A116" s="15">
        <v>504</v>
      </c>
      <c r="B116" s="15">
        <v>114</v>
      </c>
      <c r="C116">
        <v>321</v>
      </c>
      <c r="E116" s="15">
        <v>503</v>
      </c>
    </row>
    <row r="117" spans="1:5" ht="28.8" x14ac:dyDescent="0.3">
      <c r="A117" s="15" t="s">
        <v>3</v>
      </c>
      <c r="B117" s="15" t="s">
        <v>4</v>
      </c>
      <c r="E117" s="15">
        <v>504</v>
      </c>
    </row>
    <row r="118" spans="1:5" ht="28.8" x14ac:dyDescent="0.3">
      <c r="E118" s="15" t="s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51F10-AED0-453C-9B9A-7CD2032C4B04}">
  <dimension ref="A1:AD118"/>
  <sheetViews>
    <sheetView topLeftCell="C1" workbookViewId="0">
      <pane ySplit="1" topLeftCell="A2" activePane="bottomLeft" state="frozen"/>
      <selection pane="bottomLeft" activeCell="AD1" sqref="AD1"/>
    </sheetView>
  </sheetViews>
  <sheetFormatPr defaultRowHeight="14.4" x14ac:dyDescent="0.3"/>
  <cols>
    <col min="2" max="2" width="10.5546875" customWidth="1"/>
    <col min="3" max="3" width="11.88671875" bestFit="1" customWidth="1"/>
    <col min="4" max="4" width="10.5546875" customWidth="1"/>
    <col min="5" max="5" width="11.6640625" customWidth="1"/>
    <col min="6" max="7" width="11.6640625" hidden="1" customWidth="1"/>
    <col min="8" max="8" width="10" bestFit="1" customWidth="1"/>
    <col min="9" max="9" width="0" hidden="1" customWidth="1"/>
    <col min="13" max="14" width="9.109375" hidden="1" customWidth="1"/>
    <col min="15" max="15" width="3.6640625" hidden="1" customWidth="1"/>
    <col min="17" max="17" width="15.88671875" hidden="1" customWidth="1"/>
    <col min="18" max="19" width="0" hidden="1" customWidth="1"/>
    <col min="20" max="20" width="11.109375" bestFit="1" customWidth="1"/>
    <col min="21" max="21" width="0" hidden="1" customWidth="1"/>
    <col min="22" max="22" width="13.6640625" hidden="1" customWidth="1"/>
    <col min="23" max="23" width="13.6640625" customWidth="1"/>
    <col min="24" max="24" width="12.109375" bestFit="1" customWidth="1"/>
    <col min="25" max="25" width="22.5546875" bestFit="1" customWidth="1"/>
    <col min="26" max="26" width="15.88671875" bestFit="1" customWidth="1"/>
    <col min="27" max="27" width="13.6640625" bestFit="1" customWidth="1"/>
    <col min="28" max="28" width="13.44140625" bestFit="1" customWidth="1"/>
    <col min="29" max="29" width="12.44140625" bestFit="1" customWidth="1"/>
    <col min="30" max="30" width="9.5546875" bestFit="1" customWidth="1"/>
  </cols>
  <sheetData>
    <row r="1" spans="1:30" x14ac:dyDescent="0.3">
      <c r="A1" s="27" t="s">
        <v>134</v>
      </c>
      <c r="B1" s="27" t="s">
        <v>138</v>
      </c>
      <c r="C1" s="62" t="s">
        <v>165</v>
      </c>
      <c r="D1" s="51" t="s">
        <v>139</v>
      </c>
      <c r="E1" s="52" t="s">
        <v>1</v>
      </c>
      <c r="F1" s="53" t="s">
        <v>140</v>
      </c>
      <c r="G1" s="54" t="s">
        <v>157</v>
      </c>
      <c r="H1" s="27" t="s">
        <v>5</v>
      </c>
      <c r="I1" s="27" t="s">
        <v>6</v>
      </c>
      <c r="J1" s="27" t="s">
        <v>7</v>
      </c>
      <c r="K1" s="27" t="s">
        <v>8</v>
      </c>
      <c r="L1" s="27" t="s">
        <v>9</v>
      </c>
      <c r="M1" s="27" t="s">
        <v>10</v>
      </c>
      <c r="N1" s="27" t="s">
        <v>11</v>
      </c>
      <c r="O1" s="27" t="s">
        <v>12</v>
      </c>
      <c r="P1" s="27" t="s">
        <v>13</v>
      </c>
      <c r="Q1" s="27" t="s">
        <v>14</v>
      </c>
      <c r="R1" s="27" t="s">
        <v>15</v>
      </c>
      <c r="S1" s="27" t="s">
        <v>16</v>
      </c>
      <c r="T1" s="27" t="s">
        <v>156</v>
      </c>
      <c r="U1" s="27" t="s">
        <v>17</v>
      </c>
      <c r="V1" s="27" t="s">
        <v>18</v>
      </c>
      <c r="W1" s="27" t="s">
        <v>141</v>
      </c>
      <c r="X1" s="27" t="s">
        <v>142</v>
      </c>
      <c r="Y1" s="27" t="s">
        <v>143</v>
      </c>
      <c r="Z1" s="27" t="s">
        <v>162</v>
      </c>
      <c r="AA1" s="27" t="s">
        <v>135</v>
      </c>
      <c r="AB1" s="27" t="s">
        <v>136</v>
      </c>
      <c r="AC1" s="27" t="s">
        <v>137</v>
      </c>
      <c r="AD1" s="27" t="s">
        <v>164</v>
      </c>
    </row>
    <row r="2" spans="1:30" x14ac:dyDescent="0.3">
      <c r="A2">
        <v>24</v>
      </c>
      <c r="B2" s="13">
        <v>49260</v>
      </c>
      <c r="C2" s="61">
        <v>8</v>
      </c>
      <c r="D2" s="55">
        <v>1</v>
      </c>
      <c r="E2" s="24">
        <v>494</v>
      </c>
      <c r="F2" s="25">
        <v>457</v>
      </c>
      <c r="G2" s="25">
        <f t="shared" ref="G2:G33" si="0">E2-F2</f>
        <v>37</v>
      </c>
      <c r="H2">
        <v>110911231</v>
      </c>
      <c r="I2">
        <v>1109106</v>
      </c>
      <c r="J2">
        <v>282.60000000000002</v>
      </c>
      <c r="K2">
        <v>283.39999999999998</v>
      </c>
      <c r="L2">
        <v>3</v>
      </c>
      <c r="M2">
        <v>298.39999999999998</v>
      </c>
      <c r="N2" t="s">
        <v>39</v>
      </c>
      <c r="O2">
        <v>2</v>
      </c>
      <c r="P2" t="s">
        <v>19</v>
      </c>
      <c r="Q2" s="20">
        <v>44256.398923611108</v>
      </c>
      <c r="R2">
        <v>10</v>
      </c>
      <c r="S2">
        <v>298.39999999999998</v>
      </c>
      <c r="T2">
        <f t="shared" ref="T2:T33" si="1">S2-10</f>
        <v>288.39999999999998</v>
      </c>
      <c r="U2">
        <v>51.65</v>
      </c>
      <c r="V2" s="21">
        <v>44256</v>
      </c>
      <c r="W2" s="17">
        <f t="shared" ref="W2:W33" si="2">K2/E2</f>
        <v>0.5736842105263158</v>
      </c>
      <c r="X2">
        <v>13.75</v>
      </c>
      <c r="Y2">
        <f>47*15*14</f>
        <v>9870</v>
      </c>
      <c r="Z2" s="26">
        <f t="shared" ref="Z2:Z33" si="3">(Y2/1.087)</f>
        <v>9080.0367985280591</v>
      </c>
      <c r="AA2">
        <v>6.2</v>
      </c>
      <c r="AB2">
        <v>123</v>
      </c>
      <c r="AC2" s="26">
        <f t="shared" ref="AC2:AC33" si="4">K2/AB2</f>
        <v>2.3040650406504062</v>
      </c>
      <c r="AD2" s="60">
        <f t="shared" ref="AD2:AD33" si="5">AA2/K2</f>
        <v>2.1877205363443897E-2</v>
      </c>
    </row>
    <row r="3" spans="1:30" x14ac:dyDescent="0.3">
      <c r="A3">
        <v>20</v>
      </c>
      <c r="B3" s="13">
        <v>67148</v>
      </c>
      <c r="C3" s="61">
        <v>1</v>
      </c>
      <c r="D3" s="64">
        <v>1</v>
      </c>
      <c r="E3" s="65">
        <v>523</v>
      </c>
      <c r="F3" s="25">
        <v>490.5</v>
      </c>
      <c r="G3" s="25">
        <f t="shared" si="0"/>
        <v>32.5</v>
      </c>
      <c r="H3">
        <v>110911227</v>
      </c>
      <c r="I3">
        <v>1109106</v>
      </c>
      <c r="J3">
        <v>304.2</v>
      </c>
      <c r="K3">
        <v>306</v>
      </c>
      <c r="L3">
        <v>3</v>
      </c>
      <c r="M3">
        <v>320.39999999999998</v>
      </c>
      <c r="N3" t="s">
        <v>35</v>
      </c>
      <c r="O3">
        <v>3</v>
      </c>
      <c r="P3" t="s">
        <v>21</v>
      </c>
      <c r="Q3" s="20">
        <v>44256.394641203704</v>
      </c>
      <c r="R3">
        <v>10</v>
      </c>
      <c r="S3">
        <v>320.39999999999998</v>
      </c>
      <c r="T3">
        <f t="shared" si="1"/>
        <v>310.39999999999998</v>
      </c>
      <c r="U3">
        <v>51.65</v>
      </c>
      <c r="V3" s="21">
        <v>44256</v>
      </c>
      <c r="W3" s="17">
        <f t="shared" si="2"/>
        <v>0.58508604206500958</v>
      </c>
      <c r="X3">
        <v>18.149999999999999</v>
      </c>
      <c r="Y3">
        <f>49*17*15</f>
        <v>12495</v>
      </c>
      <c r="Z3" s="26">
        <f t="shared" si="3"/>
        <v>11494.940202391905</v>
      </c>
      <c r="AA3">
        <v>6.6</v>
      </c>
      <c r="AB3">
        <v>126</v>
      </c>
      <c r="AC3" s="26">
        <f t="shared" si="4"/>
        <v>2.4285714285714284</v>
      </c>
      <c r="AD3" s="60">
        <f t="shared" si="5"/>
        <v>2.1568627450980392E-2</v>
      </c>
    </row>
    <row r="4" spans="1:30" x14ac:dyDescent="0.3">
      <c r="A4">
        <v>31</v>
      </c>
      <c r="B4" s="13">
        <v>72571</v>
      </c>
      <c r="C4" s="63">
        <v>17</v>
      </c>
      <c r="D4" s="68">
        <v>1</v>
      </c>
      <c r="E4" s="25">
        <v>511</v>
      </c>
      <c r="F4" s="25">
        <v>474.5</v>
      </c>
      <c r="G4" s="25">
        <f t="shared" si="0"/>
        <v>36.5</v>
      </c>
      <c r="H4">
        <v>110911238</v>
      </c>
      <c r="I4">
        <v>1109106</v>
      </c>
      <c r="J4">
        <v>292.60000000000002</v>
      </c>
      <c r="K4">
        <v>294.39999999999998</v>
      </c>
      <c r="L4">
        <v>3</v>
      </c>
      <c r="M4">
        <v>308.60000000000002</v>
      </c>
      <c r="N4" t="s">
        <v>46</v>
      </c>
      <c r="O4">
        <v>3</v>
      </c>
      <c r="P4" t="s">
        <v>21</v>
      </c>
      <c r="Q4" s="20">
        <v>44256.404641203706</v>
      </c>
      <c r="R4">
        <v>10</v>
      </c>
      <c r="S4">
        <v>308.60000000000002</v>
      </c>
      <c r="T4">
        <f t="shared" si="1"/>
        <v>298.60000000000002</v>
      </c>
      <c r="U4">
        <v>51.65</v>
      </c>
      <c r="V4" s="21">
        <v>44256</v>
      </c>
      <c r="W4" s="17">
        <f t="shared" si="2"/>
        <v>0.5761252446183952</v>
      </c>
      <c r="X4">
        <v>19.510000000000002</v>
      </c>
      <c r="Y4">
        <f>47*18*17</f>
        <v>14382</v>
      </c>
      <c r="Z4" s="26">
        <f t="shared" si="3"/>
        <v>13230.910763569458</v>
      </c>
      <c r="AA4">
        <v>6.4</v>
      </c>
      <c r="AB4">
        <v>120</v>
      </c>
      <c r="AC4" s="26">
        <f t="shared" si="4"/>
        <v>2.4533333333333331</v>
      </c>
      <c r="AD4" s="60">
        <f t="shared" si="5"/>
        <v>2.1739130434782612E-2</v>
      </c>
    </row>
    <row r="5" spans="1:30" x14ac:dyDescent="0.3">
      <c r="A5">
        <v>22</v>
      </c>
      <c r="B5" s="13">
        <v>73218</v>
      </c>
      <c r="C5" s="61">
        <v>8</v>
      </c>
      <c r="D5" s="67">
        <v>1</v>
      </c>
      <c r="E5" s="66">
        <v>506</v>
      </c>
      <c r="F5" s="25">
        <v>459</v>
      </c>
      <c r="G5" s="25">
        <f t="shared" si="0"/>
        <v>47</v>
      </c>
      <c r="H5">
        <v>110911229</v>
      </c>
      <c r="I5">
        <v>1109106</v>
      </c>
      <c r="J5">
        <v>291.10000000000002</v>
      </c>
      <c r="K5">
        <v>292.39999999999998</v>
      </c>
      <c r="L5">
        <v>3</v>
      </c>
      <c r="M5">
        <v>307</v>
      </c>
      <c r="N5" t="s">
        <v>37</v>
      </c>
      <c r="O5">
        <v>3</v>
      </c>
      <c r="P5" t="s">
        <v>21</v>
      </c>
      <c r="Q5" s="20">
        <v>44256.39607638889</v>
      </c>
      <c r="R5">
        <v>10</v>
      </c>
      <c r="S5">
        <v>307</v>
      </c>
      <c r="T5">
        <f t="shared" si="1"/>
        <v>297</v>
      </c>
      <c r="U5">
        <v>51.65</v>
      </c>
      <c r="V5" s="21">
        <v>44256</v>
      </c>
      <c r="W5" s="17">
        <f t="shared" si="2"/>
        <v>0.57786561264822134</v>
      </c>
      <c r="X5">
        <v>17.64</v>
      </c>
      <c r="Y5">
        <f>47*18*17</f>
        <v>14382</v>
      </c>
      <c r="Z5" s="26">
        <f t="shared" si="3"/>
        <v>13230.910763569458</v>
      </c>
      <c r="AA5">
        <v>5.7</v>
      </c>
      <c r="AB5">
        <v>120</v>
      </c>
      <c r="AC5" s="26">
        <f t="shared" si="4"/>
        <v>2.4366666666666665</v>
      </c>
      <c r="AD5" s="60">
        <f t="shared" si="5"/>
        <v>1.9493844049247609E-2</v>
      </c>
    </row>
    <row r="6" spans="1:30" x14ac:dyDescent="0.3">
      <c r="A6">
        <v>4</v>
      </c>
      <c r="B6" s="13">
        <v>76459</v>
      </c>
      <c r="C6" s="61">
        <v>9</v>
      </c>
      <c r="D6" s="55">
        <v>1</v>
      </c>
      <c r="E6" s="24">
        <v>502</v>
      </c>
      <c r="F6" s="25">
        <v>467.5</v>
      </c>
      <c r="G6" s="25">
        <f t="shared" si="0"/>
        <v>34.5</v>
      </c>
      <c r="H6">
        <v>110911211</v>
      </c>
      <c r="I6">
        <v>1109106</v>
      </c>
      <c r="J6">
        <v>334.8</v>
      </c>
      <c r="K6">
        <v>337</v>
      </c>
      <c r="L6">
        <v>3</v>
      </c>
      <c r="M6">
        <v>351.6</v>
      </c>
      <c r="N6" t="s">
        <v>22</v>
      </c>
      <c r="O6">
        <v>3</v>
      </c>
      <c r="P6" t="s">
        <v>21</v>
      </c>
      <c r="Q6" s="20">
        <v>44256.381655092591</v>
      </c>
      <c r="R6">
        <v>10</v>
      </c>
      <c r="S6">
        <v>351.6</v>
      </c>
      <c r="T6">
        <f t="shared" si="1"/>
        <v>341.6</v>
      </c>
      <c r="U6">
        <v>51.65</v>
      </c>
      <c r="V6" s="21">
        <v>44256</v>
      </c>
      <c r="W6" s="17">
        <f t="shared" si="2"/>
        <v>0.67131474103585653</v>
      </c>
      <c r="X6">
        <v>17.21</v>
      </c>
      <c r="Y6">
        <f>53*23*17</f>
        <v>20723</v>
      </c>
      <c r="Z6" s="26">
        <f t="shared" si="3"/>
        <v>19064.397424103037</v>
      </c>
      <c r="AA6">
        <v>7.7</v>
      </c>
      <c r="AB6">
        <v>118</v>
      </c>
      <c r="AC6" s="26">
        <f t="shared" si="4"/>
        <v>2.8559322033898304</v>
      </c>
      <c r="AD6" s="60">
        <f t="shared" si="5"/>
        <v>2.2848664688427299E-2</v>
      </c>
    </row>
    <row r="7" spans="1:30" x14ac:dyDescent="0.3">
      <c r="A7">
        <v>38</v>
      </c>
      <c r="B7" s="13">
        <v>80888</v>
      </c>
      <c r="C7" s="61">
        <v>17</v>
      </c>
      <c r="D7" s="55">
        <v>1</v>
      </c>
      <c r="E7" s="24">
        <v>461</v>
      </c>
      <c r="F7" s="25">
        <v>439</v>
      </c>
      <c r="G7" s="25">
        <f t="shared" si="0"/>
        <v>22</v>
      </c>
      <c r="H7">
        <v>110911245</v>
      </c>
      <c r="I7">
        <v>1109106</v>
      </c>
      <c r="J7">
        <v>262.39999999999998</v>
      </c>
      <c r="K7">
        <v>262.2</v>
      </c>
      <c r="L7">
        <v>3</v>
      </c>
      <c r="M7">
        <v>277.8</v>
      </c>
      <c r="N7" t="s">
        <v>53</v>
      </c>
      <c r="O7">
        <v>3</v>
      </c>
      <c r="P7" t="s">
        <v>21</v>
      </c>
      <c r="Q7" s="20">
        <v>44256.412268518521</v>
      </c>
      <c r="R7">
        <v>10</v>
      </c>
      <c r="S7">
        <v>277.8</v>
      </c>
      <c r="T7">
        <f t="shared" si="1"/>
        <v>267.8</v>
      </c>
      <c r="U7">
        <v>51.65</v>
      </c>
      <c r="V7" s="21">
        <v>44256</v>
      </c>
      <c r="W7" s="17">
        <f t="shared" si="2"/>
        <v>0.56876355748373097</v>
      </c>
      <c r="X7">
        <v>22.45</v>
      </c>
      <c r="Y7">
        <f>46*17*14</f>
        <v>10948</v>
      </c>
      <c r="Z7" s="26">
        <f t="shared" si="3"/>
        <v>10071.757129714812</v>
      </c>
      <c r="AA7">
        <v>6.3</v>
      </c>
      <c r="AB7">
        <v>119</v>
      </c>
      <c r="AC7" s="26">
        <f t="shared" si="4"/>
        <v>2.2033613445378148</v>
      </c>
      <c r="AD7" s="60">
        <f t="shared" si="5"/>
        <v>2.4027459954233409E-2</v>
      </c>
    </row>
    <row r="8" spans="1:30" x14ac:dyDescent="0.3">
      <c r="A8">
        <v>37</v>
      </c>
      <c r="B8" s="13">
        <v>81170</v>
      </c>
      <c r="C8" s="61">
        <v>17</v>
      </c>
      <c r="D8" s="55">
        <v>1</v>
      </c>
      <c r="E8" s="24">
        <v>507</v>
      </c>
      <c r="F8" s="25">
        <v>474</v>
      </c>
      <c r="G8" s="25">
        <f t="shared" si="0"/>
        <v>33</v>
      </c>
      <c r="H8">
        <v>110911244</v>
      </c>
      <c r="I8">
        <v>1109106</v>
      </c>
      <c r="J8">
        <v>284.8</v>
      </c>
      <c r="K8">
        <v>282.39999999999998</v>
      </c>
      <c r="L8">
        <v>4</v>
      </c>
      <c r="M8">
        <v>300.60000000000002</v>
      </c>
      <c r="N8" t="s">
        <v>52</v>
      </c>
      <c r="O8">
        <v>2</v>
      </c>
      <c r="P8" t="s">
        <v>19</v>
      </c>
      <c r="Q8" s="20">
        <v>44256.411273148151</v>
      </c>
      <c r="R8">
        <v>10</v>
      </c>
      <c r="S8">
        <v>300.60000000000002</v>
      </c>
      <c r="T8">
        <f t="shared" si="1"/>
        <v>290.60000000000002</v>
      </c>
      <c r="U8">
        <v>51.65</v>
      </c>
      <c r="V8" s="21">
        <v>44256</v>
      </c>
      <c r="W8" s="17">
        <f t="shared" si="2"/>
        <v>0.55700197238658777</v>
      </c>
      <c r="X8">
        <v>19.37</v>
      </c>
      <c r="Y8">
        <f>50*16*13</f>
        <v>10400</v>
      </c>
      <c r="Z8" s="26">
        <f t="shared" si="3"/>
        <v>9567.6172953081877</v>
      </c>
      <c r="AA8" s="23">
        <v>5.9</v>
      </c>
      <c r="AB8">
        <v>126</v>
      </c>
      <c r="AC8" s="26">
        <f t="shared" si="4"/>
        <v>2.2412698412698413</v>
      </c>
      <c r="AD8" s="60">
        <f t="shared" si="5"/>
        <v>2.089235127478754E-2</v>
      </c>
    </row>
    <row r="9" spans="1:30" x14ac:dyDescent="0.3">
      <c r="A9">
        <v>7</v>
      </c>
      <c r="B9" s="13">
        <v>82959</v>
      </c>
      <c r="C9" s="61">
        <v>8</v>
      </c>
      <c r="D9" s="55">
        <v>1</v>
      </c>
      <c r="E9" s="24">
        <v>506</v>
      </c>
      <c r="F9" s="25">
        <v>480.5</v>
      </c>
      <c r="G9" s="25">
        <f t="shared" si="0"/>
        <v>25.5</v>
      </c>
      <c r="H9">
        <v>110911214</v>
      </c>
      <c r="I9">
        <v>1109106</v>
      </c>
      <c r="J9">
        <v>292.2</v>
      </c>
      <c r="K9">
        <v>292</v>
      </c>
      <c r="L9">
        <v>3</v>
      </c>
      <c r="M9">
        <v>308.2</v>
      </c>
      <c r="N9" t="s">
        <v>22</v>
      </c>
      <c r="O9">
        <v>2</v>
      </c>
      <c r="P9" t="s">
        <v>19</v>
      </c>
      <c r="Q9" s="20">
        <v>44256.384421296294</v>
      </c>
      <c r="R9">
        <v>10</v>
      </c>
      <c r="S9">
        <v>308.2</v>
      </c>
      <c r="T9">
        <f t="shared" si="1"/>
        <v>298.2</v>
      </c>
      <c r="U9">
        <v>51.65</v>
      </c>
      <c r="V9" s="21">
        <v>44256</v>
      </c>
      <c r="W9" s="17">
        <f t="shared" si="2"/>
        <v>0.57707509881422925</v>
      </c>
      <c r="X9">
        <v>12.39</v>
      </c>
      <c r="Y9">
        <f>52*20*19</f>
        <v>19760</v>
      </c>
      <c r="Z9" s="26">
        <f t="shared" si="3"/>
        <v>18178.472861085556</v>
      </c>
      <c r="AA9">
        <v>6.4</v>
      </c>
      <c r="AB9">
        <v>130</v>
      </c>
      <c r="AC9" s="26">
        <f t="shared" si="4"/>
        <v>2.2461538461538462</v>
      </c>
      <c r="AD9" s="60">
        <f t="shared" si="5"/>
        <v>2.1917808219178082E-2</v>
      </c>
    </row>
    <row r="10" spans="1:30" x14ac:dyDescent="0.3">
      <c r="A10">
        <v>32</v>
      </c>
      <c r="B10" s="13">
        <v>83014</v>
      </c>
      <c r="C10" s="61">
        <v>18</v>
      </c>
      <c r="D10" s="55">
        <v>1</v>
      </c>
      <c r="E10" s="24">
        <v>473</v>
      </c>
      <c r="F10" s="25">
        <v>448</v>
      </c>
      <c r="G10" s="25">
        <f t="shared" si="0"/>
        <v>25</v>
      </c>
      <c r="H10">
        <v>110911239</v>
      </c>
      <c r="I10">
        <v>1109106</v>
      </c>
      <c r="J10">
        <v>269.3</v>
      </c>
      <c r="K10">
        <v>269</v>
      </c>
      <c r="L10">
        <v>3</v>
      </c>
      <c r="M10">
        <v>284.8</v>
      </c>
      <c r="N10" t="s">
        <v>47</v>
      </c>
      <c r="O10">
        <v>2</v>
      </c>
      <c r="P10" t="s">
        <v>19</v>
      </c>
      <c r="Q10" s="20">
        <v>44256.405312499999</v>
      </c>
      <c r="R10">
        <v>10</v>
      </c>
      <c r="S10">
        <v>284.8</v>
      </c>
      <c r="T10">
        <f t="shared" si="1"/>
        <v>274.8</v>
      </c>
      <c r="U10">
        <v>51.65</v>
      </c>
      <c r="V10" s="21">
        <v>44256</v>
      </c>
      <c r="W10" s="17">
        <f t="shared" si="2"/>
        <v>0.56871035940803383</v>
      </c>
      <c r="X10">
        <v>15.55</v>
      </c>
      <c r="Y10">
        <f>51*17*14</f>
        <v>12138</v>
      </c>
      <c r="Z10" s="26">
        <f t="shared" si="3"/>
        <v>11166.513339466421</v>
      </c>
      <c r="AA10">
        <v>7.4</v>
      </c>
      <c r="AB10">
        <v>125</v>
      </c>
      <c r="AC10" s="26">
        <f t="shared" si="4"/>
        <v>2.1520000000000001</v>
      </c>
      <c r="AD10" s="60">
        <f t="shared" si="5"/>
        <v>2.7509293680297399E-2</v>
      </c>
    </row>
    <row r="11" spans="1:30" x14ac:dyDescent="0.3">
      <c r="A11">
        <v>25</v>
      </c>
      <c r="B11" s="13">
        <v>85086</v>
      </c>
      <c r="C11" s="61">
        <v>8</v>
      </c>
      <c r="D11" s="55">
        <v>1</v>
      </c>
      <c r="E11" s="24">
        <v>535</v>
      </c>
      <c r="F11" s="25">
        <v>493.5</v>
      </c>
      <c r="G11" s="25">
        <f t="shared" si="0"/>
        <v>41.5</v>
      </c>
      <c r="H11">
        <v>110911232</v>
      </c>
      <c r="I11">
        <v>1109106</v>
      </c>
      <c r="J11">
        <v>292.8</v>
      </c>
      <c r="K11">
        <v>293.39999999999998</v>
      </c>
      <c r="L11">
        <v>3</v>
      </c>
      <c r="M11">
        <v>308.8</v>
      </c>
      <c r="N11" t="s">
        <v>40</v>
      </c>
      <c r="O11">
        <v>3</v>
      </c>
      <c r="P11" t="s">
        <v>21</v>
      </c>
      <c r="Q11" s="20">
        <v>44256.399675925924</v>
      </c>
      <c r="R11">
        <v>10</v>
      </c>
      <c r="S11">
        <v>308.8</v>
      </c>
      <c r="T11">
        <f t="shared" si="1"/>
        <v>298.8</v>
      </c>
      <c r="U11">
        <v>51.65</v>
      </c>
      <c r="V11" s="21">
        <v>44256</v>
      </c>
      <c r="W11" s="17">
        <f t="shared" si="2"/>
        <v>0.54841121495327094</v>
      </c>
      <c r="X11">
        <v>13.48</v>
      </c>
      <c r="Y11">
        <f>50*17*14</f>
        <v>11900</v>
      </c>
      <c r="Z11" s="26">
        <f t="shared" si="3"/>
        <v>10947.5620975161</v>
      </c>
      <c r="AA11">
        <v>5.4</v>
      </c>
      <c r="AB11">
        <v>127</v>
      </c>
      <c r="AC11" s="26">
        <f t="shared" si="4"/>
        <v>2.3102362204724409</v>
      </c>
      <c r="AD11" s="60">
        <f t="shared" si="5"/>
        <v>1.8404907975460124E-2</v>
      </c>
    </row>
    <row r="12" spans="1:30" x14ac:dyDescent="0.3">
      <c r="A12">
        <v>8</v>
      </c>
      <c r="B12" s="13">
        <v>85422</v>
      </c>
      <c r="C12" s="61">
        <v>18</v>
      </c>
      <c r="D12" s="55">
        <v>1</v>
      </c>
      <c r="E12" s="24">
        <v>516</v>
      </c>
      <c r="F12" s="25">
        <v>467.5</v>
      </c>
      <c r="G12" s="25">
        <f t="shared" si="0"/>
        <v>48.5</v>
      </c>
      <c r="H12">
        <v>110911215</v>
      </c>
      <c r="I12">
        <v>1109106</v>
      </c>
      <c r="J12">
        <v>290.7</v>
      </c>
      <c r="K12">
        <v>295.2</v>
      </c>
      <c r="L12">
        <v>4</v>
      </c>
      <c r="M12">
        <v>306.60000000000002</v>
      </c>
      <c r="N12" t="s">
        <v>23</v>
      </c>
      <c r="O12">
        <v>3</v>
      </c>
      <c r="P12" t="s">
        <v>21</v>
      </c>
      <c r="Q12" s="20">
        <v>44256.385150462964</v>
      </c>
      <c r="R12">
        <v>10</v>
      </c>
      <c r="S12">
        <v>306.60000000000002</v>
      </c>
      <c r="T12">
        <f t="shared" si="1"/>
        <v>296.60000000000002</v>
      </c>
      <c r="U12">
        <v>51.65</v>
      </c>
      <c r="V12" s="21">
        <v>44256</v>
      </c>
      <c r="W12" s="17">
        <f t="shared" si="2"/>
        <v>0.5720930232558139</v>
      </c>
      <c r="X12">
        <v>22.49</v>
      </c>
      <c r="Y12">
        <f>50*17*15</f>
        <v>12750</v>
      </c>
      <c r="Z12" s="26">
        <f t="shared" si="3"/>
        <v>11729.530818767249</v>
      </c>
      <c r="AA12">
        <v>5.3</v>
      </c>
      <c r="AB12">
        <v>118</v>
      </c>
      <c r="AC12" s="26">
        <f t="shared" si="4"/>
        <v>2.5016949152542374</v>
      </c>
      <c r="AD12" s="60">
        <f t="shared" si="5"/>
        <v>1.7953929539295393E-2</v>
      </c>
    </row>
    <row r="13" spans="1:30" x14ac:dyDescent="0.3">
      <c r="A13">
        <v>33</v>
      </c>
      <c r="B13" s="13">
        <v>85495</v>
      </c>
      <c r="C13" s="61">
        <v>17</v>
      </c>
      <c r="D13" s="55">
        <v>1</v>
      </c>
      <c r="E13" s="24">
        <v>500</v>
      </c>
      <c r="F13" s="25">
        <v>468</v>
      </c>
      <c r="G13" s="25">
        <f t="shared" si="0"/>
        <v>32</v>
      </c>
      <c r="H13">
        <v>110911240</v>
      </c>
      <c r="I13">
        <v>1109106</v>
      </c>
      <c r="J13">
        <v>282.60000000000002</v>
      </c>
      <c r="K13">
        <v>283.60000000000002</v>
      </c>
      <c r="L13">
        <v>4</v>
      </c>
      <c r="M13">
        <v>298.39999999999998</v>
      </c>
      <c r="N13" t="s">
        <v>48</v>
      </c>
      <c r="O13">
        <v>2</v>
      </c>
      <c r="P13" t="s">
        <v>19</v>
      </c>
      <c r="Q13" s="20">
        <v>44256.405925925923</v>
      </c>
      <c r="R13">
        <v>10</v>
      </c>
      <c r="S13">
        <v>298.39999999999998</v>
      </c>
      <c r="T13">
        <f t="shared" si="1"/>
        <v>288.39999999999998</v>
      </c>
      <c r="U13">
        <v>51.65</v>
      </c>
      <c r="V13" s="21">
        <v>44256</v>
      </c>
      <c r="W13" s="17">
        <f t="shared" si="2"/>
        <v>0.56720000000000004</v>
      </c>
      <c r="X13">
        <v>16.7</v>
      </c>
      <c r="Y13">
        <f>49*17*18</f>
        <v>14994</v>
      </c>
      <c r="Z13" s="26">
        <f t="shared" si="3"/>
        <v>13793.928242870286</v>
      </c>
      <c r="AA13">
        <v>6.1</v>
      </c>
      <c r="AB13">
        <v>125</v>
      </c>
      <c r="AC13" s="26">
        <f t="shared" si="4"/>
        <v>2.2688000000000001</v>
      </c>
      <c r="AD13" s="60">
        <f t="shared" si="5"/>
        <v>2.1509167842031027E-2</v>
      </c>
    </row>
    <row r="14" spans="1:30" x14ac:dyDescent="0.3">
      <c r="A14">
        <v>5</v>
      </c>
      <c r="B14" s="13">
        <v>86327</v>
      </c>
      <c r="C14" s="61">
        <v>9</v>
      </c>
      <c r="D14" s="55">
        <v>1</v>
      </c>
      <c r="E14" s="24">
        <v>577</v>
      </c>
      <c r="F14" s="25">
        <v>539.5</v>
      </c>
      <c r="G14" s="25">
        <f t="shared" si="0"/>
        <v>37.5</v>
      </c>
      <c r="H14">
        <v>110911212</v>
      </c>
      <c r="I14">
        <v>1109106</v>
      </c>
      <c r="J14">
        <v>335.9</v>
      </c>
      <c r="K14">
        <v>337.8</v>
      </c>
      <c r="L14">
        <v>4</v>
      </c>
      <c r="M14">
        <v>352.8</v>
      </c>
      <c r="N14" t="s">
        <v>22</v>
      </c>
      <c r="O14">
        <v>2</v>
      </c>
      <c r="P14" t="s">
        <v>19</v>
      </c>
      <c r="Q14" s="20">
        <v>44256.378553240742</v>
      </c>
      <c r="R14">
        <v>10</v>
      </c>
      <c r="S14">
        <v>352.8</v>
      </c>
      <c r="T14">
        <f t="shared" si="1"/>
        <v>342.8</v>
      </c>
      <c r="U14">
        <v>51.65</v>
      </c>
      <c r="V14" s="21">
        <v>44256</v>
      </c>
      <c r="W14" s="17">
        <f t="shared" si="2"/>
        <v>0.58544194107452341</v>
      </c>
      <c r="X14">
        <v>19.010000000000002</v>
      </c>
      <c r="Y14">
        <f>52*23*11</f>
        <v>13156</v>
      </c>
      <c r="Z14" s="26">
        <f t="shared" si="3"/>
        <v>12103.035878564859</v>
      </c>
      <c r="AA14">
        <v>6.2</v>
      </c>
      <c r="AB14">
        <v>134</v>
      </c>
      <c r="AC14" s="26">
        <f t="shared" si="4"/>
        <v>2.5208955223880598</v>
      </c>
      <c r="AD14" s="60">
        <f t="shared" si="5"/>
        <v>1.8354055654233273E-2</v>
      </c>
    </row>
    <row r="15" spans="1:30" x14ac:dyDescent="0.3">
      <c r="A15">
        <v>23</v>
      </c>
      <c r="B15" s="13">
        <v>88386</v>
      </c>
      <c r="C15" s="61">
        <v>8</v>
      </c>
      <c r="D15" s="55">
        <v>1</v>
      </c>
      <c r="E15" s="24">
        <v>474</v>
      </c>
      <c r="F15" s="25">
        <v>438</v>
      </c>
      <c r="G15" s="25">
        <f t="shared" si="0"/>
        <v>36</v>
      </c>
      <c r="H15">
        <v>110911230</v>
      </c>
      <c r="I15">
        <v>1109106</v>
      </c>
      <c r="J15">
        <v>275</v>
      </c>
      <c r="K15">
        <v>274.2</v>
      </c>
      <c r="L15">
        <v>3</v>
      </c>
      <c r="M15">
        <v>290.60000000000002</v>
      </c>
      <c r="N15" t="s">
        <v>38</v>
      </c>
      <c r="O15">
        <v>2</v>
      </c>
      <c r="P15" t="s">
        <v>19</v>
      </c>
      <c r="Q15" s="20">
        <v>44256.396793981483</v>
      </c>
      <c r="R15">
        <v>10</v>
      </c>
      <c r="S15">
        <v>290.60000000000002</v>
      </c>
      <c r="T15">
        <f t="shared" si="1"/>
        <v>280.60000000000002</v>
      </c>
      <c r="U15">
        <v>51.65</v>
      </c>
      <c r="V15" s="21">
        <v>44256</v>
      </c>
      <c r="W15" s="17">
        <f t="shared" si="2"/>
        <v>0.57848101265822782</v>
      </c>
      <c r="X15">
        <v>11.42</v>
      </c>
      <c r="Y15">
        <f>50*18*19</f>
        <v>17100</v>
      </c>
      <c r="Z15" s="26">
        <f t="shared" si="3"/>
        <v>15731.370745170194</v>
      </c>
      <c r="AA15">
        <v>4.7</v>
      </c>
      <c r="AB15">
        <v>123</v>
      </c>
      <c r="AC15" s="26">
        <f t="shared" si="4"/>
        <v>2.2292682926829266</v>
      </c>
      <c r="AD15" s="60">
        <f t="shared" si="5"/>
        <v>1.7140773158278631E-2</v>
      </c>
    </row>
    <row r="16" spans="1:30" x14ac:dyDescent="0.3">
      <c r="A16">
        <v>36</v>
      </c>
      <c r="B16" s="13">
        <v>89727</v>
      </c>
      <c r="C16" s="61">
        <v>17</v>
      </c>
      <c r="D16" s="55">
        <v>1</v>
      </c>
      <c r="E16" s="24">
        <v>512</v>
      </c>
      <c r="F16" s="25">
        <v>485.5</v>
      </c>
      <c r="G16" s="25">
        <f t="shared" si="0"/>
        <v>26.5</v>
      </c>
      <c r="H16">
        <v>110911243</v>
      </c>
      <c r="I16">
        <v>1109106</v>
      </c>
      <c r="J16">
        <v>299.3</v>
      </c>
      <c r="K16">
        <v>299.2</v>
      </c>
      <c r="L16">
        <v>3</v>
      </c>
      <c r="M16">
        <v>315.39999999999998</v>
      </c>
      <c r="N16" t="s">
        <v>51</v>
      </c>
      <c r="O16">
        <v>3</v>
      </c>
      <c r="P16" t="s">
        <v>21</v>
      </c>
      <c r="Q16" s="20">
        <v>44256.410497685189</v>
      </c>
      <c r="R16">
        <v>10</v>
      </c>
      <c r="S16">
        <v>315.39999999999998</v>
      </c>
      <c r="T16">
        <f t="shared" si="1"/>
        <v>305.39999999999998</v>
      </c>
      <c r="U16">
        <v>51.65</v>
      </c>
      <c r="V16" s="21">
        <v>44256</v>
      </c>
      <c r="W16" s="17">
        <f t="shared" si="2"/>
        <v>0.58437499999999998</v>
      </c>
      <c r="X16">
        <v>7.44</v>
      </c>
      <c r="Y16">
        <f>49*18*15</f>
        <v>13230</v>
      </c>
      <c r="Z16" s="26">
        <f t="shared" si="3"/>
        <v>12171.113155473782</v>
      </c>
      <c r="AA16">
        <v>5.9</v>
      </c>
      <c r="AB16">
        <v>123</v>
      </c>
      <c r="AC16" s="26">
        <f t="shared" si="4"/>
        <v>2.4325203252032521</v>
      </c>
      <c r="AD16" s="60">
        <f t="shared" si="5"/>
        <v>1.9719251336898398E-2</v>
      </c>
    </row>
    <row r="17" spans="1:30" x14ac:dyDescent="0.3">
      <c r="A17">
        <v>29</v>
      </c>
      <c r="B17" s="13">
        <v>90954</v>
      </c>
      <c r="C17" s="61">
        <v>1</v>
      </c>
      <c r="D17" s="55">
        <v>1</v>
      </c>
      <c r="E17" s="24">
        <v>511</v>
      </c>
      <c r="F17" s="25">
        <v>482</v>
      </c>
      <c r="G17" s="25">
        <f t="shared" si="0"/>
        <v>29</v>
      </c>
      <c r="H17">
        <v>110911236</v>
      </c>
      <c r="I17">
        <v>1109106</v>
      </c>
      <c r="J17">
        <v>304.8</v>
      </c>
      <c r="K17">
        <v>304</v>
      </c>
      <c r="L17">
        <v>3</v>
      </c>
      <c r="M17">
        <v>321</v>
      </c>
      <c r="N17" t="s">
        <v>44</v>
      </c>
      <c r="O17">
        <v>2</v>
      </c>
      <c r="P17" t="s">
        <v>19</v>
      </c>
      <c r="Q17" s="20">
        <v>44256.402916666666</v>
      </c>
      <c r="R17">
        <v>10</v>
      </c>
      <c r="S17">
        <v>321</v>
      </c>
      <c r="T17">
        <f t="shared" si="1"/>
        <v>311</v>
      </c>
      <c r="U17">
        <v>51.65</v>
      </c>
      <c r="V17" s="21">
        <v>44256</v>
      </c>
      <c r="W17" s="17">
        <f t="shared" si="2"/>
        <v>0.59491193737769077</v>
      </c>
      <c r="X17">
        <v>11.53</v>
      </c>
      <c r="Y17">
        <f>49*16*13</f>
        <v>10192</v>
      </c>
      <c r="Z17" s="26">
        <f t="shared" si="3"/>
        <v>9376.2649494020243</v>
      </c>
      <c r="AA17">
        <v>5.3</v>
      </c>
      <c r="AB17">
        <v>121</v>
      </c>
      <c r="AC17" s="26">
        <f t="shared" si="4"/>
        <v>2.5123966942148761</v>
      </c>
      <c r="AD17" s="60">
        <f t="shared" si="5"/>
        <v>1.7434210526315788E-2</v>
      </c>
    </row>
    <row r="18" spans="1:30" x14ac:dyDescent="0.3">
      <c r="A18">
        <v>21</v>
      </c>
      <c r="B18" s="13">
        <v>93188</v>
      </c>
      <c r="C18" s="61">
        <v>1</v>
      </c>
      <c r="D18" s="55">
        <v>1</v>
      </c>
      <c r="E18" s="24">
        <v>475</v>
      </c>
      <c r="F18" s="25">
        <v>442</v>
      </c>
      <c r="G18" s="25">
        <f t="shared" si="0"/>
        <v>33</v>
      </c>
      <c r="H18">
        <v>110911228</v>
      </c>
      <c r="I18">
        <v>1109106</v>
      </c>
      <c r="J18">
        <v>269.5</v>
      </c>
      <c r="K18">
        <v>270</v>
      </c>
      <c r="L18">
        <v>3</v>
      </c>
      <c r="M18">
        <v>285</v>
      </c>
      <c r="N18" t="s">
        <v>36</v>
      </c>
      <c r="O18">
        <v>3</v>
      </c>
      <c r="P18" t="s">
        <v>21</v>
      </c>
      <c r="Q18" s="20">
        <v>44256.395381944443</v>
      </c>
      <c r="R18">
        <v>10</v>
      </c>
      <c r="S18">
        <v>285</v>
      </c>
      <c r="T18">
        <f t="shared" si="1"/>
        <v>275</v>
      </c>
      <c r="U18">
        <v>51.65</v>
      </c>
      <c r="V18" s="21">
        <v>44256</v>
      </c>
      <c r="W18" s="17">
        <f t="shared" si="2"/>
        <v>0.56842105263157894</v>
      </c>
      <c r="X18">
        <v>18</v>
      </c>
      <c r="Y18">
        <f>47*19*14</f>
        <v>12502</v>
      </c>
      <c r="Z18" s="26">
        <f t="shared" si="3"/>
        <v>11501.379944802209</v>
      </c>
      <c r="AA18">
        <v>6</v>
      </c>
      <c r="AB18">
        <v>120</v>
      </c>
      <c r="AC18" s="26">
        <f t="shared" si="4"/>
        <v>2.25</v>
      </c>
      <c r="AD18" s="60">
        <f t="shared" si="5"/>
        <v>2.2222222222222223E-2</v>
      </c>
    </row>
    <row r="19" spans="1:30" x14ac:dyDescent="0.3">
      <c r="A19">
        <v>2</v>
      </c>
      <c r="B19" s="13">
        <v>98554</v>
      </c>
      <c r="C19" s="61">
        <v>8</v>
      </c>
      <c r="D19" s="55">
        <v>1</v>
      </c>
      <c r="E19" s="24">
        <v>566</v>
      </c>
      <c r="F19" s="25">
        <v>530</v>
      </c>
      <c r="G19" s="25">
        <f t="shared" si="0"/>
        <v>36</v>
      </c>
      <c r="H19">
        <v>110911209</v>
      </c>
      <c r="I19">
        <v>1109106</v>
      </c>
      <c r="J19">
        <v>303.8</v>
      </c>
      <c r="K19">
        <v>304.39999999999998</v>
      </c>
      <c r="L19">
        <v>4</v>
      </c>
      <c r="M19">
        <v>320</v>
      </c>
      <c r="N19" t="s">
        <v>22</v>
      </c>
      <c r="O19">
        <v>3</v>
      </c>
      <c r="P19" t="s">
        <v>21</v>
      </c>
      <c r="Q19" s="20">
        <v>44256.379374999997</v>
      </c>
      <c r="R19">
        <v>10</v>
      </c>
      <c r="S19">
        <v>320</v>
      </c>
      <c r="T19">
        <f t="shared" si="1"/>
        <v>310</v>
      </c>
      <c r="U19">
        <v>51.65</v>
      </c>
      <c r="V19" s="21">
        <v>44256</v>
      </c>
      <c r="W19" s="17">
        <f t="shared" si="2"/>
        <v>0.53780918727915195</v>
      </c>
      <c r="X19">
        <v>17.16</v>
      </c>
      <c r="Y19">
        <f>52*22*14</f>
        <v>16016</v>
      </c>
      <c r="Z19" s="26">
        <f t="shared" si="3"/>
        <v>14734.13063477461</v>
      </c>
      <c r="AA19">
        <v>6.3</v>
      </c>
      <c r="AB19">
        <v>130</v>
      </c>
      <c r="AC19" s="26">
        <f t="shared" si="4"/>
        <v>2.3415384615384616</v>
      </c>
      <c r="AD19" s="60">
        <f t="shared" si="5"/>
        <v>2.0696452036793694E-2</v>
      </c>
    </row>
    <row r="20" spans="1:30" x14ac:dyDescent="0.3">
      <c r="A20">
        <v>35</v>
      </c>
      <c r="B20" s="13">
        <v>100518</v>
      </c>
      <c r="C20" s="61">
        <v>18</v>
      </c>
      <c r="D20" s="55">
        <v>1</v>
      </c>
      <c r="E20" s="24">
        <v>529</v>
      </c>
      <c r="F20" s="25">
        <v>446</v>
      </c>
      <c r="G20" s="25">
        <f t="shared" si="0"/>
        <v>83</v>
      </c>
      <c r="H20">
        <v>110911242</v>
      </c>
      <c r="I20">
        <v>1109106</v>
      </c>
      <c r="J20">
        <v>268.5</v>
      </c>
      <c r="K20">
        <v>278.8</v>
      </c>
      <c r="L20">
        <v>3</v>
      </c>
      <c r="M20">
        <v>284</v>
      </c>
      <c r="N20" t="s">
        <v>50</v>
      </c>
      <c r="O20">
        <v>2</v>
      </c>
      <c r="P20" t="s">
        <v>19</v>
      </c>
      <c r="Q20" s="20">
        <v>44256.409548611111</v>
      </c>
      <c r="R20">
        <v>10</v>
      </c>
      <c r="S20">
        <v>284</v>
      </c>
      <c r="T20">
        <f t="shared" si="1"/>
        <v>274</v>
      </c>
      <c r="U20">
        <v>51.65</v>
      </c>
      <c r="V20" s="21">
        <v>44256</v>
      </c>
      <c r="W20" s="17">
        <f t="shared" si="2"/>
        <v>0.52703213610586008</v>
      </c>
      <c r="X20">
        <v>1.78</v>
      </c>
      <c r="Y20">
        <f>45*18*14</f>
        <v>11340</v>
      </c>
      <c r="Z20" s="26">
        <f t="shared" si="3"/>
        <v>10432.382704691812</v>
      </c>
      <c r="AA20">
        <v>6</v>
      </c>
      <c r="AB20">
        <v>120</v>
      </c>
      <c r="AC20" s="26">
        <f t="shared" si="4"/>
        <v>2.3233333333333333</v>
      </c>
      <c r="AD20" s="60">
        <f t="shared" si="5"/>
        <v>2.1520803443328549E-2</v>
      </c>
    </row>
    <row r="21" spans="1:30" x14ac:dyDescent="0.3">
      <c r="A21">
        <v>26</v>
      </c>
      <c r="B21" s="13">
        <v>102712</v>
      </c>
      <c r="C21" s="61">
        <v>1</v>
      </c>
      <c r="D21" s="55">
        <v>1</v>
      </c>
      <c r="E21" s="24">
        <v>548</v>
      </c>
      <c r="F21" s="25">
        <v>507.5</v>
      </c>
      <c r="G21" s="25">
        <f t="shared" si="0"/>
        <v>40.5</v>
      </c>
      <c r="H21">
        <v>110911233</v>
      </c>
      <c r="I21">
        <v>1109106</v>
      </c>
      <c r="J21">
        <v>311.8</v>
      </c>
      <c r="K21">
        <v>314</v>
      </c>
      <c r="L21">
        <v>3</v>
      </c>
      <c r="M21">
        <v>328.2</v>
      </c>
      <c r="N21" t="s">
        <v>41</v>
      </c>
      <c r="O21">
        <v>3</v>
      </c>
      <c r="P21" t="s">
        <v>21</v>
      </c>
      <c r="Q21" s="20">
        <v>44256.400347222225</v>
      </c>
      <c r="R21">
        <v>10</v>
      </c>
      <c r="S21">
        <v>328.2</v>
      </c>
      <c r="T21">
        <f t="shared" si="1"/>
        <v>318.2</v>
      </c>
      <c r="U21">
        <v>51.65</v>
      </c>
      <c r="V21" s="21">
        <v>44256</v>
      </c>
      <c r="W21" s="17">
        <f t="shared" si="2"/>
        <v>0.57299270072992703</v>
      </c>
      <c r="X21">
        <v>18.39</v>
      </c>
      <c r="Y21">
        <f>51*16*18</f>
        <v>14688</v>
      </c>
      <c r="Z21" s="26">
        <f t="shared" si="3"/>
        <v>13512.419503219871</v>
      </c>
      <c r="AA21">
        <v>6.3</v>
      </c>
      <c r="AB21">
        <v>126</v>
      </c>
      <c r="AC21" s="26">
        <f t="shared" si="4"/>
        <v>2.4920634920634921</v>
      </c>
      <c r="AD21" s="60">
        <f t="shared" si="5"/>
        <v>2.0063694267515923E-2</v>
      </c>
    </row>
    <row r="22" spans="1:30" x14ac:dyDescent="0.3">
      <c r="A22">
        <v>34</v>
      </c>
      <c r="B22" s="13">
        <v>103267</v>
      </c>
      <c r="C22" s="61">
        <v>18</v>
      </c>
      <c r="D22" s="55">
        <v>1</v>
      </c>
      <c r="E22" s="24">
        <v>470</v>
      </c>
      <c r="F22" s="25">
        <v>498.5</v>
      </c>
      <c r="G22" s="25">
        <f t="shared" si="0"/>
        <v>-28.5</v>
      </c>
      <c r="H22">
        <v>110911241</v>
      </c>
      <c r="I22">
        <v>1109106</v>
      </c>
      <c r="J22">
        <v>310.3</v>
      </c>
      <c r="K22">
        <v>311.2</v>
      </c>
      <c r="L22">
        <v>4</v>
      </c>
      <c r="M22">
        <v>326.60000000000002</v>
      </c>
      <c r="N22" t="s">
        <v>49</v>
      </c>
      <c r="O22">
        <v>2</v>
      </c>
      <c r="P22" t="s">
        <v>19</v>
      </c>
      <c r="Q22" s="20">
        <v>44256.408645833333</v>
      </c>
      <c r="R22">
        <v>10</v>
      </c>
      <c r="S22">
        <v>326.60000000000002</v>
      </c>
      <c r="T22">
        <f t="shared" si="1"/>
        <v>316.60000000000002</v>
      </c>
      <c r="U22">
        <v>51.65</v>
      </c>
      <c r="V22" s="21">
        <v>44256</v>
      </c>
      <c r="W22" s="17">
        <f t="shared" si="2"/>
        <v>0.66212765957446806</v>
      </c>
      <c r="X22">
        <v>14.8</v>
      </c>
      <c r="Y22">
        <f>49*18*15</f>
        <v>13230</v>
      </c>
      <c r="Z22" s="26">
        <f t="shared" si="3"/>
        <v>12171.113155473782</v>
      </c>
      <c r="AA22">
        <v>7</v>
      </c>
      <c r="AB22">
        <v>126</v>
      </c>
      <c r="AC22" s="26">
        <f t="shared" si="4"/>
        <v>2.4698412698412699</v>
      </c>
      <c r="AD22" s="60">
        <f t="shared" si="5"/>
        <v>2.2493573264781491E-2</v>
      </c>
    </row>
    <row r="23" spans="1:30" x14ac:dyDescent="0.3">
      <c r="A23">
        <v>1</v>
      </c>
      <c r="B23" s="13">
        <v>103635</v>
      </c>
      <c r="C23" s="61">
        <v>9</v>
      </c>
      <c r="D23" s="55">
        <v>1</v>
      </c>
      <c r="E23" s="24">
        <v>521</v>
      </c>
      <c r="F23" s="25">
        <v>480</v>
      </c>
      <c r="G23" s="25">
        <f t="shared" si="0"/>
        <v>41</v>
      </c>
      <c r="H23">
        <v>110911208</v>
      </c>
      <c r="I23">
        <v>1109106</v>
      </c>
      <c r="J23">
        <v>298.10000000000002</v>
      </c>
      <c r="K23">
        <v>297.60000000000002</v>
      </c>
      <c r="L23">
        <v>4</v>
      </c>
      <c r="M23">
        <v>314.2</v>
      </c>
      <c r="N23" t="s">
        <v>20</v>
      </c>
      <c r="O23">
        <v>2</v>
      </c>
      <c r="P23" t="s">
        <v>19</v>
      </c>
      <c r="Q23" s="20">
        <v>44256.376712962963</v>
      </c>
      <c r="R23">
        <v>10</v>
      </c>
      <c r="S23">
        <v>314.2</v>
      </c>
      <c r="T23">
        <f t="shared" si="1"/>
        <v>304.2</v>
      </c>
      <c r="U23">
        <v>51.65</v>
      </c>
      <c r="V23" s="21">
        <v>44256</v>
      </c>
      <c r="W23" s="17">
        <f t="shared" si="2"/>
        <v>0.57120921305182348</v>
      </c>
      <c r="X23">
        <v>14.48</v>
      </c>
      <c r="Y23">
        <f>55*21*14</f>
        <v>16170</v>
      </c>
      <c r="Z23" s="26">
        <f t="shared" si="3"/>
        <v>14875.804967801289</v>
      </c>
      <c r="AA23">
        <v>6.8</v>
      </c>
      <c r="AB23">
        <v>126</v>
      </c>
      <c r="AC23" s="26">
        <f t="shared" si="4"/>
        <v>2.361904761904762</v>
      </c>
      <c r="AD23" s="60">
        <f t="shared" si="5"/>
        <v>2.2849462365591395E-2</v>
      </c>
    </row>
    <row r="24" spans="1:30" x14ac:dyDescent="0.3">
      <c r="A24">
        <v>3</v>
      </c>
      <c r="B24" s="13">
        <v>107288</v>
      </c>
      <c r="C24" s="61">
        <v>9</v>
      </c>
      <c r="D24" s="55">
        <v>1</v>
      </c>
      <c r="E24" s="24">
        <v>530</v>
      </c>
      <c r="F24" s="25">
        <v>490.5</v>
      </c>
      <c r="G24" s="25">
        <f t="shared" si="0"/>
        <v>39.5</v>
      </c>
      <c r="H24">
        <v>110911210</v>
      </c>
      <c r="I24">
        <v>1109106</v>
      </c>
      <c r="J24">
        <v>304.39999999999998</v>
      </c>
      <c r="K24">
        <v>305.2</v>
      </c>
      <c r="L24">
        <v>4</v>
      </c>
      <c r="M24">
        <v>320.60000000000002</v>
      </c>
      <c r="N24" t="s">
        <v>22</v>
      </c>
      <c r="O24">
        <v>2</v>
      </c>
      <c r="P24" t="s">
        <v>19</v>
      </c>
      <c r="Q24" s="20">
        <v>44256.380532407406</v>
      </c>
      <c r="R24">
        <v>10</v>
      </c>
      <c r="S24">
        <v>320.60000000000002</v>
      </c>
      <c r="T24">
        <f t="shared" si="1"/>
        <v>310.60000000000002</v>
      </c>
      <c r="U24">
        <v>51.65</v>
      </c>
      <c r="V24" s="21">
        <v>44256</v>
      </c>
      <c r="W24" s="17">
        <f t="shared" si="2"/>
        <v>0.57584905660377361</v>
      </c>
      <c r="X24">
        <v>18.52</v>
      </c>
      <c r="Y24">
        <f>50*24*19</f>
        <v>22800</v>
      </c>
      <c r="Z24" s="26">
        <f t="shared" si="3"/>
        <v>20975.160993560257</v>
      </c>
      <c r="AA24">
        <v>6</v>
      </c>
      <c r="AB24">
        <v>127</v>
      </c>
      <c r="AC24" s="26">
        <f t="shared" si="4"/>
        <v>2.4031496062992126</v>
      </c>
      <c r="AD24" s="60">
        <f t="shared" si="5"/>
        <v>1.9659239842726082E-2</v>
      </c>
    </row>
    <row r="25" spans="1:30" x14ac:dyDescent="0.3">
      <c r="A25">
        <v>27</v>
      </c>
      <c r="B25" s="13">
        <v>108074</v>
      </c>
      <c r="C25" s="61">
        <v>1</v>
      </c>
      <c r="D25" s="55">
        <v>1</v>
      </c>
      <c r="E25" s="24">
        <v>526</v>
      </c>
      <c r="F25" s="25">
        <v>489.5</v>
      </c>
      <c r="G25" s="25">
        <f t="shared" si="0"/>
        <v>36.5</v>
      </c>
      <c r="H25">
        <v>110911234</v>
      </c>
      <c r="I25">
        <v>1109106</v>
      </c>
      <c r="J25">
        <v>300.10000000000002</v>
      </c>
      <c r="K25">
        <v>301.39999999999998</v>
      </c>
      <c r="L25">
        <v>3</v>
      </c>
      <c r="M25">
        <v>316.2</v>
      </c>
      <c r="N25" t="s">
        <v>42</v>
      </c>
      <c r="O25">
        <v>3</v>
      </c>
      <c r="P25" t="s">
        <v>21</v>
      </c>
      <c r="Q25" s="20">
        <v>44256.401192129626</v>
      </c>
      <c r="R25">
        <v>10</v>
      </c>
      <c r="S25">
        <v>316.2</v>
      </c>
      <c r="T25">
        <f t="shared" si="1"/>
        <v>306.2</v>
      </c>
      <c r="U25">
        <v>51.65</v>
      </c>
      <c r="V25" s="21">
        <v>44256</v>
      </c>
      <c r="W25" s="17">
        <f t="shared" si="2"/>
        <v>0.57300380228136882</v>
      </c>
      <c r="X25">
        <v>6.63</v>
      </c>
      <c r="Y25">
        <f>52*16*15</f>
        <v>12480</v>
      </c>
      <c r="Z25" s="26">
        <f t="shared" si="3"/>
        <v>11481.140754369826</v>
      </c>
      <c r="AA25">
        <v>6.1</v>
      </c>
      <c r="AB25">
        <v>127</v>
      </c>
      <c r="AC25" s="26">
        <f t="shared" si="4"/>
        <v>2.3732283464566928</v>
      </c>
      <c r="AD25" s="60">
        <f t="shared" si="5"/>
        <v>2.0238885202388854E-2</v>
      </c>
    </row>
    <row r="26" spans="1:30" x14ac:dyDescent="0.3">
      <c r="A26">
        <v>30</v>
      </c>
      <c r="B26" s="13">
        <v>108641</v>
      </c>
      <c r="C26" s="61">
        <v>18</v>
      </c>
      <c r="D26" s="55">
        <v>1</v>
      </c>
      <c r="E26" s="24">
        <v>428</v>
      </c>
      <c r="F26" s="25">
        <v>399.5</v>
      </c>
      <c r="G26" s="25">
        <f t="shared" si="0"/>
        <v>28.5</v>
      </c>
      <c r="H26">
        <v>110911237</v>
      </c>
      <c r="I26">
        <v>1109106</v>
      </c>
      <c r="J26">
        <v>244.6</v>
      </c>
      <c r="K26">
        <v>246.2</v>
      </c>
      <c r="L26">
        <v>3</v>
      </c>
      <c r="M26">
        <v>259.60000000000002</v>
      </c>
      <c r="N26" t="s">
        <v>45</v>
      </c>
      <c r="O26">
        <v>2</v>
      </c>
      <c r="P26" t="s">
        <v>19</v>
      </c>
      <c r="Q26" s="20">
        <v>44256.403784722221</v>
      </c>
      <c r="R26">
        <v>10</v>
      </c>
      <c r="S26">
        <v>259.60000000000002</v>
      </c>
      <c r="T26">
        <f t="shared" si="1"/>
        <v>249.60000000000002</v>
      </c>
      <c r="U26">
        <v>51.65</v>
      </c>
      <c r="V26" s="21">
        <v>44256</v>
      </c>
      <c r="W26" s="17">
        <f t="shared" si="2"/>
        <v>0.5752336448598131</v>
      </c>
      <c r="X26">
        <v>16.899999999999999</v>
      </c>
      <c r="Y26">
        <f>49*15*14</f>
        <v>10290</v>
      </c>
      <c r="Z26" s="26">
        <f t="shared" si="3"/>
        <v>9466.421343146274</v>
      </c>
      <c r="AA26">
        <v>6</v>
      </c>
      <c r="AB26">
        <v>118</v>
      </c>
      <c r="AC26" s="26">
        <f t="shared" si="4"/>
        <v>2.0864406779661016</v>
      </c>
      <c r="AD26" s="60">
        <f t="shared" si="5"/>
        <v>2.4370430544272952E-2</v>
      </c>
    </row>
    <row r="27" spans="1:30" x14ac:dyDescent="0.3">
      <c r="A27">
        <v>6</v>
      </c>
      <c r="B27" s="13">
        <v>111245</v>
      </c>
      <c r="C27" s="61">
        <v>9</v>
      </c>
      <c r="D27" s="55">
        <v>1</v>
      </c>
      <c r="E27" s="24">
        <v>612</v>
      </c>
      <c r="F27" s="25">
        <v>553.5</v>
      </c>
      <c r="G27" s="25">
        <f t="shared" si="0"/>
        <v>58.5</v>
      </c>
      <c r="H27">
        <v>110911213</v>
      </c>
      <c r="I27">
        <v>1109106</v>
      </c>
      <c r="J27">
        <v>336.5</v>
      </c>
      <c r="K27">
        <v>339.4</v>
      </c>
      <c r="L27">
        <v>3</v>
      </c>
      <c r="M27">
        <v>353.4</v>
      </c>
      <c r="N27" t="s">
        <v>22</v>
      </c>
      <c r="O27">
        <v>2</v>
      </c>
      <c r="P27" t="s">
        <v>19</v>
      </c>
      <c r="Q27" s="20">
        <v>44256.383206018516</v>
      </c>
      <c r="R27">
        <v>10</v>
      </c>
      <c r="S27">
        <v>353.4</v>
      </c>
      <c r="T27">
        <f t="shared" si="1"/>
        <v>343.4</v>
      </c>
      <c r="U27">
        <v>51.65</v>
      </c>
      <c r="V27" s="21">
        <v>44256</v>
      </c>
      <c r="W27" s="17">
        <f t="shared" si="2"/>
        <v>0.55457516339869273</v>
      </c>
      <c r="X27">
        <v>5.15</v>
      </c>
      <c r="Y27">
        <f>50*22*11</f>
        <v>12100</v>
      </c>
      <c r="Z27" s="26">
        <f t="shared" si="3"/>
        <v>11131.554737810487</v>
      </c>
      <c r="AA27">
        <v>7.3</v>
      </c>
      <c r="AB27">
        <v>133</v>
      </c>
      <c r="AC27" s="26">
        <f t="shared" si="4"/>
        <v>2.5518796992481203</v>
      </c>
      <c r="AD27" s="60">
        <f t="shared" si="5"/>
        <v>2.1508544490276959E-2</v>
      </c>
    </row>
    <row r="28" spans="1:30" x14ac:dyDescent="0.3">
      <c r="A28">
        <v>28</v>
      </c>
      <c r="B28" s="13">
        <v>112710</v>
      </c>
      <c r="C28" s="61">
        <v>1</v>
      </c>
      <c r="D28" s="55">
        <v>1</v>
      </c>
      <c r="E28" s="24">
        <v>507</v>
      </c>
      <c r="F28" s="25">
        <v>462.5</v>
      </c>
      <c r="G28" s="25">
        <f t="shared" si="0"/>
        <v>44.5</v>
      </c>
      <c r="H28">
        <v>110911235</v>
      </c>
      <c r="I28">
        <v>1109106</v>
      </c>
      <c r="J28">
        <v>283</v>
      </c>
      <c r="K28">
        <v>285.60000000000002</v>
      </c>
      <c r="L28">
        <v>4</v>
      </c>
      <c r="M28">
        <v>298.8</v>
      </c>
      <c r="N28" t="s">
        <v>43</v>
      </c>
      <c r="O28">
        <v>2</v>
      </c>
      <c r="P28" t="s">
        <v>19</v>
      </c>
      <c r="Q28" s="20">
        <v>44256.402048611111</v>
      </c>
      <c r="R28">
        <v>10</v>
      </c>
      <c r="S28">
        <v>298.8</v>
      </c>
      <c r="T28">
        <f t="shared" si="1"/>
        <v>288.8</v>
      </c>
      <c r="U28">
        <v>51.65</v>
      </c>
      <c r="V28" s="21">
        <v>44256</v>
      </c>
      <c r="W28" s="17">
        <f t="shared" si="2"/>
        <v>0.56331360946745568</v>
      </c>
      <c r="X28">
        <v>4.97</v>
      </c>
      <c r="Y28">
        <f>51*16*16</f>
        <v>13056</v>
      </c>
      <c r="Z28" s="26">
        <f t="shared" si="3"/>
        <v>12011.039558417664</v>
      </c>
      <c r="AA28">
        <v>5.9</v>
      </c>
      <c r="AB28">
        <v>121</v>
      </c>
      <c r="AC28" s="26">
        <f t="shared" si="4"/>
        <v>2.3603305785123969</v>
      </c>
      <c r="AD28" s="60">
        <f t="shared" si="5"/>
        <v>2.0658263305322128E-2</v>
      </c>
    </row>
    <row r="29" spans="1:30" x14ac:dyDescent="0.3">
      <c r="A29">
        <v>9</v>
      </c>
      <c r="B29" s="13">
        <v>115119</v>
      </c>
      <c r="C29" s="61">
        <v>9</v>
      </c>
      <c r="D29" s="55">
        <v>1</v>
      </c>
      <c r="E29" s="24">
        <v>528</v>
      </c>
      <c r="F29" s="25">
        <v>492.5</v>
      </c>
      <c r="G29" s="25">
        <f t="shared" si="0"/>
        <v>35.5</v>
      </c>
      <c r="H29">
        <v>110911216</v>
      </c>
      <c r="I29">
        <v>1109106</v>
      </c>
      <c r="J29">
        <v>304.60000000000002</v>
      </c>
      <c r="K29">
        <v>309.39999999999998</v>
      </c>
      <c r="L29">
        <v>4</v>
      </c>
      <c r="M29">
        <v>320.8</v>
      </c>
      <c r="N29" t="s">
        <v>24</v>
      </c>
      <c r="O29">
        <v>2</v>
      </c>
      <c r="P29" t="s">
        <v>19</v>
      </c>
      <c r="Q29" s="20">
        <v>44256.386145833334</v>
      </c>
      <c r="R29">
        <v>10</v>
      </c>
      <c r="S29">
        <v>320.8</v>
      </c>
      <c r="T29">
        <f t="shared" si="1"/>
        <v>310.8</v>
      </c>
      <c r="U29">
        <v>51.65</v>
      </c>
      <c r="V29" s="21">
        <v>44256</v>
      </c>
      <c r="W29" s="17">
        <f t="shared" si="2"/>
        <v>0.58598484848484844</v>
      </c>
      <c r="X29">
        <v>11.7</v>
      </c>
      <c r="Y29">
        <f>48*20*13</f>
        <v>12480</v>
      </c>
      <c r="Z29" s="26">
        <f t="shared" si="3"/>
        <v>11481.140754369826</v>
      </c>
      <c r="AA29">
        <v>6</v>
      </c>
      <c r="AB29">
        <v>127</v>
      </c>
      <c r="AC29" s="26">
        <f t="shared" si="4"/>
        <v>2.4362204724409446</v>
      </c>
      <c r="AD29" s="60">
        <f t="shared" si="5"/>
        <v>1.9392372333548805E-2</v>
      </c>
    </row>
    <row r="30" spans="1:30" x14ac:dyDescent="0.3">
      <c r="A30">
        <v>111</v>
      </c>
      <c r="B30" s="13">
        <v>64174</v>
      </c>
      <c r="C30" s="61">
        <v>3</v>
      </c>
      <c r="D30" s="56">
        <v>2</v>
      </c>
      <c r="E30" s="24">
        <v>442</v>
      </c>
      <c r="F30" s="25">
        <v>411.5</v>
      </c>
      <c r="G30" s="25">
        <f t="shared" si="0"/>
        <v>30.5</v>
      </c>
      <c r="H30">
        <v>110911318</v>
      </c>
      <c r="I30">
        <v>1109108</v>
      </c>
      <c r="J30">
        <v>253.8</v>
      </c>
      <c r="K30">
        <v>255.4</v>
      </c>
      <c r="L30">
        <v>4</v>
      </c>
      <c r="M30">
        <v>269</v>
      </c>
      <c r="N30" t="s">
        <v>129</v>
      </c>
      <c r="O30">
        <v>2</v>
      </c>
      <c r="P30" t="s">
        <v>19</v>
      </c>
      <c r="Q30" s="20">
        <v>44256.501539351855</v>
      </c>
      <c r="R30">
        <v>10</v>
      </c>
      <c r="S30">
        <v>269</v>
      </c>
      <c r="T30">
        <f t="shared" si="1"/>
        <v>259</v>
      </c>
      <c r="U30">
        <v>51.65</v>
      </c>
      <c r="V30" s="21">
        <v>44256</v>
      </c>
      <c r="W30" s="17">
        <f t="shared" si="2"/>
        <v>0.57782805429864259</v>
      </c>
      <c r="X30">
        <v>16.11</v>
      </c>
      <c r="Y30">
        <f>47*19*16</f>
        <v>14288</v>
      </c>
      <c r="Z30" s="26">
        <f t="shared" si="3"/>
        <v>13144.434222631095</v>
      </c>
      <c r="AA30">
        <v>6.2</v>
      </c>
      <c r="AB30">
        <v>116</v>
      </c>
      <c r="AC30" s="26">
        <f t="shared" si="4"/>
        <v>2.2017241379310346</v>
      </c>
      <c r="AD30" s="60">
        <f t="shared" si="5"/>
        <v>2.4275646045418951E-2</v>
      </c>
    </row>
    <row r="31" spans="1:30" x14ac:dyDescent="0.3">
      <c r="A31">
        <v>102</v>
      </c>
      <c r="B31" s="13">
        <v>64308</v>
      </c>
      <c r="C31" s="61">
        <v>19</v>
      </c>
      <c r="D31" s="56">
        <v>2</v>
      </c>
      <c r="E31" s="24">
        <v>522</v>
      </c>
      <c r="F31" s="25">
        <v>481.5</v>
      </c>
      <c r="G31" s="25">
        <f t="shared" si="0"/>
        <v>40.5</v>
      </c>
      <c r="H31">
        <v>110911309</v>
      </c>
      <c r="I31">
        <v>1109108</v>
      </c>
      <c r="J31">
        <v>303</v>
      </c>
      <c r="K31">
        <v>296.8</v>
      </c>
      <c r="L31">
        <v>4</v>
      </c>
      <c r="M31">
        <v>319.2</v>
      </c>
      <c r="N31" t="s">
        <v>120</v>
      </c>
      <c r="O31">
        <v>3</v>
      </c>
      <c r="P31" t="s">
        <v>21</v>
      </c>
      <c r="Q31" s="20">
        <v>44256.46435185185</v>
      </c>
      <c r="R31">
        <v>10</v>
      </c>
      <c r="S31">
        <v>319.2</v>
      </c>
      <c r="T31">
        <f t="shared" si="1"/>
        <v>309.2</v>
      </c>
      <c r="U31">
        <v>51.65</v>
      </c>
      <c r="V31" s="21">
        <v>44256</v>
      </c>
      <c r="W31" s="17">
        <f t="shared" si="2"/>
        <v>0.5685823754789272</v>
      </c>
      <c r="X31">
        <v>19.420000000000002</v>
      </c>
      <c r="Y31">
        <f>49*21*16</f>
        <v>16464</v>
      </c>
      <c r="Z31" s="26">
        <f t="shared" si="3"/>
        <v>15146.27414903404</v>
      </c>
      <c r="AA31" s="23">
        <v>6.4</v>
      </c>
      <c r="AB31">
        <v>125</v>
      </c>
      <c r="AC31" s="26">
        <f t="shared" si="4"/>
        <v>2.3744000000000001</v>
      </c>
      <c r="AD31" s="60">
        <f t="shared" si="5"/>
        <v>2.15633423180593E-2</v>
      </c>
    </row>
    <row r="32" spans="1:30" x14ac:dyDescent="0.3">
      <c r="A32">
        <v>83</v>
      </c>
      <c r="B32" s="13">
        <v>65061</v>
      </c>
      <c r="C32" s="61">
        <v>15</v>
      </c>
      <c r="D32" s="56">
        <v>2</v>
      </c>
      <c r="E32" s="24">
        <v>512</v>
      </c>
      <c r="F32" s="25">
        <v>476.5</v>
      </c>
      <c r="G32" s="25">
        <f t="shared" si="0"/>
        <v>35.5</v>
      </c>
      <c r="H32">
        <v>110911290</v>
      </c>
      <c r="I32">
        <v>1109108</v>
      </c>
      <c r="J32">
        <v>300.89999999999998</v>
      </c>
      <c r="K32">
        <v>301.2</v>
      </c>
      <c r="L32">
        <v>5</v>
      </c>
      <c r="M32">
        <v>317</v>
      </c>
      <c r="N32" t="s">
        <v>101</v>
      </c>
      <c r="O32">
        <v>2</v>
      </c>
      <c r="P32" t="s">
        <v>19</v>
      </c>
      <c r="Q32" s="20">
        <v>44256.447893518518</v>
      </c>
      <c r="R32">
        <v>10</v>
      </c>
      <c r="S32">
        <v>317</v>
      </c>
      <c r="T32">
        <f t="shared" si="1"/>
        <v>307</v>
      </c>
      <c r="U32">
        <v>51.65</v>
      </c>
      <c r="V32" s="21">
        <v>44256</v>
      </c>
      <c r="W32" s="17">
        <f t="shared" si="2"/>
        <v>0.58828124999999998</v>
      </c>
      <c r="X32">
        <v>21.39</v>
      </c>
      <c r="Y32">
        <f>45*21*15</f>
        <v>14175</v>
      </c>
      <c r="Z32" s="26">
        <f t="shared" si="3"/>
        <v>13040.478380864766</v>
      </c>
      <c r="AA32">
        <v>5.4</v>
      </c>
      <c r="AB32">
        <v>121</v>
      </c>
      <c r="AC32" s="26">
        <f t="shared" si="4"/>
        <v>2.4892561983471073</v>
      </c>
      <c r="AD32" s="60">
        <f t="shared" si="5"/>
        <v>1.7928286852589643E-2</v>
      </c>
    </row>
    <row r="33" spans="1:30" x14ac:dyDescent="0.3">
      <c r="A33">
        <v>115</v>
      </c>
      <c r="B33" s="13">
        <v>66755</v>
      </c>
      <c r="C33" s="61">
        <v>12</v>
      </c>
      <c r="D33" s="56">
        <v>2</v>
      </c>
      <c r="E33" s="24">
        <v>504</v>
      </c>
      <c r="F33" s="25">
        <v>474.5</v>
      </c>
      <c r="G33" s="25">
        <f t="shared" si="0"/>
        <v>29.5</v>
      </c>
      <c r="H33">
        <v>110911322</v>
      </c>
      <c r="I33">
        <v>1109108</v>
      </c>
      <c r="J33">
        <v>290.10000000000002</v>
      </c>
      <c r="K33">
        <v>291.60000000000002</v>
      </c>
      <c r="L33">
        <v>4</v>
      </c>
      <c r="M33">
        <v>306</v>
      </c>
      <c r="N33" t="s">
        <v>133</v>
      </c>
      <c r="O33">
        <v>2</v>
      </c>
      <c r="P33" t="s">
        <v>19</v>
      </c>
      <c r="Q33" s="20">
        <v>44256.50440972222</v>
      </c>
      <c r="R33">
        <v>10</v>
      </c>
      <c r="S33">
        <v>306</v>
      </c>
      <c r="T33">
        <f t="shared" si="1"/>
        <v>296</v>
      </c>
      <c r="U33">
        <v>51.65</v>
      </c>
      <c r="V33" s="21">
        <v>44256</v>
      </c>
      <c r="W33" s="17">
        <f t="shared" si="2"/>
        <v>0.57857142857142863</v>
      </c>
      <c r="X33">
        <v>15.63</v>
      </c>
      <c r="Y33">
        <f>49*23*13</f>
        <v>14651</v>
      </c>
      <c r="Z33" s="26">
        <f t="shared" si="3"/>
        <v>13478.38086476541</v>
      </c>
      <c r="AA33">
        <v>5.6</v>
      </c>
      <c r="AB33">
        <v>122</v>
      </c>
      <c r="AC33" s="26">
        <f t="shared" si="4"/>
        <v>2.3901639344262295</v>
      </c>
      <c r="AD33" s="60">
        <f t="shared" si="5"/>
        <v>1.9204389574759943E-2</v>
      </c>
    </row>
    <row r="34" spans="1:30" x14ac:dyDescent="0.3">
      <c r="A34">
        <v>87</v>
      </c>
      <c r="B34" s="13">
        <v>72858</v>
      </c>
      <c r="C34" s="61">
        <v>12</v>
      </c>
      <c r="D34" s="56">
        <v>2</v>
      </c>
      <c r="E34" s="24">
        <v>437</v>
      </c>
      <c r="F34" s="25">
        <v>408.5</v>
      </c>
      <c r="G34" s="25">
        <f t="shared" ref="G34:G65" si="6">E34-F34</f>
        <v>28.5</v>
      </c>
      <c r="H34">
        <v>110911294</v>
      </c>
      <c r="I34">
        <v>1109108</v>
      </c>
      <c r="J34">
        <v>247.5</v>
      </c>
      <c r="K34">
        <v>247.8</v>
      </c>
      <c r="L34">
        <v>3</v>
      </c>
      <c r="M34">
        <v>262.60000000000002</v>
      </c>
      <c r="N34" t="s">
        <v>105</v>
      </c>
      <c r="O34">
        <v>2</v>
      </c>
      <c r="P34" t="s">
        <v>19</v>
      </c>
      <c r="Q34" s="20">
        <v>44256.450949074075</v>
      </c>
      <c r="R34">
        <v>10</v>
      </c>
      <c r="S34">
        <v>262.60000000000002</v>
      </c>
      <c r="T34">
        <f t="shared" ref="T34:T65" si="7">S34-10</f>
        <v>252.60000000000002</v>
      </c>
      <c r="U34">
        <v>51.65</v>
      </c>
      <c r="V34" s="21">
        <v>44256</v>
      </c>
      <c r="W34" s="17">
        <f t="shared" ref="W34:W65" si="8">K34/E34</f>
        <v>0.56704805491990851</v>
      </c>
      <c r="X34">
        <v>11.53</v>
      </c>
      <c r="Y34">
        <f>49*20*14</f>
        <v>13720</v>
      </c>
      <c r="Z34" s="26">
        <f t="shared" ref="Z34:Z65" si="9">(Y34/1.087)</f>
        <v>12621.895124195033</v>
      </c>
      <c r="AA34">
        <v>5.2</v>
      </c>
      <c r="AB34">
        <v>118</v>
      </c>
      <c r="AC34" s="26">
        <f t="shared" ref="AC34:AC65" si="10">K34/AB34</f>
        <v>2.1</v>
      </c>
      <c r="AD34" s="60">
        <f t="shared" ref="AD34:AD65" si="11">AA34/K34</f>
        <v>2.0984665052461663E-2</v>
      </c>
    </row>
    <row r="35" spans="1:30" x14ac:dyDescent="0.3">
      <c r="A35">
        <v>112</v>
      </c>
      <c r="B35" s="13">
        <v>75568</v>
      </c>
      <c r="C35" s="61">
        <v>19</v>
      </c>
      <c r="D35" s="56">
        <v>2</v>
      </c>
      <c r="E35" s="24">
        <v>465</v>
      </c>
      <c r="F35" s="25">
        <v>435</v>
      </c>
      <c r="G35" s="25">
        <f t="shared" si="6"/>
        <v>30</v>
      </c>
      <c r="H35">
        <v>110911319</v>
      </c>
      <c r="I35">
        <v>1109108</v>
      </c>
      <c r="J35">
        <v>260.7</v>
      </c>
      <c r="K35">
        <v>259.8</v>
      </c>
      <c r="L35">
        <v>4</v>
      </c>
      <c r="M35">
        <v>276</v>
      </c>
      <c r="N35" t="s">
        <v>130</v>
      </c>
      <c r="O35">
        <v>2</v>
      </c>
      <c r="P35" t="s">
        <v>19</v>
      </c>
      <c r="Q35" s="20">
        <v>44256.502326388887</v>
      </c>
      <c r="R35">
        <v>10</v>
      </c>
      <c r="S35">
        <v>276</v>
      </c>
      <c r="T35">
        <f t="shared" si="7"/>
        <v>266</v>
      </c>
      <c r="U35">
        <v>51.65</v>
      </c>
      <c r="V35" s="21">
        <v>44256</v>
      </c>
      <c r="W35" s="17">
        <f t="shared" si="8"/>
        <v>0.55870967741935484</v>
      </c>
      <c r="X35">
        <v>7.66</v>
      </c>
      <c r="Y35">
        <f>50*20*15</f>
        <v>15000</v>
      </c>
      <c r="Z35" s="26">
        <f t="shared" si="9"/>
        <v>13799.448022079117</v>
      </c>
      <c r="AA35" s="23">
        <v>5.6</v>
      </c>
      <c r="AB35">
        <v>122</v>
      </c>
      <c r="AC35" s="26">
        <f t="shared" si="10"/>
        <v>2.1295081967213116</v>
      </c>
      <c r="AD35" s="60">
        <f t="shared" si="11"/>
        <v>2.1555042340261739E-2</v>
      </c>
    </row>
    <row r="36" spans="1:30" x14ac:dyDescent="0.3">
      <c r="A36">
        <v>99</v>
      </c>
      <c r="B36" s="13">
        <v>75885</v>
      </c>
      <c r="C36" s="61">
        <v>19</v>
      </c>
      <c r="D36" s="56">
        <v>2</v>
      </c>
      <c r="E36" s="24">
        <v>472</v>
      </c>
      <c r="F36" s="25">
        <v>437</v>
      </c>
      <c r="G36" s="25">
        <f t="shared" si="6"/>
        <v>35</v>
      </c>
      <c r="H36">
        <v>110911306</v>
      </c>
      <c r="I36">
        <v>1109108</v>
      </c>
      <c r="J36">
        <v>275.60000000000002</v>
      </c>
      <c r="K36">
        <v>275.39999999999998</v>
      </c>
      <c r="L36">
        <v>3</v>
      </c>
      <c r="M36">
        <v>291.2</v>
      </c>
      <c r="N36" t="s">
        <v>117</v>
      </c>
      <c r="O36">
        <v>2</v>
      </c>
      <c r="P36" t="s">
        <v>19</v>
      </c>
      <c r="Q36" s="20">
        <v>44256.462129629632</v>
      </c>
      <c r="R36">
        <v>10</v>
      </c>
      <c r="S36">
        <v>291.2</v>
      </c>
      <c r="T36">
        <f t="shared" si="7"/>
        <v>281.2</v>
      </c>
      <c r="U36">
        <v>51.65</v>
      </c>
      <c r="V36" s="21">
        <v>44256</v>
      </c>
      <c r="W36" s="17">
        <f t="shared" si="8"/>
        <v>0.58347457627118637</v>
      </c>
      <c r="X36">
        <v>10.37</v>
      </c>
      <c r="Y36">
        <f>49*19*11</f>
        <v>10241</v>
      </c>
      <c r="Z36" s="26">
        <f t="shared" si="9"/>
        <v>9421.3431462741501</v>
      </c>
      <c r="AA36">
        <v>5.6</v>
      </c>
      <c r="AB36">
        <v>124</v>
      </c>
      <c r="AC36" s="26">
        <f t="shared" si="10"/>
        <v>2.2209677419354836</v>
      </c>
      <c r="AD36" s="60">
        <f t="shared" si="11"/>
        <v>2.0334059549745823E-2</v>
      </c>
    </row>
    <row r="37" spans="1:30" x14ac:dyDescent="0.3">
      <c r="A37">
        <v>94</v>
      </c>
      <c r="B37" s="13">
        <v>76314</v>
      </c>
      <c r="C37" s="61">
        <v>6</v>
      </c>
      <c r="D37" s="56">
        <v>2</v>
      </c>
      <c r="E37" s="24">
        <v>512</v>
      </c>
      <c r="F37" s="25">
        <v>481</v>
      </c>
      <c r="G37" s="25">
        <f t="shared" si="6"/>
        <v>31</v>
      </c>
      <c r="H37">
        <v>110911301</v>
      </c>
      <c r="I37">
        <v>1109108</v>
      </c>
      <c r="J37">
        <v>288.3</v>
      </c>
      <c r="K37">
        <v>285.8</v>
      </c>
      <c r="L37">
        <v>4</v>
      </c>
      <c r="M37">
        <v>304.2</v>
      </c>
      <c r="N37" t="s">
        <v>112</v>
      </c>
      <c r="O37">
        <v>2</v>
      </c>
      <c r="P37" t="s">
        <v>19</v>
      </c>
      <c r="Q37" s="20">
        <v>44256.45857638889</v>
      </c>
      <c r="R37">
        <v>10</v>
      </c>
      <c r="S37">
        <v>304.2</v>
      </c>
      <c r="T37">
        <f t="shared" si="7"/>
        <v>294.2</v>
      </c>
      <c r="U37">
        <v>51.65</v>
      </c>
      <c r="V37" s="21">
        <v>44256</v>
      </c>
      <c r="W37" s="17">
        <f t="shared" si="8"/>
        <v>0.55820312500000002</v>
      </c>
      <c r="X37">
        <v>10.49</v>
      </c>
      <c r="Y37">
        <f>53*22*11</f>
        <v>12826</v>
      </c>
      <c r="Z37" s="26">
        <f t="shared" si="9"/>
        <v>11799.448022079117</v>
      </c>
      <c r="AA37">
        <v>6.7</v>
      </c>
      <c r="AB37">
        <v>125</v>
      </c>
      <c r="AC37" s="26">
        <f t="shared" si="10"/>
        <v>2.2864</v>
      </c>
      <c r="AD37" s="60">
        <f t="shared" si="11"/>
        <v>2.3442967109867041E-2</v>
      </c>
    </row>
    <row r="38" spans="1:30" x14ac:dyDescent="0.3">
      <c r="A38">
        <v>77</v>
      </c>
      <c r="B38" s="13">
        <v>79409</v>
      </c>
      <c r="C38" s="61">
        <v>3</v>
      </c>
      <c r="D38" s="56">
        <v>2</v>
      </c>
      <c r="E38" s="24">
        <v>470</v>
      </c>
      <c r="F38" s="25">
        <v>438.5</v>
      </c>
      <c r="G38" s="25">
        <f t="shared" si="6"/>
        <v>31.5</v>
      </c>
      <c r="H38">
        <v>110911284</v>
      </c>
      <c r="I38">
        <v>1109108</v>
      </c>
      <c r="J38">
        <v>272.2</v>
      </c>
      <c r="K38">
        <v>272.60000000000002</v>
      </c>
      <c r="L38">
        <v>4</v>
      </c>
      <c r="M38">
        <v>287.8</v>
      </c>
      <c r="N38" t="s">
        <v>95</v>
      </c>
      <c r="O38">
        <v>2</v>
      </c>
      <c r="P38" t="s">
        <v>19</v>
      </c>
      <c r="Q38" s="20">
        <v>44256.44290509259</v>
      </c>
      <c r="R38">
        <v>10</v>
      </c>
      <c r="S38">
        <v>287.8</v>
      </c>
      <c r="T38">
        <f t="shared" si="7"/>
        <v>277.8</v>
      </c>
      <c r="U38">
        <v>51.65</v>
      </c>
      <c r="V38" s="21">
        <v>44256</v>
      </c>
      <c r="W38" s="17">
        <f t="shared" si="8"/>
        <v>0.58000000000000007</v>
      </c>
      <c r="X38">
        <v>12.23</v>
      </c>
      <c r="Y38">
        <f>48*19*14</f>
        <v>12768</v>
      </c>
      <c r="Z38" s="26">
        <f t="shared" si="9"/>
        <v>11746.090156393744</v>
      </c>
      <c r="AA38">
        <v>5.4</v>
      </c>
      <c r="AB38">
        <v>125</v>
      </c>
      <c r="AC38" s="26">
        <f t="shared" si="10"/>
        <v>2.1808000000000001</v>
      </c>
      <c r="AD38" s="60">
        <f t="shared" si="11"/>
        <v>1.9809244314013204E-2</v>
      </c>
    </row>
    <row r="39" spans="1:30" x14ac:dyDescent="0.3">
      <c r="A39">
        <v>113</v>
      </c>
      <c r="B39" s="13">
        <v>79904</v>
      </c>
      <c r="C39" s="61">
        <v>19</v>
      </c>
      <c r="D39" s="56">
        <v>2</v>
      </c>
      <c r="E39" s="24">
        <v>524</v>
      </c>
      <c r="F39" s="25">
        <v>482</v>
      </c>
      <c r="G39" s="25">
        <f t="shared" si="6"/>
        <v>42</v>
      </c>
      <c r="H39">
        <v>110911320</v>
      </c>
      <c r="I39">
        <v>1109108</v>
      </c>
      <c r="J39">
        <v>306.2</v>
      </c>
      <c r="K39">
        <v>309.60000000000002</v>
      </c>
      <c r="L39">
        <v>5</v>
      </c>
      <c r="M39">
        <v>322.39999999999998</v>
      </c>
      <c r="N39" t="s">
        <v>131</v>
      </c>
      <c r="O39">
        <v>2</v>
      </c>
      <c r="P39" t="s">
        <v>19</v>
      </c>
      <c r="Q39" s="20">
        <v>44256.502928240741</v>
      </c>
      <c r="R39">
        <v>10</v>
      </c>
      <c r="S39">
        <v>322.39999999999998</v>
      </c>
      <c r="T39">
        <f t="shared" si="7"/>
        <v>312.39999999999998</v>
      </c>
      <c r="U39">
        <v>51.65</v>
      </c>
      <c r="V39" s="21">
        <v>44256</v>
      </c>
      <c r="W39" s="17">
        <f t="shared" si="8"/>
        <v>0.59083969465648856</v>
      </c>
      <c r="X39">
        <v>18.84</v>
      </c>
      <c r="Y39">
        <f>49*18*10</f>
        <v>8820</v>
      </c>
      <c r="Z39" s="26">
        <f t="shared" si="9"/>
        <v>8114.0754369825208</v>
      </c>
      <c r="AA39">
        <v>5.6</v>
      </c>
      <c r="AB39">
        <v>126</v>
      </c>
      <c r="AC39" s="26">
        <f t="shared" si="10"/>
        <v>2.4571428571428573</v>
      </c>
      <c r="AD39" s="60">
        <f t="shared" si="11"/>
        <v>1.8087855297157621E-2</v>
      </c>
    </row>
    <row r="40" spans="1:30" x14ac:dyDescent="0.3">
      <c r="A40">
        <v>82</v>
      </c>
      <c r="B40" s="13">
        <v>81119</v>
      </c>
      <c r="C40" s="61">
        <v>3</v>
      </c>
      <c r="D40" s="56">
        <v>2</v>
      </c>
      <c r="E40" s="24">
        <v>467</v>
      </c>
      <c r="F40" s="25">
        <v>432.5</v>
      </c>
      <c r="G40" s="25">
        <f t="shared" si="6"/>
        <v>34.5</v>
      </c>
      <c r="H40">
        <v>110911289</v>
      </c>
      <c r="I40">
        <v>1109108</v>
      </c>
      <c r="J40">
        <v>260.89999999999998</v>
      </c>
      <c r="K40">
        <v>260.60000000000002</v>
      </c>
      <c r="L40">
        <v>3</v>
      </c>
      <c r="M40">
        <v>276.2</v>
      </c>
      <c r="N40" t="s">
        <v>100</v>
      </c>
      <c r="O40">
        <v>3</v>
      </c>
      <c r="P40" t="s">
        <v>21</v>
      </c>
      <c r="Q40" s="20">
        <v>44256.44699074074</v>
      </c>
      <c r="R40">
        <v>10</v>
      </c>
      <c r="S40">
        <v>276.2</v>
      </c>
      <c r="T40">
        <f t="shared" si="7"/>
        <v>266.2</v>
      </c>
      <c r="U40">
        <v>51.65</v>
      </c>
      <c r="V40" s="21">
        <v>44256</v>
      </c>
      <c r="W40" s="17">
        <f t="shared" si="8"/>
        <v>0.55802997858672376</v>
      </c>
      <c r="X40">
        <v>11.31</v>
      </c>
      <c r="Y40">
        <f>52*20*13</f>
        <v>13520</v>
      </c>
      <c r="Z40" s="26">
        <f t="shared" si="9"/>
        <v>12437.902483900645</v>
      </c>
      <c r="AA40">
        <v>5.7</v>
      </c>
      <c r="AB40">
        <v>120</v>
      </c>
      <c r="AC40" s="26">
        <f t="shared" si="10"/>
        <v>2.1716666666666669</v>
      </c>
      <c r="AD40" s="60">
        <f t="shared" si="11"/>
        <v>2.1872601688411358E-2</v>
      </c>
    </row>
    <row r="41" spans="1:30" x14ac:dyDescent="0.3">
      <c r="A41">
        <v>96</v>
      </c>
      <c r="B41" s="13">
        <v>81663</v>
      </c>
      <c r="C41" s="61">
        <v>3</v>
      </c>
      <c r="D41" s="56">
        <v>2</v>
      </c>
      <c r="E41" s="24">
        <v>545</v>
      </c>
      <c r="F41" s="25">
        <v>491.5</v>
      </c>
      <c r="G41" s="25">
        <f t="shared" si="6"/>
        <v>53.5</v>
      </c>
      <c r="H41">
        <v>110911303</v>
      </c>
      <c r="I41">
        <v>1109108</v>
      </c>
      <c r="J41">
        <v>292</v>
      </c>
      <c r="K41">
        <v>293.60000000000002</v>
      </c>
      <c r="L41">
        <v>3</v>
      </c>
      <c r="M41">
        <v>308</v>
      </c>
      <c r="N41" t="s">
        <v>114</v>
      </c>
      <c r="O41">
        <v>2</v>
      </c>
      <c r="P41" t="s">
        <v>19</v>
      </c>
      <c r="Q41" s="20">
        <v>44256.460034722222</v>
      </c>
      <c r="R41">
        <v>10</v>
      </c>
      <c r="S41">
        <v>308</v>
      </c>
      <c r="T41">
        <f t="shared" si="7"/>
        <v>298</v>
      </c>
      <c r="U41">
        <v>51.65</v>
      </c>
      <c r="V41" s="21">
        <v>44256</v>
      </c>
      <c r="W41" s="17">
        <f t="shared" si="8"/>
        <v>0.53871559633027533</v>
      </c>
      <c r="X41">
        <v>17.489999999999998</v>
      </c>
      <c r="Y41">
        <f>49*20*11</f>
        <v>10780</v>
      </c>
      <c r="Z41" s="26">
        <f t="shared" si="9"/>
        <v>9917.2033118675263</v>
      </c>
      <c r="AA41">
        <v>5.9</v>
      </c>
      <c r="AB41">
        <v>126</v>
      </c>
      <c r="AC41" s="26">
        <f t="shared" si="10"/>
        <v>2.3301587301587303</v>
      </c>
      <c r="AD41" s="60">
        <f t="shared" si="11"/>
        <v>2.0095367847411442E-2</v>
      </c>
    </row>
    <row r="42" spans="1:30" x14ac:dyDescent="0.3">
      <c r="A42">
        <v>79</v>
      </c>
      <c r="B42" s="13">
        <v>82279</v>
      </c>
      <c r="C42" s="61">
        <v>6</v>
      </c>
      <c r="D42" s="56">
        <v>2</v>
      </c>
      <c r="E42" s="24">
        <v>474</v>
      </c>
      <c r="F42" s="25">
        <v>433.5</v>
      </c>
      <c r="G42" s="25">
        <f t="shared" si="6"/>
        <v>40.5</v>
      </c>
      <c r="H42">
        <v>110911286</v>
      </c>
      <c r="I42">
        <v>1109108</v>
      </c>
      <c r="J42">
        <v>255.8</v>
      </c>
      <c r="K42">
        <v>254.8</v>
      </c>
      <c r="L42">
        <v>3</v>
      </c>
      <c r="M42">
        <v>271</v>
      </c>
      <c r="N42" t="s">
        <v>97</v>
      </c>
      <c r="O42">
        <v>2</v>
      </c>
      <c r="P42" t="s">
        <v>19</v>
      </c>
      <c r="Q42" s="20">
        <v>44256.444756944446</v>
      </c>
      <c r="R42">
        <v>10</v>
      </c>
      <c r="S42">
        <v>271</v>
      </c>
      <c r="T42">
        <f t="shared" si="7"/>
        <v>261</v>
      </c>
      <c r="U42">
        <v>51.65</v>
      </c>
      <c r="V42" s="21">
        <v>44256</v>
      </c>
      <c r="W42" s="17">
        <f t="shared" si="8"/>
        <v>0.53755274261603381</v>
      </c>
      <c r="X42">
        <v>14.01</v>
      </c>
      <c r="Y42">
        <f>47*20*10</f>
        <v>9400</v>
      </c>
      <c r="Z42" s="26">
        <f t="shared" si="9"/>
        <v>8647.6540938362468</v>
      </c>
      <c r="AA42">
        <v>4.5</v>
      </c>
      <c r="AB42">
        <v>121</v>
      </c>
      <c r="AC42" s="26">
        <f t="shared" si="10"/>
        <v>2.1057851239669421</v>
      </c>
      <c r="AD42" s="60">
        <f t="shared" si="11"/>
        <v>1.7660910518053373E-2</v>
      </c>
    </row>
    <row r="43" spans="1:30" x14ac:dyDescent="0.3">
      <c r="A43">
        <v>90</v>
      </c>
      <c r="B43" s="13">
        <v>84278</v>
      </c>
      <c r="C43" s="61">
        <v>12</v>
      </c>
      <c r="D43" s="56">
        <v>2</v>
      </c>
      <c r="E43" s="24">
        <v>525</v>
      </c>
      <c r="F43" s="25">
        <v>490</v>
      </c>
      <c r="G43" s="25">
        <f t="shared" si="6"/>
        <v>35</v>
      </c>
      <c r="H43">
        <v>110911297</v>
      </c>
      <c r="I43">
        <v>1109108</v>
      </c>
      <c r="J43">
        <v>302</v>
      </c>
      <c r="K43">
        <v>302.39999999999998</v>
      </c>
      <c r="L43">
        <v>4</v>
      </c>
      <c r="M43">
        <v>318.2</v>
      </c>
      <c r="N43" t="s">
        <v>108</v>
      </c>
      <c r="O43">
        <v>2</v>
      </c>
      <c r="P43" t="s">
        <v>19</v>
      </c>
      <c r="Q43" s="20">
        <v>44256.455567129633</v>
      </c>
      <c r="R43">
        <v>10</v>
      </c>
      <c r="S43">
        <v>318.2</v>
      </c>
      <c r="T43">
        <f t="shared" si="7"/>
        <v>308.2</v>
      </c>
      <c r="U43">
        <v>51.65</v>
      </c>
      <c r="V43" s="21">
        <v>44256</v>
      </c>
      <c r="W43" s="17">
        <f t="shared" si="8"/>
        <v>0.57599999999999996</v>
      </c>
      <c r="X43">
        <v>17.18</v>
      </c>
      <c r="Y43">
        <f>50*19*14</f>
        <v>13300</v>
      </c>
      <c r="Z43" s="26">
        <f t="shared" si="9"/>
        <v>12235.510579576818</v>
      </c>
      <c r="AA43">
        <v>6.9</v>
      </c>
      <c r="AB43">
        <v>122</v>
      </c>
      <c r="AC43" s="26">
        <f t="shared" si="10"/>
        <v>2.4786885245901638</v>
      </c>
      <c r="AD43" s="60">
        <f t="shared" si="11"/>
        <v>2.281746031746032E-2</v>
      </c>
    </row>
    <row r="44" spans="1:30" x14ac:dyDescent="0.3">
      <c r="A44">
        <v>84</v>
      </c>
      <c r="B44" s="13">
        <v>84283</v>
      </c>
      <c r="C44" s="61">
        <v>3</v>
      </c>
      <c r="D44" s="56">
        <v>2</v>
      </c>
      <c r="E44" s="24">
        <v>522</v>
      </c>
      <c r="F44" s="25">
        <v>493.5</v>
      </c>
      <c r="G44" s="25">
        <f t="shared" si="6"/>
        <v>28.5</v>
      </c>
      <c r="H44">
        <v>110911291</v>
      </c>
      <c r="I44">
        <v>1109108</v>
      </c>
      <c r="J44">
        <v>280.7</v>
      </c>
      <c r="K44">
        <v>280.8</v>
      </c>
      <c r="L44">
        <v>3</v>
      </c>
      <c r="M44">
        <v>296.39999999999998</v>
      </c>
      <c r="N44" t="s">
        <v>102</v>
      </c>
      <c r="O44">
        <v>3</v>
      </c>
      <c r="P44" t="s">
        <v>21</v>
      </c>
      <c r="Q44" s="20">
        <v>44256.448738425926</v>
      </c>
      <c r="R44">
        <v>10</v>
      </c>
      <c r="S44">
        <v>296.39999999999998</v>
      </c>
      <c r="T44">
        <f t="shared" si="7"/>
        <v>286.39999999999998</v>
      </c>
      <c r="U44">
        <v>51.65</v>
      </c>
      <c r="V44" s="21">
        <v>44256</v>
      </c>
      <c r="W44" s="17">
        <f t="shared" si="8"/>
        <v>0.5379310344827587</v>
      </c>
      <c r="X44">
        <v>16.68</v>
      </c>
      <c r="Y44">
        <f>48*20*13</f>
        <v>12480</v>
      </c>
      <c r="Z44" s="26">
        <f t="shared" si="9"/>
        <v>11481.140754369826</v>
      </c>
      <c r="AA44">
        <v>5.0999999999999996</v>
      </c>
      <c r="AB44">
        <v>128</v>
      </c>
      <c r="AC44" s="26">
        <f t="shared" si="10"/>
        <v>2.1937500000000001</v>
      </c>
      <c r="AD44" s="60">
        <f t="shared" si="11"/>
        <v>1.816239316239316E-2</v>
      </c>
    </row>
    <row r="45" spans="1:30" x14ac:dyDescent="0.3">
      <c r="A45">
        <v>106</v>
      </c>
      <c r="B45" s="13">
        <v>84504</v>
      </c>
      <c r="C45" s="61">
        <v>6</v>
      </c>
      <c r="D45" s="56">
        <v>2</v>
      </c>
      <c r="E45" s="24">
        <v>482</v>
      </c>
      <c r="F45" s="25">
        <v>446.5</v>
      </c>
      <c r="G45" s="25">
        <f t="shared" si="6"/>
        <v>35.5</v>
      </c>
      <c r="H45">
        <v>110911313</v>
      </c>
      <c r="I45">
        <v>1109108</v>
      </c>
      <c r="J45">
        <v>262.60000000000002</v>
      </c>
      <c r="K45">
        <v>264.2</v>
      </c>
      <c r="L45">
        <v>4</v>
      </c>
      <c r="M45">
        <v>278</v>
      </c>
      <c r="N45" t="s">
        <v>124</v>
      </c>
      <c r="O45">
        <v>2</v>
      </c>
      <c r="P45" t="s">
        <v>19</v>
      </c>
      <c r="Q45" s="20">
        <v>44256.496805555558</v>
      </c>
      <c r="R45">
        <v>10</v>
      </c>
      <c r="S45">
        <v>278</v>
      </c>
      <c r="T45">
        <f t="shared" si="7"/>
        <v>268</v>
      </c>
      <c r="U45">
        <v>51.65</v>
      </c>
      <c r="V45" s="21">
        <v>44256</v>
      </c>
      <c r="W45" s="17">
        <f t="shared" si="8"/>
        <v>0.54813278008298749</v>
      </c>
      <c r="X45">
        <v>15.13</v>
      </c>
      <c r="Y45">
        <f>47*22*10</f>
        <v>10340</v>
      </c>
      <c r="Z45" s="26">
        <f t="shared" si="9"/>
        <v>9512.4195032198713</v>
      </c>
      <c r="AA45">
        <v>5.9</v>
      </c>
      <c r="AB45">
        <v>125</v>
      </c>
      <c r="AC45" s="26">
        <f t="shared" si="10"/>
        <v>2.1135999999999999</v>
      </c>
      <c r="AD45" s="60">
        <f t="shared" si="11"/>
        <v>2.2331566994700985E-2</v>
      </c>
    </row>
    <row r="46" spans="1:30" x14ac:dyDescent="0.3">
      <c r="A46">
        <v>108</v>
      </c>
      <c r="B46" s="13">
        <v>84588</v>
      </c>
      <c r="C46" s="61">
        <v>12</v>
      </c>
      <c r="D46" s="56">
        <v>2</v>
      </c>
      <c r="E46" s="24">
        <v>482</v>
      </c>
      <c r="F46" s="25">
        <v>461.5</v>
      </c>
      <c r="G46" s="25">
        <f t="shared" si="6"/>
        <v>20.5</v>
      </c>
      <c r="H46">
        <v>110911315</v>
      </c>
      <c r="I46">
        <v>1109108</v>
      </c>
      <c r="J46">
        <v>281.7</v>
      </c>
      <c r="K46">
        <v>282.8</v>
      </c>
      <c r="L46">
        <v>3</v>
      </c>
      <c r="M46">
        <v>297.39999999999998</v>
      </c>
      <c r="N46" t="s">
        <v>126</v>
      </c>
      <c r="O46">
        <v>3</v>
      </c>
      <c r="P46" t="s">
        <v>21</v>
      </c>
      <c r="Q46" s="20">
        <v>44256.499560185184</v>
      </c>
      <c r="R46">
        <v>10</v>
      </c>
      <c r="S46">
        <v>297.39999999999998</v>
      </c>
      <c r="T46">
        <f t="shared" si="7"/>
        <v>287.39999999999998</v>
      </c>
      <c r="U46">
        <v>51.65</v>
      </c>
      <c r="V46" s="21">
        <v>44256</v>
      </c>
      <c r="W46" s="17">
        <f t="shared" si="8"/>
        <v>0.58672199170124484</v>
      </c>
      <c r="X46">
        <v>14.45</v>
      </c>
      <c r="Y46">
        <f>47*21*12</f>
        <v>11844</v>
      </c>
      <c r="Z46" s="26">
        <f t="shared" si="9"/>
        <v>10896.044158233672</v>
      </c>
      <c r="AA46">
        <v>6.8</v>
      </c>
      <c r="AB46">
        <v>120</v>
      </c>
      <c r="AC46" s="26">
        <f t="shared" si="10"/>
        <v>2.3566666666666669</v>
      </c>
      <c r="AD46" s="60">
        <f t="shared" si="11"/>
        <v>2.4045261669024043E-2</v>
      </c>
    </row>
    <row r="47" spans="1:30" x14ac:dyDescent="0.3">
      <c r="A47">
        <v>101</v>
      </c>
      <c r="B47" s="13">
        <v>85178</v>
      </c>
      <c r="C47" s="61">
        <v>19</v>
      </c>
      <c r="D47" s="56">
        <v>2</v>
      </c>
      <c r="E47" s="24">
        <v>538</v>
      </c>
      <c r="F47" s="25">
        <v>500.5</v>
      </c>
      <c r="G47" s="25">
        <f t="shared" si="6"/>
        <v>37.5</v>
      </c>
      <c r="H47">
        <v>110911308</v>
      </c>
      <c r="I47">
        <v>1109108</v>
      </c>
      <c r="J47">
        <v>307.7</v>
      </c>
      <c r="K47">
        <v>307</v>
      </c>
      <c r="L47">
        <v>4</v>
      </c>
      <c r="M47">
        <v>324</v>
      </c>
      <c r="N47" t="s">
        <v>119</v>
      </c>
      <c r="O47">
        <v>2</v>
      </c>
      <c r="P47" t="s">
        <v>19</v>
      </c>
      <c r="Q47" s="20">
        <v>44256.463506944441</v>
      </c>
      <c r="R47">
        <v>10</v>
      </c>
      <c r="S47">
        <v>324</v>
      </c>
      <c r="T47">
        <f t="shared" si="7"/>
        <v>314</v>
      </c>
      <c r="U47">
        <v>51.65</v>
      </c>
      <c r="V47" s="21">
        <v>44256</v>
      </c>
      <c r="W47" s="17">
        <f t="shared" si="8"/>
        <v>0.57063197026022305</v>
      </c>
      <c r="X47">
        <v>13.58</v>
      </c>
      <c r="Y47">
        <f>50*20*12</f>
        <v>12000</v>
      </c>
      <c r="Z47" s="26">
        <f t="shared" si="9"/>
        <v>11039.558417663295</v>
      </c>
      <c r="AA47">
        <v>6.7</v>
      </c>
      <c r="AB47">
        <v>127</v>
      </c>
      <c r="AC47" s="26">
        <f t="shared" si="10"/>
        <v>2.4173228346456694</v>
      </c>
      <c r="AD47" s="60">
        <f t="shared" si="11"/>
        <v>2.1824104234527689E-2</v>
      </c>
    </row>
    <row r="48" spans="1:30" x14ac:dyDescent="0.3">
      <c r="A48">
        <v>105</v>
      </c>
      <c r="B48" s="13">
        <v>87884</v>
      </c>
      <c r="C48" s="61">
        <v>15</v>
      </c>
      <c r="D48" s="56">
        <v>2</v>
      </c>
      <c r="E48" s="24">
        <v>558</v>
      </c>
      <c r="F48" s="25">
        <v>522.5</v>
      </c>
      <c r="G48" s="25">
        <f t="shared" si="6"/>
        <v>35.5</v>
      </c>
      <c r="H48">
        <v>110911312</v>
      </c>
      <c r="I48">
        <v>1109108</v>
      </c>
      <c r="J48">
        <v>332.4</v>
      </c>
      <c r="K48">
        <v>333.8</v>
      </c>
      <c r="L48">
        <v>5</v>
      </c>
      <c r="M48">
        <v>349.2</v>
      </c>
      <c r="N48" t="s">
        <v>123</v>
      </c>
      <c r="O48">
        <v>3</v>
      </c>
      <c r="P48" t="s">
        <v>21</v>
      </c>
      <c r="Q48" s="20">
        <v>44256.496099537035</v>
      </c>
      <c r="R48">
        <v>10</v>
      </c>
      <c r="S48">
        <v>349.2</v>
      </c>
      <c r="T48">
        <f t="shared" si="7"/>
        <v>339.2</v>
      </c>
      <c r="U48">
        <v>51.65</v>
      </c>
      <c r="V48" s="21">
        <v>44256</v>
      </c>
      <c r="W48" s="17">
        <f t="shared" si="8"/>
        <v>0.59820788530465951</v>
      </c>
      <c r="X48">
        <v>26.65</v>
      </c>
      <c r="Y48">
        <f>51*21*12</f>
        <v>12852</v>
      </c>
      <c r="Z48" s="26">
        <f t="shared" si="9"/>
        <v>11823.367065317389</v>
      </c>
      <c r="AA48" s="23">
        <v>7.5</v>
      </c>
      <c r="AB48">
        <v>121</v>
      </c>
      <c r="AC48" s="26">
        <f t="shared" si="10"/>
        <v>2.7586776859504134</v>
      </c>
      <c r="AD48" s="60">
        <f t="shared" si="11"/>
        <v>2.2468544038346316E-2</v>
      </c>
    </row>
    <row r="49" spans="1:30" x14ac:dyDescent="0.3">
      <c r="A49">
        <v>80</v>
      </c>
      <c r="B49" s="13">
        <v>96251</v>
      </c>
      <c r="C49" s="61">
        <v>15</v>
      </c>
      <c r="D49" s="56">
        <v>2</v>
      </c>
      <c r="E49" s="24">
        <v>467</v>
      </c>
      <c r="F49" s="25">
        <v>431.5</v>
      </c>
      <c r="G49" s="25">
        <f t="shared" si="6"/>
        <v>35.5</v>
      </c>
      <c r="H49">
        <v>110911287</v>
      </c>
      <c r="I49">
        <v>1109108</v>
      </c>
      <c r="J49">
        <v>269.89999999999998</v>
      </c>
      <c r="K49">
        <v>268</v>
      </c>
      <c r="L49">
        <v>3</v>
      </c>
      <c r="M49">
        <v>285.39999999999998</v>
      </c>
      <c r="N49" t="s">
        <v>98</v>
      </c>
      <c r="O49">
        <v>2</v>
      </c>
      <c r="P49" t="s">
        <v>19</v>
      </c>
      <c r="Q49" s="20">
        <v>44256.445474537039</v>
      </c>
      <c r="R49">
        <v>10</v>
      </c>
      <c r="S49">
        <v>285.39999999999998</v>
      </c>
      <c r="T49">
        <f t="shared" si="7"/>
        <v>275.39999999999998</v>
      </c>
      <c r="U49">
        <v>51.65</v>
      </c>
      <c r="V49" s="21">
        <v>44256</v>
      </c>
      <c r="W49" s="17">
        <f t="shared" si="8"/>
        <v>0.57387580299785867</v>
      </c>
      <c r="X49">
        <v>8.1</v>
      </c>
      <c r="Y49">
        <f>49*20*14</f>
        <v>13720</v>
      </c>
      <c r="Z49" s="26">
        <f t="shared" si="9"/>
        <v>12621.895124195033</v>
      </c>
      <c r="AA49">
        <v>5.3</v>
      </c>
      <c r="AB49">
        <v>118</v>
      </c>
      <c r="AC49" s="26">
        <f t="shared" si="10"/>
        <v>2.2711864406779663</v>
      </c>
      <c r="AD49" s="60">
        <f t="shared" si="11"/>
        <v>1.9776119402985074E-2</v>
      </c>
    </row>
    <row r="50" spans="1:30" x14ac:dyDescent="0.3">
      <c r="A50">
        <v>81</v>
      </c>
      <c r="B50" s="13">
        <v>103443</v>
      </c>
      <c r="C50" s="61">
        <v>15</v>
      </c>
      <c r="D50" s="56">
        <v>2</v>
      </c>
      <c r="E50" s="24">
        <v>540</v>
      </c>
      <c r="F50" s="25">
        <v>497</v>
      </c>
      <c r="G50" s="25">
        <f t="shared" si="6"/>
        <v>43</v>
      </c>
      <c r="H50">
        <v>110911288</v>
      </c>
      <c r="I50">
        <v>1109108</v>
      </c>
      <c r="J50">
        <v>293.2</v>
      </c>
      <c r="K50">
        <v>292.8</v>
      </c>
      <c r="L50">
        <v>3</v>
      </c>
      <c r="M50">
        <v>309.2</v>
      </c>
      <c r="N50" t="s">
        <v>99</v>
      </c>
      <c r="O50">
        <v>2</v>
      </c>
      <c r="P50" t="s">
        <v>19</v>
      </c>
      <c r="Q50" s="20">
        <v>44256.446053240739</v>
      </c>
      <c r="R50">
        <v>10</v>
      </c>
      <c r="S50">
        <v>309.2</v>
      </c>
      <c r="T50">
        <f t="shared" si="7"/>
        <v>299.2</v>
      </c>
      <c r="U50">
        <v>51.65</v>
      </c>
      <c r="V50" s="21">
        <v>44256</v>
      </c>
      <c r="W50" s="17">
        <f t="shared" si="8"/>
        <v>0.54222222222222227</v>
      </c>
      <c r="X50">
        <v>8.59</v>
      </c>
      <c r="Y50">
        <f>50*21*13</f>
        <v>13650</v>
      </c>
      <c r="Z50" s="26">
        <f t="shared" si="9"/>
        <v>12557.497700091997</v>
      </c>
      <c r="AA50">
        <v>5.0999999999999996</v>
      </c>
      <c r="AB50">
        <v>126</v>
      </c>
      <c r="AC50" s="26">
        <f t="shared" si="10"/>
        <v>2.323809523809524</v>
      </c>
      <c r="AD50" s="60">
        <f t="shared" si="11"/>
        <v>1.7418032786885244E-2</v>
      </c>
    </row>
    <row r="51" spans="1:30" x14ac:dyDescent="0.3">
      <c r="A51">
        <v>85</v>
      </c>
      <c r="B51" s="13">
        <v>109193</v>
      </c>
      <c r="C51" s="61">
        <v>15</v>
      </c>
      <c r="D51" s="56">
        <v>2</v>
      </c>
      <c r="E51" s="24">
        <v>437</v>
      </c>
      <c r="F51" s="25">
        <v>412.5</v>
      </c>
      <c r="G51" s="25">
        <f t="shared" si="6"/>
        <v>24.5</v>
      </c>
      <c r="H51">
        <v>110911292</v>
      </c>
      <c r="I51">
        <v>1109108</v>
      </c>
      <c r="J51">
        <v>250.5</v>
      </c>
      <c r="K51">
        <v>250.4</v>
      </c>
      <c r="L51">
        <v>3</v>
      </c>
      <c r="M51">
        <v>265.60000000000002</v>
      </c>
      <c r="N51" t="s">
        <v>103</v>
      </c>
      <c r="O51">
        <v>2</v>
      </c>
      <c r="P51" t="s">
        <v>19</v>
      </c>
      <c r="Q51" s="20">
        <v>44256.449525462966</v>
      </c>
      <c r="R51">
        <v>10</v>
      </c>
      <c r="S51">
        <v>265.60000000000002</v>
      </c>
      <c r="T51">
        <f t="shared" si="7"/>
        <v>255.60000000000002</v>
      </c>
      <c r="U51">
        <v>51.65</v>
      </c>
      <c r="V51" s="21">
        <v>44256</v>
      </c>
      <c r="W51" s="17">
        <f t="shared" si="8"/>
        <v>0.57299771167048053</v>
      </c>
      <c r="X51">
        <v>11.71</v>
      </c>
      <c r="Y51">
        <f>49*18*10</f>
        <v>8820</v>
      </c>
      <c r="Z51" s="26">
        <f t="shared" si="9"/>
        <v>8114.0754369825208</v>
      </c>
      <c r="AA51">
        <v>5</v>
      </c>
      <c r="AB51">
        <v>123</v>
      </c>
      <c r="AC51" s="26">
        <f t="shared" si="10"/>
        <v>2.0357723577235771</v>
      </c>
      <c r="AD51" s="60">
        <f t="shared" si="11"/>
        <v>1.9968051118210862E-2</v>
      </c>
    </row>
    <row r="52" spans="1:30" x14ac:dyDescent="0.3">
      <c r="A52">
        <v>104</v>
      </c>
      <c r="B52" s="13">
        <v>109529</v>
      </c>
      <c r="C52" s="61">
        <v>12</v>
      </c>
      <c r="D52" s="56">
        <v>2</v>
      </c>
      <c r="E52" s="24">
        <v>474</v>
      </c>
      <c r="F52" s="25">
        <v>443.5</v>
      </c>
      <c r="G52" s="25">
        <f t="shared" si="6"/>
        <v>30.5</v>
      </c>
      <c r="H52">
        <v>110911311</v>
      </c>
      <c r="I52">
        <v>1109108</v>
      </c>
      <c r="J52">
        <v>283</v>
      </c>
      <c r="K52">
        <v>283.8</v>
      </c>
      <c r="L52">
        <v>3</v>
      </c>
      <c r="M52">
        <v>298.8</v>
      </c>
      <c r="N52" t="s">
        <v>122</v>
      </c>
      <c r="O52">
        <v>2</v>
      </c>
      <c r="P52" t="s">
        <v>19</v>
      </c>
      <c r="Q52" s="20">
        <v>44256.494756944441</v>
      </c>
      <c r="R52">
        <v>10</v>
      </c>
      <c r="S52">
        <v>298.8</v>
      </c>
      <c r="T52">
        <f t="shared" si="7"/>
        <v>288.8</v>
      </c>
      <c r="U52">
        <v>51.65</v>
      </c>
      <c r="V52" s="21">
        <v>44256</v>
      </c>
      <c r="W52" s="17">
        <f t="shared" si="8"/>
        <v>0.59873417721518984</v>
      </c>
      <c r="X52">
        <v>18.95</v>
      </c>
      <c r="Y52">
        <f>47*18*14</f>
        <v>11844</v>
      </c>
      <c r="Z52" s="26">
        <f t="shared" si="9"/>
        <v>10896.044158233672</v>
      </c>
      <c r="AA52">
        <v>6.6</v>
      </c>
      <c r="AB52">
        <v>122</v>
      </c>
      <c r="AC52" s="26">
        <f t="shared" si="10"/>
        <v>2.3262295081967213</v>
      </c>
      <c r="AD52" s="60">
        <f t="shared" si="11"/>
        <v>2.3255813953488368E-2</v>
      </c>
    </row>
    <row r="53" spans="1:30" x14ac:dyDescent="0.3">
      <c r="A53">
        <v>78</v>
      </c>
      <c r="B53" s="13">
        <v>110541</v>
      </c>
      <c r="C53" s="61">
        <v>3</v>
      </c>
      <c r="D53" s="56">
        <v>2</v>
      </c>
      <c r="E53" s="24">
        <v>534</v>
      </c>
      <c r="F53" s="25">
        <v>493</v>
      </c>
      <c r="G53" s="25">
        <f t="shared" si="6"/>
        <v>41</v>
      </c>
      <c r="H53">
        <v>110911285</v>
      </c>
      <c r="I53">
        <v>1109108</v>
      </c>
      <c r="J53">
        <v>292.8</v>
      </c>
      <c r="K53">
        <v>294.60000000000002</v>
      </c>
      <c r="L53">
        <v>5</v>
      </c>
      <c r="M53">
        <v>308.8</v>
      </c>
      <c r="N53" t="s">
        <v>96</v>
      </c>
      <c r="O53">
        <v>2</v>
      </c>
      <c r="P53" t="s">
        <v>19</v>
      </c>
      <c r="Q53" s="20">
        <v>44256.443854166668</v>
      </c>
      <c r="R53">
        <v>10</v>
      </c>
      <c r="S53">
        <v>308.8</v>
      </c>
      <c r="T53">
        <f t="shared" si="7"/>
        <v>298.8</v>
      </c>
      <c r="U53">
        <v>51.65</v>
      </c>
      <c r="V53" s="21">
        <v>44256</v>
      </c>
      <c r="W53" s="17">
        <f t="shared" si="8"/>
        <v>0.55168539325842703</v>
      </c>
      <c r="X53">
        <v>13.32</v>
      </c>
      <c r="Y53">
        <f>49*22*13</f>
        <v>14014</v>
      </c>
      <c r="Z53" s="26">
        <f t="shared" si="9"/>
        <v>12892.364305427784</v>
      </c>
      <c r="AA53">
        <v>5.2</v>
      </c>
      <c r="AB53">
        <v>123</v>
      </c>
      <c r="AC53" s="26">
        <f t="shared" si="10"/>
        <v>2.3951219512195125</v>
      </c>
      <c r="AD53" s="60">
        <f t="shared" si="11"/>
        <v>1.7651052274270197E-2</v>
      </c>
    </row>
    <row r="54" spans="1:30" x14ac:dyDescent="0.3">
      <c r="A54">
        <v>100</v>
      </c>
      <c r="B54" s="13">
        <v>111545</v>
      </c>
      <c r="C54" s="61">
        <v>6</v>
      </c>
      <c r="D54" s="56">
        <v>2</v>
      </c>
      <c r="E54" s="24">
        <v>455</v>
      </c>
      <c r="F54" s="25">
        <v>424</v>
      </c>
      <c r="G54" s="25">
        <f t="shared" si="6"/>
        <v>31</v>
      </c>
      <c r="H54">
        <v>110911307</v>
      </c>
      <c r="I54">
        <v>1109108</v>
      </c>
      <c r="J54">
        <v>262.60000000000002</v>
      </c>
      <c r="K54">
        <v>262.39999999999998</v>
      </c>
      <c r="L54">
        <v>3</v>
      </c>
      <c r="M54">
        <v>278</v>
      </c>
      <c r="N54" t="s">
        <v>118</v>
      </c>
      <c r="O54">
        <v>3</v>
      </c>
      <c r="P54" t="s">
        <v>21</v>
      </c>
      <c r="Q54" s="20">
        <v>44256.462939814817</v>
      </c>
      <c r="R54">
        <v>10</v>
      </c>
      <c r="S54">
        <v>278</v>
      </c>
      <c r="T54">
        <f t="shared" si="7"/>
        <v>268</v>
      </c>
      <c r="U54">
        <v>51.65</v>
      </c>
      <c r="V54" s="21">
        <v>44256</v>
      </c>
      <c r="W54" s="17">
        <f t="shared" si="8"/>
        <v>0.57670329670329668</v>
      </c>
      <c r="X54">
        <v>12.46</v>
      </c>
      <c r="Y54">
        <f>49*21*14</f>
        <v>14406</v>
      </c>
      <c r="Z54" s="26">
        <f t="shared" si="9"/>
        <v>13252.989880404784</v>
      </c>
      <c r="AA54">
        <v>6.1</v>
      </c>
      <c r="AB54">
        <v>119</v>
      </c>
      <c r="AC54" s="26">
        <f t="shared" si="10"/>
        <v>2.2050420168067224</v>
      </c>
      <c r="AD54" s="60">
        <f t="shared" si="11"/>
        <v>2.3246951219512195E-2</v>
      </c>
    </row>
    <row r="55" spans="1:30" x14ac:dyDescent="0.3">
      <c r="A55">
        <v>93</v>
      </c>
      <c r="B55" s="13">
        <v>111665</v>
      </c>
      <c r="C55" s="61">
        <v>6</v>
      </c>
      <c r="D55" s="56">
        <v>2</v>
      </c>
      <c r="E55" s="24">
        <v>526</v>
      </c>
      <c r="F55" s="25">
        <v>484.5</v>
      </c>
      <c r="G55" s="25">
        <f t="shared" si="6"/>
        <v>41.5</v>
      </c>
      <c r="H55">
        <v>110911300</v>
      </c>
      <c r="I55">
        <v>1109108</v>
      </c>
      <c r="J55">
        <v>296.7</v>
      </c>
      <c r="K55">
        <v>295.60000000000002</v>
      </c>
      <c r="L55">
        <v>3</v>
      </c>
      <c r="M55">
        <v>312.8</v>
      </c>
      <c r="N55" t="s">
        <v>111</v>
      </c>
      <c r="O55">
        <v>2</v>
      </c>
      <c r="P55" t="s">
        <v>19</v>
      </c>
      <c r="Q55" s="20">
        <v>44256.457800925928</v>
      </c>
      <c r="R55">
        <v>10</v>
      </c>
      <c r="S55">
        <v>312.8</v>
      </c>
      <c r="T55">
        <f t="shared" si="7"/>
        <v>302.8</v>
      </c>
      <c r="U55">
        <v>51.65</v>
      </c>
      <c r="V55" s="21">
        <v>44256</v>
      </c>
      <c r="W55" s="17">
        <f t="shared" si="8"/>
        <v>0.56197718631178717</v>
      </c>
      <c r="X55">
        <v>7.55</v>
      </c>
      <c r="Y55">
        <f>49*20*12</f>
        <v>11760</v>
      </c>
      <c r="Z55" s="26">
        <f t="shared" si="9"/>
        <v>10818.767249310027</v>
      </c>
      <c r="AA55">
        <v>5.9</v>
      </c>
      <c r="AB55">
        <v>129</v>
      </c>
      <c r="AC55" s="26">
        <f t="shared" si="10"/>
        <v>2.2914728682170544</v>
      </c>
      <c r="AD55" s="60">
        <f t="shared" si="11"/>
        <v>1.9959404600811907E-2</v>
      </c>
    </row>
    <row r="56" spans="1:30" x14ac:dyDescent="0.3">
      <c r="A56">
        <v>103</v>
      </c>
      <c r="B56" s="13">
        <v>112045</v>
      </c>
      <c r="C56" s="61">
        <v>19</v>
      </c>
      <c r="D56" s="56">
        <v>2</v>
      </c>
      <c r="E56" s="24">
        <v>506</v>
      </c>
      <c r="F56" s="25">
        <v>473</v>
      </c>
      <c r="G56" s="25">
        <f t="shared" si="6"/>
        <v>33</v>
      </c>
      <c r="H56">
        <v>110911310</v>
      </c>
      <c r="I56">
        <v>1109108</v>
      </c>
      <c r="J56">
        <v>294</v>
      </c>
      <c r="K56">
        <v>292.8</v>
      </c>
      <c r="L56">
        <v>4</v>
      </c>
      <c r="M56">
        <v>310</v>
      </c>
      <c r="N56" t="s">
        <v>121</v>
      </c>
      <c r="O56">
        <v>3</v>
      </c>
      <c r="P56" t="s">
        <v>21</v>
      </c>
      <c r="Q56" s="20">
        <v>44256.493483796294</v>
      </c>
      <c r="R56">
        <v>10</v>
      </c>
      <c r="S56">
        <v>310</v>
      </c>
      <c r="T56">
        <f t="shared" si="7"/>
        <v>300</v>
      </c>
      <c r="U56">
        <v>51.65</v>
      </c>
      <c r="V56" s="21">
        <v>44256</v>
      </c>
      <c r="W56" s="17">
        <f t="shared" si="8"/>
        <v>0.57865612648221343</v>
      </c>
      <c r="X56">
        <v>19.149999999999999</v>
      </c>
      <c r="Y56">
        <f>50*22*17</f>
        <v>18700</v>
      </c>
      <c r="Z56" s="26">
        <f t="shared" si="9"/>
        <v>17203.311867525299</v>
      </c>
      <c r="AA56">
        <v>5.3</v>
      </c>
      <c r="AB56">
        <v>119</v>
      </c>
      <c r="AC56" s="26">
        <f t="shared" si="10"/>
        <v>2.4605042016806724</v>
      </c>
      <c r="AD56" s="60">
        <f t="shared" si="11"/>
        <v>1.8101092896174863E-2</v>
      </c>
    </row>
    <row r="57" spans="1:30" x14ac:dyDescent="0.3">
      <c r="A57">
        <v>89</v>
      </c>
      <c r="B57" s="13">
        <v>112094</v>
      </c>
      <c r="C57" s="61">
        <v>6</v>
      </c>
      <c r="D57" s="56">
        <v>2</v>
      </c>
      <c r="E57" s="24">
        <v>549</v>
      </c>
      <c r="F57" s="25">
        <v>516</v>
      </c>
      <c r="G57" s="25">
        <f t="shared" si="6"/>
        <v>33</v>
      </c>
      <c r="H57">
        <v>110911296</v>
      </c>
      <c r="I57">
        <v>1109108</v>
      </c>
      <c r="J57">
        <v>306.5</v>
      </c>
      <c r="K57">
        <v>307.39999999999998</v>
      </c>
      <c r="L57">
        <v>4</v>
      </c>
      <c r="M57">
        <v>322.8</v>
      </c>
      <c r="N57" t="s">
        <v>107</v>
      </c>
      <c r="O57">
        <v>2</v>
      </c>
      <c r="P57" t="s">
        <v>19</v>
      </c>
      <c r="Q57" s="20">
        <v>44256.45484953704</v>
      </c>
      <c r="R57">
        <v>10</v>
      </c>
      <c r="S57">
        <v>322.8</v>
      </c>
      <c r="T57">
        <f t="shared" si="7"/>
        <v>312.8</v>
      </c>
      <c r="U57">
        <v>51.65</v>
      </c>
      <c r="V57" s="21">
        <v>44256</v>
      </c>
      <c r="W57" s="17">
        <f t="shared" si="8"/>
        <v>0.55992714025500911</v>
      </c>
      <c r="X57">
        <v>17.170000000000002</v>
      </c>
      <c r="Y57">
        <f>50*20*9</f>
        <v>9000</v>
      </c>
      <c r="Z57" s="26">
        <f t="shared" si="9"/>
        <v>8279.6688132474701</v>
      </c>
      <c r="AA57">
        <v>6.7</v>
      </c>
      <c r="AB57">
        <v>130</v>
      </c>
      <c r="AC57" s="26">
        <f t="shared" si="10"/>
        <v>2.3646153846153846</v>
      </c>
      <c r="AD57" s="60">
        <f t="shared" si="11"/>
        <v>2.1795705920624596E-2</v>
      </c>
    </row>
    <row r="58" spans="1:30" x14ac:dyDescent="0.3">
      <c r="A58">
        <v>88</v>
      </c>
      <c r="B58" s="13">
        <v>113663</v>
      </c>
      <c r="C58" s="61">
        <v>15</v>
      </c>
      <c r="D58" s="56">
        <v>2</v>
      </c>
      <c r="E58" s="24">
        <v>531</v>
      </c>
      <c r="F58" s="25">
        <v>492.5</v>
      </c>
      <c r="G58" s="25">
        <f t="shared" si="6"/>
        <v>38.5</v>
      </c>
      <c r="H58">
        <v>110911295</v>
      </c>
      <c r="I58">
        <v>1109108</v>
      </c>
      <c r="J58">
        <v>302</v>
      </c>
      <c r="K58">
        <v>303</v>
      </c>
      <c r="L58">
        <v>3</v>
      </c>
      <c r="M58">
        <v>318.2</v>
      </c>
      <c r="N58" t="s">
        <v>106</v>
      </c>
      <c r="O58">
        <v>3</v>
      </c>
      <c r="P58" t="s">
        <v>21</v>
      </c>
      <c r="Q58" s="20">
        <v>44256.454131944447</v>
      </c>
      <c r="R58">
        <v>10</v>
      </c>
      <c r="S58">
        <v>318.2</v>
      </c>
      <c r="T58">
        <f t="shared" si="7"/>
        <v>308.2</v>
      </c>
      <c r="U58">
        <v>51.65</v>
      </c>
      <c r="V58" s="21">
        <v>44256</v>
      </c>
      <c r="W58" s="17">
        <f t="shared" si="8"/>
        <v>0.57062146892655363</v>
      </c>
      <c r="X58">
        <v>16.329999999999998</v>
      </c>
      <c r="Y58">
        <f>46*21*13</f>
        <v>12558</v>
      </c>
      <c r="Z58" s="26">
        <f t="shared" si="9"/>
        <v>11552.897884084638</v>
      </c>
      <c r="AA58">
        <v>6.4</v>
      </c>
      <c r="AB58">
        <v>122</v>
      </c>
      <c r="AC58" s="26">
        <f t="shared" si="10"/>
        <v>2.4836065573770494</v>
      </c>
      <c r="AD58" s="60">
        <f t="shared" si="11"/>
        <v>2.1122112211221122E-2</v>
      </c>
    </row>
    <row r="59" spans="1:30" x14ac:dyDescent="0.3">
      <c r="A59">
        <v>98</v>
      </c>
      <c r="B59" s="13">
        <v>116646</v>
      </c>
      <c r="C59" s="61">
        <v>12</v>
      </c>
      <c r="D59" s="56">
        <v>2</v>
      </c>
      <c r="E59" s="24">
        <v>506</v>
      </c>
      <c r="F59" s="25">
        <v>378.5</v>
      </c>
      <c r="G59" s="25">
        <f t="shared" si="6"/>
        <v>127.5</v>
      </c>
      <c r="H59">
        <v>110911305</v>
      </c>
      <c r="I59">
        <v>1109108</v>
      </c>
      <c r="J59">
        <v>286</v>
      </c>
      <c r="K59">
        <v>285.60000000000002</v>
      </c>
      <c r="L59">
        <v>3</v>
      </c>
      <c r="M59">
        <v>301.8</v>
      </c>
      <c r="N59" t="s">
        <v>116</v>
      </c>
      <c r="O59">
        <v>3</v>
      </c>
      <c r="P59" t="s">
        <v>21</v>
      </c>
      <c r="Q59" s="20">
        <v>44256.461504629631</v>
      </c>
      <c r="R59">
        <v>10</v>
      </c>
      <c r="S59">
        <v>301.8</v>
      </c>
      <c r="T59">
        <f t="shared" si="7"/>
        <v>291.8</v>
      </c>
      <c r="U59">
        <v>51.65</v>
      </c>
      <c r="V59" s="21">
        <v>44256</v>
      </c>
      <c r="W59" s="17">
        <f t="shared" si="8"/>
        <v>0.5644268774703558</v>
      </c>
      <c r="X59">
        <v>13.75</v>
      </c>
      <c r="Y59">
        <f>50*20*11</f>
        <v>11000</v>
      </c>
      <c r="Z59" s="26">
        <f t="shared" si="9"/>
        <v>10119.595216191352</v>
      </c>
      <c r="AA59">
        <v>5.2</v>
      </c>
      <c r="AB59">
        <v>125</v>
      </c>
      <c r="AC59" s="26">
        <f t="shared" si="10"/>
        <v>2.2848000000000002</v>
      </c>
      <c r="AD59" s="60">
        <f t="shared" si="11"/>
        <v>1.8207282913165264E-2</v>
      </c>
    </row>
    <row r="60" spans="1:30" x14ac:dyDescent="0.3">
      <c r="A60">
        <v>64</v>
      </c>
      <c r="B60" s="13">
        <v>66896</v>
      </c>
      <c r="C60" s="61">
        <v>2</v>
      </c>
      <c r="D60" s="57">
        <v>3</v>
      </c>
      <c r="E60" s="24">
        <v>498</v>
      </c>
      <c r="F60" s="25">
        <v>453.5</v>
      </c>
      <c r="G60" s="25">
        <f t="shared" si="6"/>
        <v>44.5</v>
      </c>
      <c r="H60">
        <v>110911271</v>
      </c>
      <c r="I60">
        <v>1109107</v>
      </c>
      <c r="J60">
        <v>286.60000000000002</v>
      </c>
      <c r="K60">
        <v>285.39999999999998</v>
      </c>
      <c r="L60">
        <v>4</v>
      </c>
      <c r="M60">
        <v>302.39999999999998</v>
      </c>
      <c r="N60" t="s">
        <v>82</v>
      </c>
      <c r="O60">
        <v>2</v>
      </c>
      <c r="P60" t="s">
        <v>19</v>
      </c>
      <c r="Q60" s="20">
        <v>44256.433495370373</v>
      </c>
      <c r="R60">
        <v>10</v>
      </c>
      <c r="S60">
        <v>302.39999999999998</v>
      </c>
      <c r="T60">
        <f t="shared" si="7"/>
        <v>292.39999999999998</v>
      </c>
      <c r="U60">
        <v>51.65</v>
      </c>
      <c r="V60" s="21">
        <v>44256</v>
      </c>
      <c r="W60" s="17">
        <f t="shared" si="8"/>
        <v>0.57309236947791165</v>
      </c>
      <c r="X60">
        <v>15.62</v>
      </c>
      <c r="Y60">
        <f>50*20*16</f>
        <v>16000</v>
      </c>
      <c r="Z60" s="26">
        <f t="shared" si="9"/>
        <v>14719.411223551058</v>
      </c>
      <c r="AA60">
        <v>5.5</v>
      </c>
      <c r="AB60">
        <v>122</v>
      </c>
      <c r="AC60" s="26">
        <f t="shared" si="10"/>
        <v>2.3393442622950817</v>
      </c>
      <c r="AD60" s="60">
        <f t="shared" si="11"/>
        <v>1.9271198318149968E-2</v>
      </c>
    </row>
    <row r="61" spans="1:30" x14ac:dyDescent="0.3">
      <c r="A61">
        <v>65</v>
      </c>
      <c r="B61" s="13">
        <v>67300</v>
      </c>
      <c r="C61" s="61">
        <v>2</v>
      </c>
      <c r="D61" s="57">
        <v>3</v>
      </c>
      <c r="E61" s="24">
        <v>479</v>
      </c>
      <c r="F61" s="25">
        <v>443</v>
      </c>
      <c r="G61" s="25">
        <f t="shared" si="6"/>
        <v>36</v>
      </c>
      <c r="H61">
        <v>110911272</v>
      </c>
      <c r="I61">
        <v>1109107</v>
      </c>
      <c r="J61">
        <v>276.60000000000002</v>
      </c>
      <c r="K61">
        <v>275.60000000000002</v>
      </c>
      <c r="L61">
        <v>5</v>
      </c>
      <c r="M61">
        <v>292.2</v>
      </c>
      <c r="N61" t="s">
        <v>83</v>
      </c>
      <c r="O61">
        <v>1</v>
      </c>
      <c r="P61" t="s">
        <v>64</v>
      </c>
      <c r="Q61" s="20">
        <v>44256.434212962966</v>
      </c>
      <c r="R61">
        <v>10</v>
      </c>
      <c r="S61">
        <v>292.2</v>
      </c>
      <c r="T61">
        <f t="shared" si="7"/>
        <v>282.2</v>
      </c>
      <c r="U61">
        <v>51.65</v>
      </c>
      <c r="V61" s="21">
        <v>44256</v>
      </c>
      <c r="W61" s="17">
        <f t="shared" si="8"/>
        <v>0.57536534446764098</v>
      </c>
      <c r="X61">
        <v>8.3800000000000008</v>
      </c>
      <c r="Y61">
        <f>49*19*11</f>
        <v>10241</v>
      </c>
      <c r="Z61" s="26">
        <f t="shared" si="9"/>
        <v>9421.3431462741501</v>
      </c>
      <c r="AA61">
        <v>5.9</v>
      </c>
      <c r="AB61">
        <v>123</v>
      </c>
      <c r="AC61" s="26">
        <f t="shared" si="10"/>
        <v>2.2406504065040651</v>
      </c>
      <c r="AD61" s="60">
        <f t="shared" si="11"/>
        <v>2.1407837445573293E-2</v>
      </c>
    </row>
    <row r="62" spans="1:30" x14ac:dyDescent="0.3">
      <c r="A62">
        <v>92</v>
      </c>
      <c r="B62" s="13">
        <v>73446</v>
      </c>
      <c r="C62" s="61">
        <v>14</v>
      </c>
      <c r="D62" s="57">
        <v>3</v>
      </c>
      <c r="E62" s="24">
        <v>486</v>
      </c>
      <c r="F62" s="25">
        <v>456</v>
      </c>
      <c r="G62" s="25">
        <f t="shared" si="6"/>
        <v>30</v>
      </c>
      <c r="H62">
        <v>110911299</v>
      </c>
      <c r="I62">
        <v>1109108</v>
      </c>
      <c r="J62">
        <v>292</v>
      </c>
      <c r="K62">
        <v>291</v>
      </c>
      <c r="L62">
        <v>3</v>
      </c>
      <c r="M62">
        <v>308</v>
      </c>
      <c r="N62" t="s">
        <v>110</v>
      </c>
      <c r="O62">
        <v>3</v>
      </c>
      <c r="P62" t="s">
        <v>21</v>
      </c>
      <c r="Q62" s="20">
        <v>44256.457129629627</v>
      </c>
      <c r="R62">
        <v>10</v>
      </c>
      <c r="S62">
        <v>308</v>
      </c>
      <c r="T62">
        <f t="shared" si="7"/>
        <v>298</v>
      </c>
      <c r="U62">
        <v>51.65</v>
      </c>
      <c r="V62" s="21">
        <v>44256</v>
      </c>
      <c r="W62" s="17">
        <f t="shared" si="8"/>
        <v>0.59876543209876543</v>
      </c>
      <c r="X62">
        <v>9.74</v>
      </c>
      <c r="Y62">
        <f>50*22*15</f>
        <v>16500</v>
      </c>
      <c r="Z62" s="26">
        <f t="shared" si="9"/>
        <v>15179.39282428703</v>
      </c>
      <c r="AA62">
        <v>6.9</v>
      </c>
      <c r="AB62">
        <v>125</v>
      </c>
      <c r="AC62" s="26">
        <f t="shared" si="10"/>
        <v>2.3279999999999998</v>
      </c>
      <c r="AD62" s="60">
        <f t="shared" si="11"/>
        <v>2.371134020618557E-2</v>
      </c>
    </row>
    <row r="63" spans="1:30" x14ac:dyDescent="0.3">
      <c r="A63">
        <v>114</v>
      </c>
      <c r="B63" s="13">
        <v>73917</v>
      </c>
      <c r="C63" s="61">
        <v>21</v>
      </c>
      <c r="D63" s="57">
        <v>3</v>
      </c>
      <c r="E63" s="24">
        <v>503</v>
      </c>
      <c r="F63" s="25">
        <v>468.5</v>
      </c>
      <c r="G63" s="25">
        <f t="shared" si="6"/>
        <v>34.5</v>
      </c>
      <c r="H63">
        <v>110911321</v>
      </c>
      <c r="I63">
        <v>1109108</v>
      </c>
      <c r="J63">
        <v>301.3</v>
      </c>
      <c r="K63">
        <v>300.8</v>
      </c>
      <c r="L63">
        <v>5</v>
      </c>
      <c r="M63">
        <v>317.39999999999998</v>
      </c>
      <c r="N63" t="s">
        <v>132</v>
      </c>
      <c r="O63">
        <v>2</v>
      </c>
      <c r="P63" t="s">
        <v>19</v>
      </c>
      <c r="Q63" s="20">
        <v>44256.503750000003</v>
      </c>
      <c r="R63">
        <v>10</v>
      </c>
      <c r="S63">
        <v>317.39999999999998</v>
      </c>
      <c r="T63">
        <f t="shared" si="7"/>
        <v>307.39999999999998</v>
      </c>
      <c r="U63">
        <v>51.65</v>
      </c>
      <c r="V63" s="21">
        <v>44256</v>
      </c>
      <c r="W63" s="17">
        <f t="shared" si="8"/>
        <v>0.59801192842942352</v>
      </c>
      <c r="X63">
        <v>13.35</v>
      </c>
      <c r="Y63">
        <f>47*18*10</f>
        <v>8460</v>
      </c>
      <c r="Z63" s="26">
        <f t="shared" si="9"/>
        <v>7782.8886844526223</v>
      </c>
      <c r="AA63">
        <v>6.7</v>
      </c>
      <c r="AB63">
        <v>120</v>
      </c>
      <c r="AC63" s="26">
        <f t="shared" si="10"/>
        <v>2.5066666666666668</v>
      </c>
      <c r="AD63" s="60">
        <f t="shared" si="11"/>
        <v>2.2273936170212765E-2</v>
      </c>
    </row>
    <row r="64" spans="1:30" x14ac:dyDescent="0.3">
      <c r="A64">
        <v>86</v>
      </c>
      <c r="B64" s="13">
        <v>77065</v>
      </c>
      <c r="C64" s="61">
        <v>14</v>
      </c>
      <c r="D64" s="57">
        <v>3</v>
      </c>
      <c r="E64" s="24">
        <v>446</v>
      </c>
      <c r="F64" s="25">
        <v>420</v>
      </c>
      <c r="G64" s="25">
        <f t="shared" si="6"/>
        <v>26</v>
      </c>
      <c r="H64">
        <v>110911293</v>
      </c>
      <c r="I64">
        <v>1109108</v>
      </c>
      <c r="J64">
        <v>259.10000000000002</v>
      </c>
      <c r="K64">
        <v>258</v>
      </c>
      <c r="L64">
        <v>3</v>
      </c>
      <c r="M64">
        <v>274.39999999999998</v>
      </c>
      <c r="N64" t="s">
        <v>104</v>
      </c>
      <c r="O64">
        <v>2</v>
      </c>
      <c r="P64" t="s">
        <v>19</v>
      </c>
      <c r="Q64" s="20">
        <v>44256.450057870374</v>
      </c>
      <c r="R64">
        <v>10</v>
      </c>
      <c r="S64">
        <v>274.39999999999998</v>
      </c>
      <c r="T64">
        <f t="shared" si="7"/>
        <v>264.39999999999998</v>
      </c>
      <c r="U64">
        <v>51.65</v>
      </c>
      <c r="V64" s="21">
        <v>44256</v>
      </c>
      <c r="W64" s="17">
        <f t="shared" si="8"/>
        <v>0.57847533632286996</v>
      </c>
      <c r="X64">
        <v>8.31</v>
      </c>
      <c r="Y64">
        <f>45*22*14</f>
        <v>13860</v>
      </c>
      <c r="Z64" s="26">
        <f t="shared" si="9"/>
        <v>12750.689972401104</v>
      </c>
      <c r="AA64">
        <v>5.3</v>
      </c>
      <c r="AB64">
        <v>116</v>
      </c>
      <c r="AC64" s="26">
        <f t="shared" si="10"/>
        <v>2.2241379310344827</v>
      </c>
      <c r="AD64" s="60">
        <f t="shared" si="11"/>
        <v>2.0542635658914728E-2</v>
      </c>
    </row>
    <row r="65" spans="1:30" x14ac:dyDescent="0.3">
      <c r="A65">
        <v>72</v>
      </c>
      <c r="B65" s="13">
        <v>77241</v>
      </c>
      <c r="C65" s="61">
        <v>2</v>
      </c>
      <c r="D65" s="57">
        <v>3</v>
      </c>
      <c r="E65" s="24">
        <v>474</v>
      </c>
      <c r="F65" s="25">
        <v>435</v>
      </c>
      <c r="G65" s="25">
        <f t="shared" si="6"/>
        <v>39</v>
      </c>
      <c r="H65">
        <v>110911279</v>
      </c>
      <c r="I65">
        <v>1109107</v>
      </c>
      <c r="J65">
        <v>269.5</v>
      </c>
      <c r="K65">
        <v>267.8</v>
      </c>
      <c r="L65">
        <v>4</v>
      </c>
      <c r="M65">
        <v>285</v>
      </c>
      <c r="N65" t="s">
        <v>90</v>
      </c>
      <c r="O65">
        <v>2</v>
      </c>
      <c r="P65" t="s">
        <v>19</v>
      </c>
      <c r="Q65" s="20">
        <v>44256.439074074071</v>
      </c>
      <c r="R65">
        <v>10</v>
      </c>
      <c r="S65">
        <v>285</v>
      </c>
      <c r="T65">
        <f t="shared" si="7"/>
        <v>275</v>
      </c>
      <c r="U65">
        <v>51.65</v>
      </c>
      <c r="V65" s="21">
        <v>44256</v>
      </c>
      <c r="W65" s="17">
        <f t="shared" si="8"/>
        <v>0.56497890295358655</v>
      </c>
      <c r="X65">
        <v>9.9600000000000009</v>
      </c>
      <c r="Y65">
        <f>48*19*12</f>
        <v>10944</v>
      </c>
      <c r="Z65" s="26">
        <f t="shared" si="9"/>
        <v>10068.077276908924</v>
      </c>
      <c r="AA65">
        <v>6</v>
      </c>
      <c r="AB65">
        <v>119</v>
      </c>
      <c r="AC65" s="26">
        <f t="shared" si="10"/>
        <v>2.2504201680672269</v>
      </c>
      <c r="AD65" s="60">
        <f t="shared" si="11"/>
        <v>2.2404779686333084E-2</v>
      </c>
    </row>
    <row r="66" spans="1:30" x14ac:dyDescent="0.3">
      <c r="A66">
        <v>71</v>
      </c>
      <c r="B66" s="13">
        <v>77844</v>
      </c>
      <c r="C66" s="61">
        <v>13</v>
      </c>
      <c r="D66" s="57">
        <v>3</v>
      </c>
      <c r="E66" s="24">
        <v>506</v>
      </c>
      <c r="F66" s="25">
        <v>470.5</v>
      </c>
      <c r="G66" s="25">
        <f t="shared" ref="G66:G97" si="12">E66-F66</f>
        <v>35.5</v>
      </c>
      <c r="H66">
        <v>110911278</v>
      </c>
      <c r="I66">
        <v>1109107</v>
      </c>
      <c r="J66">
        <v>288.89999999999998</v>
      </c>
      <c r="K66">
        <v>289.39999999999998</v>
      </c>
      <c r="L66">
        <v>3</v>
      </c>
      <c r="M66">
        <v>304.8</v>
      </c>
      <c r="N66" t="s">
        <v>89</v>
      </c>
      <c r="O66">
        <v>3</v>
      </c>
      <c r="P66" t="s">
        <v>21</v>
      </c>
      <c r="Q66" s="20">
        <v>44256.438310185185</v>
      </c>
      <c r="R66">
        <v>10</v>
      </c>
      <c r="S66">
        <v>304.8</v>
      </c>
      <c r="T66">
        <f t="shared" ref="T66:T97" si="13">S66-10</f>
        <v>294.8</v>
      </c>
      <c r="U66">
        <v>51.65</v>
      </c>
      <c r="V66" s="21">
        <v>44256</v>
      </c>
      <c r="W66" s="17">
        <f t="shared" ref="W66:W97" si="14">K66/E66</f>
        <v>0.57193675889328055</v>
      </c>
      <c r="X66">
        <v>12.86</v>
      </c>
      <c r="Y66">
        <f>50*23*15</f>
        <v>17250</v>
      </c>
      <c r="Z66" s="26">
        <f t="shared" ref="Z66:Z97" si="15">(Y66/1.087)</f>
        <v>15869.365225390984</v>
      </c>
      <c r="AA66">
        <v>4.9000000000000004</v>
      </c>
      <c r="AB66">
        <v>120</v>
      </c>
      <c r="AC66" s="26">
        <f t="shared" ref="AC66:AC97" si="16">K66/AB66</f>
        <v>2.4116666666666666</v>
      </c>
      <c r="AD66" s="60">
        <f t="shared" ref="AD66:AD97" si="17">AA66/K66</f>
        <v>1.6931582584657916E-2</v>
      </c>
    </row>
    <row r="67" spans="1:30" x14ac:dyDescent="0.3">
      <c r="A67">
        <v>59</v>
      </c>
      <c r="B67" s="13">
        <v>81605</v>
      </c>
      <c r="C67" s="61">
        <v>7</v>
      </c>
      <c r="D67" s="57">
        <v>3</v>
      </c>
      <c r="E67" s="24">
        <v>500</v>
      </c>
      <c r="F67" s="25">
        <v>461</v>
      </c>
      <c r="G67" s="25">
        <f t="shared" si="12"/>
        <v>39</v>
      </c>
      <c r="H67">
        <v>110911266</v>
      </c>
      <c r="I67">
        <v>1109107</v>
      </c>
      <c r="J67">
        <v>286.2</v>
      </c>
      <c r="K67">
        <v>287.60000000000002</v>
      </c>
      <c r="L67">
        <v>4</v>
      </c>
      <c r="M67">
        <v>302</v>
      </c>
      <c r="N67" t="s">
        <v>77</v>
      </c>
      <c r="O67">
        <v>2</v>
      </c>
      <c r="P67" t="s">
        <v>19</v>
      </c>
      <c r="Q67" s="20">
        <v>44256.429583333331</v>
      </c>
      <c r="R67">
        <v>10</v>
      </c>
      <c r="S67">
        <v>302</v>
      </c>
      <c r="T67">
        <f t="shared" si="13"/>
        <v>292</v>
      </c>
      <c r="U67">
        <v>51.65</v>
      </c>
      <c r="V67" s="21">
        <v>44256</v>
      </c>
      <c r="W67" s="17">
        <f t="shared" si="14"/>
        <v>0.57520000000000004</v>
      </c>
      <c r="X67">
        <v>15.59</v>
      </c>
      <c r="Y67">
        <f>50*21*16</f>
        <v>16800</v>
      </c>
      <c r="Z67" s="26">
        <f t="shared" si="15"/>
        <v>15455.381784728612</v>
      </c>
      <c r="AA67">
        <v>6.4</v>
      </c>
      <c r="AB67">
        <v>122</v>
      </c>
      <c r="AC67" s="26">
        <f t="shared" si="16"/>
        <v>2.3573770491803279</v>
      </c>
      <c r="AD67" s="60">
        <f t="shared" si="17"/>
        <v>2.2253129346314324E-2</v>
      </c>
    </row>
    <row r="68" spans="1:30" x14ac:dyDescent="0.3">
      <c r="A68">
        <v>60</v>
      </c>
      <c r="B68" s="13">
        <v>82868</v>
      </c>
      <c r="C68" s="61">
        <v>21</v>
      </c>
      <c r="D68" s="57">
        <v>3</v>
      </c>
      <c r="E68" s="24">
        <v>527</v>
      </c>
      <c r="F68" s="25">
        <v>495</v>
      </c>
      <c r="G68" s="25">
        <f t="shared" si="12"/>
        <v>32</v>
      </c>
      <c r="H68">
        <v>110911267</v>
      </c>
      <c r="I68">
        <v>1109107</v>
      </c>
      <c r="J68">
        <v>312.8</v>
      </c>
      <c r="K68">
        <v>314</v>
      </c>
      <c r="L68">
        <v>4</v>
      </c>
      <c r="M68">
        <v>329.2</v>
      </c>
      <c r="N68" t="s">
        <v>78</v>
      </c>
      <c r="O68">
        <v>2</v>
      </c>
      <c r="P68" t="s">
        <v>19</v>
      </c>
      <c r="Q68" s="20">
        <v>44256.430555555555</v>
      </c>
      <c r="R68">
        <v>10</v>
      </c>
      <c r="S68">
        <v>329.2</v>
      </c>
      <c r="T68">
        <f t="shared" si="13"/>
        <v>319.2</v>
      </c>
      <c r="U68">
        <v>51.65</v>
      </c>
      <c r="V68" s="21">
        <v>44256</v>
      </c>
      <c r="W68" s="17">
        <f t="shared" si="14"/>
        <v>0.59582542694497154</v>
      </c>
      <c r="X68">
        <v>16.34</v>
      </c>
      <c r="Y68">
        <f>49*19*14</f>
        <v>13034</v>
      </c>
      <c r="Z68" s="26">
        <f t="shared" si="15"/>
        <v>11990.800367985281</v>
      </c>
      <c r="AA68">
        <v>6.4</v>
      </c>
      <c r="AB68">
        <v>127</v>
      </c>
      <c r="AC68" s="26">
        <f t="shared" si="16"/>
        <v>2.4724409448818898</v>
      </c>
      <c r="AD68" s="60">
        <f t="shared" si="17"/>
        <v>2.0382165605095544E-2</v>
      </c>
    </row>
    <row r="69" spans="1:30" x14ac:dyDescent="0.3">
      <c r="A69">
        <v>76</v>
      </c>
      <c r="B69" s="13">
        <v>84078</v>
      </c>
      <c r="C69" s="61">
        <v>14</v>
      </c>
      <c r="D69" s="57">
        <v>3</v>
      </c>
      <c r="E69" s="24">
        <v>456</v>
      </c>
      <c r="F69" s="25">
        <v>419.5</v>
      </c>
      <c r="G69" s="25">
        <f t="shared" si="12"/>
        <v>36.5</v>
      </c>
      <c r="H69">
        <v>110911283</v>
      </c>
      <c r="I69">
        <v>1109108</v>
      </c>
      <c r="J69">
        <v>256.2</v>
      </c>
      <c r="K69">
        <v>257</v>
      </c>
      <c r="L69">
        <v>3</v>
      </c>
      <c r="M69">
        <v>271.39999999999998</v>
      </c>
      <c r="N69" t="s">
        <v>94</v>
      </c>
      <c r="O69">
        <v>2</v>
      </c>
      <c r="P69" t="s">
        <v>19</v>
      </c>
      <c r="Q69" s="20">
        <v>44256.44222222222</v>
      </c>
      <c r="R69">
        <v>10</v>
      </c>
      <c r="S69">
        <v>271.39999999999998</v>
      </c>
      <c r="T69">
        <f t="shared" si="13"/>
        <v>261.39999999999998</v>
      </c>
      <c r="U69">
        <v>51.65</v>
      </c>
      <c r="V69" s="21">
        <v>44256</v>
      </c>
      <c r="W69" s="17">
        <f t="shared" si="14"/>
        <v>0.56359649122807021</v>
      </c>
      <c r="X69">
        <v>5.4</v>
      </c>
      <c r="Y69">
        <f>46*18*7</f>
        <v>5796</v>
      </c>
      <c r="Z69" s="26">
        <f t="shared" si="15"/>
        <v>5332.106715731371</v>
      </c>
      <c r="AA69">
        <v>4.2</v>
      </c>
      <c r="AB69">
        <v>123</v>
      </c>
      <c r="AC69" s="26">
        <f t="shared" si="16"/>
        <v>2.089430894308943</v>
      </c>
      <c r="AD69" s="60">
        <f t="shared" si="17"/>
        <v>1.6342412451361869E-2</v>
      </c>
    </row>
    <row r="70" spans="1:30" x14ac:dyDescent="0.3">
      <c r="A70">
        <v>91</v>
      </c>
      <c r="B70" s="13">
        <v>84216</v>
      </c>
      <c r="C70" s="61">
        <v>14</v>
      </c>
      <c r="D70" s="57">
        <v>3</v>
      </c>
      <c r="E70" s="24">
        <v>428</v>
      </c>
      <c r="F70" s="25">
        <v>457.5</v>
      </c>
      <c r="G70" s="25">
        <f t="shared" si="12"/>
        <v>-29.5</v>
      </c>
      <c r="H70">
        <v>110911298</v>
      </c>
      <c r="I70">
        <v>1109108</v>
      </c>
      <c r="J70">
        <v>283.8</v>
      </c>
      <c r="K70">
        <v>285.39999999999998</v>
      </c>
      <c r="L70">
        <v>4</v>
      </c>
      <c r="M70">
        <v>299.60000000000002</v>
      </c>
      <c r="N70" t="s">
        <v>109</v>
      </c>
      <c r="O70">
        <v>2</v>
      </c>
      <c r="P70" t="s">
        <v>19</v>
      </c>
      <c r="Q70" s="20">
        <v>44256.456261574072</v>
      </c>
      <c r="R70">
        <v>10</v>
      </c>
      <c r="S70">
        <v>299.60000000000002</v>
      </c>
      <c r="T70">
        <f t="shared" si="13"/>
        <v>289.60000000000002</v>
      </c>
      <c r="U70">
        <v>51.65</v>
      </c>
      <c r="V70" s="21">
        <v>44256</v>
      </c>
      <c r="W70" s="17">
        <f t="shared" si="14"/>
        <v>0.66682242990654206</v>
      </c>
      <c r="X70">
        <v>20.58</v>
      </c>
      <c r="Y70">
        <f>47*21*14</f>
        <v>13818</v>
      </c>
      <c r="Z70" s="26">
        <f t="shared" si="15"/>
        <v>12712.051517939282</v>
      </c>
      <c r="AA70">
        <v>5.7</v>
      </c>
      <c r="AB70">
        <v>123</v>
      </c>
      <c r="AC70" s="26">
        <f t="shared" si="16"/>
        <v>2.3203252032520325</v>
      </c>
      <c r="AD70" s="60">
        <f t="shared" si="17"/>
        <v>1.9971969166082692E-2</v>
      </c>
    </row>
    <row r="71" spans="1:30" x14ac:dyDescent="0.3">
      <c r="A71">
        <v>67</v>
      </c>
      <c r="B71" s="13">
        <v>85475</v>
      </c>
      <c r="C71" s="61">
        <v>2</v>
      </c>
      <c r="D71" s="57">
        <v>3</v>
      </c>
      <c r="E71" s="24">
        <v>528</v>
      </c>
      <c r="F71" s="25">
        <v>473.5</v>
      </c>
      <c r="G71" s="25">
        <f t="shared" si="12"/>
        <v>54.5</v>
      </c>
      <c r="H71">
        <v>110911274</v>
      </c>
      <c r="I71">
        <v>1109107</v>
      </c>
      <c r="J71">
        <v>297.3</v>
      </c>
      <c r="K71">
        <v>297.39999999999998</v>
      </c>
      <c r="L71">
        <v>3</v>
      </c>
      <c r="M71">
        <v>313.39999999999998</v>
      </c>
      <c r="N71" t="s">
        <v>85</v>
      </c>
      <c r="O71">
        <v>2</v>
      </c>
      <c r="P71" t="s">
        <v>71</v>
      </c>
      <c r="Q71" s="20">
        <v>44256.435428240744</v>
      </c>
      <c r="R71">
        <v>10</v>
      </c>
      <c r="S71">
        <v>313.39999999999998</v>
      </c>
      <c r="T71">
        <f t="shared" si="13"/>
        <v>303.39999999999998</v>
      </c>
      <c r="U71">
        <v>49.65</v>
      </c>
      <c r="V71" s="21">
        <v>44256</v>
      </c>
      <c r="W71" s="17">
        <f t="shared" si="14"/>
        <v>0.56325757575757573</v>
      </c>
      <c r="X71">
        <v>11.97</v>
      </c>
      <c r="Y71">
        <f>52*22*14</f>
        <v>16016</v>
      </c>
      <c r="Z71" s="26">
        <f t="shared" si="15"/>
        <v>14734.13063477461</v>
      </c>
      <c r="AA71">
        <v>6.1</v>
      </c>
      <c r="AB71">
        <v>127</v>
      </c>
      <c r="AC71" s="26">
        <f t="shared" si="16"/>
        <v>2.3417322834645669</v>
      </c>
      <c r="AD71" s="60">
        <f t="shared" si="17"/>
        <v>2.051109616677875E-2</v>
      </c>
    </row>
    <row r="72" spans="1:30" x14ac:dyDescent="0.3">
      <c r="A72">
        <v>107</v>
      </c>
      <c r="B72" s="13">
        <v>86001</v>
      </c>
      <c r="C72" s="61">
        <v>14</v>
      </c>
      <c r="D72" s="57">
        <v>3</v>
      </c>
      <c r="E72" s="24">
        <v>513</v>
      </c>
      <c r="F72" s="25">
        <v>486.5</v>
      </c>
      <c r="G72" s="25">
        <f t="shared" si="12"/>
        <v>26.5</v>
      </c>
      <c r="H72">
        <v>110911314</v>
      </c>
      <c r="I72">
        <v>1109108</v>
      </c>
      <c r="J72">
        <v>305.60000000000002</v>
      </c>
      <c r="K72">
        <v>303.60000000000002</v>
      </c>
      <c r="L72">
        <v>4</v>
      </c>
      <c r="M72">
        <v>321.8</v>
      </c>
      <c r="N72" t="s">
        <v>125</v>
      </c>
      <c r="O72">
        <v>3</v>
      </c>
      <c r="P72" t="s">
        <v>21</v>
      </c>
      <c r="Q72" s="20">
        <v>44256.497581018521</v>
      </c>
      <c r="R72">
        <v>10</v>
      </c>
      <c r="S72">
        <v>321.8</v>
      </c>
      <c r="T72">
        <f t="shared" si="13"/>
        <v>311.8</v>
      </c>
      <c r="U72">
        <v>51.65</v>
      </c>
      <c r="V72" s="21">
        <v>44256</v>
      </c>
      <c r="W72" s="17">
        <f t="shared" si="14"/>
        <v>0.59181286549707601</v>
      </c>
      <c r="X72">
        <v>19.829999999999998</v>
      </c>
      <c r="Y72">
        <f>50*21*12</f>
        <v>12600</v>
      </c>
      <c r="Z72" s="26">
        <f t="shared" si="15"/>
        <v>11591.536338546459</v>
      </c>
      <c r="AA72">
        <v>5.8</v>
      </c>
      <c r="AB72">
        <v>121</v>
      </c>
      <c r="AC72" s="26">
        <f t="shared" si="16"/>
        <v>2.5090909090909093</v>
      </c>
      <c r="AD72" s="60">
        <f t="shared" si="17"/>
        <v>1.9104084321475624E-2</v>
      </c>
    </row>
    <row r="73" spans="1:30" x14ac:dyDescent="0.3">
      <c r="A73">
        <v>61</v>
      </c>
      <c r="B73" s="13">
        <v>87018</v>
      </c>
      <c r="C73" s="61">
        <v>2</v>
      </c>
      <c r="D73" s="57">
        <v>3</v>
      </c>
      <c r="E73" s="24">
        <v>559</v>
      </c>
      <c r="F73" s="25">
        <v>509</v>
      </c>
      <c r="G73" s="25">
        <f t="shared" si="12"/>
        <v>50</v>
      </c>
      <c r="H73">
        <v>110911268</v>
      </c>
      <c r="I73">
        <v>1109107</v>
      </c>
      <c r="J73">
        <v>321.39999999999998</v>
      </c>
      <c r="K73">
        <v>323.60000000000002</v>
      </c>
      <c r="L73">
        <v>3</v>
      </c>
      <c r="M73">
        <v>338</v>
      </c>
      <c r="N73" t="s">
        <v>79</v>
      </c>
      <c r="O73">
        <v>3</v>
      </c>
      <c r="P73" t="s">
        <v>67</v>
      </c>
      <c r="Q73" s="20">
        <v>44256.43109953704</v>
      </c>
      <c r="R73">
        <v>10</v>
      </c>
      <c r="S73">
        <v>338</v>
      </c>
      <c r="T73">
        <f t="shared" si="13"/>
        <v>328</v>
      </c>
      <c r="U73">
        <v>49.65</v>
      </c>
      <c r="V73" s="21">
        <v>44256</v>
      </c>
      <c r="W73" s="17">
        <f t="shared" si="14"/>
        <v>0.57889087656529525</v>
      </c>
      <c r="X73">
        <v>16.850000000000001</v>
      </c>
      <c r="Y73">
        <f>50*22*17</f>
        <v>18700</v>
      </c>
      <c r="Z73" s="26">
        <f t="shared" si="15"/>
        <v>17203.311867525299</v>
      </c>
      <c r="AA73">
        <v>6.8</v>
      </c>
      <c r="AB73">
        <v>130</v>
      </c>
      <c r="AC73" s="26">
        <f t="shared" si="16"/>
        <v>2.4892307692307694</v>
      </c>
      <c r="AD73" s="60">
        <f t="shared" si="17"/>
        <v>2.1013597033374534E-2</v>
      </c>
    </row>
    <row r="74" spans="1:30" x14ac:dyDescent="0.3">
      <c r="A74">
        <v>58</v>
      </c>
      <c r="B74" s="13">
        <v>90414</v>
      </c>
      <c r="C74" s="61">
        <v>7</v>
      </c>
      <c r="D74" s="57">
        <v>3</v>
      </c>
      <c r="E74" s="24">
        <v>510</v>
      </c>
      <c r="F74" s="25">
        <v>477.5</v>
      </c>
      <c r="G74" s="25">
        <f t="shared" si="12"/>
        <v>32.5</v>
      </c>
      <c r="H74">
        <v>110911265</v>
      </c>
      <c r="I74">
        <v>1109107</v>
      </c>
      <c r="J74">
        <v>289.3</v>
      </c>
      <c r="K74">
        <v>290.39999999999998</v>
      </c>
      <c r="L74">
        <v>4</v>
      </c>
      <c r="M74">
        <v>305.2</v>
      </c>
      <c r="N74" t="s">
        <v>76</v>
      </c>
      <c r="O74">
        <v>2</v>
      </c>
      <c r="P74" t="s">
        <v>19</v>
      </c>
      <c r="Q74" s="20">
        <v>44256.428900462961</v>
      </c>
      <c r="R74">
        <v>10</v>
      </c>
      <c r="S74">
        <v>305.2</v>
      </c>
      <c r="T74">
        <f t="shared" si="13"/>
        <v>295.2</v>
      </c>
      <c r="U74">
        <v>51.65</v>
      </c>
      <c r="V74" s="21">
        <v>44256</v>
      </c>
      <c r="W74" s="17">
        <f t="shared" si="14"/>
        <v>0.56941176470588228</v>
      </c>
      <c r="X74">
        <v>15.11</v>
      </c>
      <c r="Y74">
        <f>47*22*16</f>
        <v>16544</v>
      </c>
      <c r="Z74" s="26">
        <f t="shared" si="15"/>
        <v>15219.871205151794</v>
      </c>
      <c r="AA74">
        <v>6.2</v>
      </c>
      <c r="AB74">
        <v>121</v>
      </c>
      <c r="AC74" s="26">
        <f t="shared" si="16"/>
        <v>2.4</v>
      </c>
      <c r="AD74" s="60">
        <f t="shared" si="17"/>
        <v>2.1349862258953169E-2</v>
      </c>
    </row>
    <row r="75" spans="1:30" x14ac:dyDescent="0.3">
      <c r="A75">
        <v>73</v>
      </c>
      <c r="B75" s="13">
        <v>91628</v>
      </c>
      <c r="C75" s="61">
        <v>7</v>
      </c>
      <c r="D75" s="57">
        <v>3</v>
      </c>
      <c r="E75" s="24">
        <v>486</v>
      </c>
      <c r="F75" s="25">
        <v>460.5</v>
      </c>
      <c r="G75" s="25">
        <f t="shared" si="12"/>
        <v>25.5</v>
      </c>
      <c r="H75">
        <v>110911280</v>
      </c>
      <c r="I75">
        <v>1109107</v>
      </c>
      <c r="J75">
        <v>292.2</v>
      </c>
      <c r="K75">
        <v>293.60000000000002</v>
      </c>
      <c r="L75">
        <v>4</v>
      </c>
      <c r="M75">
        <v>308.2</v>
      </c>
      <c r="N75" t="s">
        <v>91</v>
      </c>
      <c r="O75">
        <v>2</v>
      </c>
      <c r="P75" t="s">
        <v>19</v>
      </c>
      <c r="Q75" s="20">
        <v>44256.439756944441</v>
      </c>
      <c r="R75">
        <v>10</v>
      </c>
      <c r="S75">
        <v>308.2</v>
      </c>
      <c r="T75">
        <f t="shared" si="13"/>
        <v>298.2</v>
      </c>
      <c r="U75">
        <v>51.65</v>
      </c>
      <c r="V75" s="21">
        <v>44256</v>
      </c>
      <c r="W75" s="17">
        <f t="shared" si="14"/>
        <v>0.60411522633744863</v>
      </c>
      <c r="X75">
        <v>12.91</v>
      </c>
      <c r="Y75">
        <f>49*17*13</f>
        <v>10829</v>
      </c>
      <c r="Z75" s="26">
        <f t="shared" si="15"/>
        <v>9962.2815087396502</v>
      </c>
      <c r="AA75">
        <v>5.7</v>
      </c>
      <c r="AB75">
        <v>121</v>
      </c>
      <c r="AC75" s="26">
        <f t="shared" si="16"/>
        <v>2.4264462809917355</v>
      </c>
      <c r="AD75" s="60">
        <f t="shared" si="17"/>
        <v>1.9414168937329699E-2</v>
      </c>
    </row>
    <row r="76" spans="1:30" x14ac:dyDescent="0.3">
      <c r="A76">
        <v>63</v>
      </c>
      <c r="B76" s="13">
        <v>92398</v>
      </c>
      <c r="C76" s="61">
        <v>7</v>
      </c>
      <c r="D76" s="57">
        <v>3</v>
      </c>
      <c r="E76" s="24">
        <v>546</v>
      </c>
      <c r="F76" s="25">
        <v>506</v>
      </c>
      <c r="G76" s="25">
        <f t="shared" si="12"/>
        <v>40</v>
      </c>
      <c r="H76">
        <v>110911270</v>
      </c>
      <c r="I76">
        <v>1109107</v>
      </c>
      <c r="J76">
        <v>308.7</v>
      </c>
      <c r="K76">
        <v>305</v>
      </c>
      <c r="L76">
        <v>4</v>
      </c>
      <c r="M76">
        <v>325</v>
      </c>
      <c r="N76" t="s">
        <v>81</v>
      </c>
      <c r="O76">
        <v>2</v>
      </c>
      <c r="P76" t="s">
        <v>19</v>
      </c>
      <c r="Q76" s="20">
        <v>44256.432650462964</v>
      </c>
      <c r="R76">
        <v>10</v>
      </c>
      <c r="S76">
        <v>325</v>
      </c>
      <c r="T76">
        <f t="shared" si="13"/>
        <v>315</v>
      </c>
      <c r="U76">
        <v>51.65</v>
      </c>
      <c r="V76" s="21">
        <v>44256</v>
      </c>
      <c r="W76" s="17">
        <f t="shared" si="14"/>
        <v>0.55860805860805862</v>
      </c>
      <c r="X76">
        <v>21.45</v>
      </c>
      <c r="Y76">
        <f>49*22*12</f>
        <v>12936</v>
      </c>
      <c r="Z76" s="26">
        <f t="shared" si="15"/>
        <v>11900.643974241031</v>
      </c>
      <c r="AA76">
        <v>6.7</v>
      </c>
      <c r="AB76">
        <v>129</v>
      </c>
      <c r="AC76" s="26">
        <f t="shared" si="16"/>
        <v>2.364341085271318</v>
      </c>
      <c r="AD76" s="60">
        <f t="shared" si="17"/>
        <v>2.1967213114754098E-2</v>
      </c>
    </row>
    <row r="77" spans="1:30" x14ac:dyDescent="0.3">
      <c r="A77">
        <v>97</v>
      </c>
      <c r="B77" s="13">
        <v>94730</v>
      </c>
      <c r="C77" s="61">
        <v>21</v>
      </c>
      <c r="D77" s="57">
        <v>3</v>
      </c>
      <c r="E77" s="24">
        <v>410</v>
      </c>
      <c r="F77" s="25">
        <v>384</v>
      </c>
      <c r="G77" s="25">
        <f t="shared" si="12"/>
        <v>26</v>
      </c>
      <c r="H77">
        <v>110911304</v>
      </c>
      <c r="I77">
        <v>1109108</v>
      </c>
      <c r="J77">
        <v>237.7</v>
      </c>
      <c r="K77">
        <v>236.4</v>
      </c>
      <c r="L77">
        <v>3</v>
      </c>
      <c r="M77">
        <v>252.6</v>
      </c>
      <c r="N77" t="s">
        <v>115</v>
      </c>
      <c r="O77">
        <v>2</v>
      </c>
      <c r="P77" t="s">
        <v>19</v>
      </c>
      <c r="Q77" s="20">
        <v>44256.460879629631</v>
      </c>
      <c r="R77">
        <v>10</v>
      </c>
      <c r="S77">
        <v>252.6</v>
      </c>
      <c r="T77">
        <f t="shared" si="13"/>
        <v>242.6</v>
      </c>
      <c r="U77">
        <v>51.65</v>
      </c>
      <c r="V77" s="21">
        <v>44256</v>
      </c>
      <c r="W77" s="17">
        <f t="shared" si="14"/>
        <v>0.5765853658536586</v>
      </c>
      <c r="X77">
        <v>13.71</v>
      </c>
      <c r="Y77">
        <f>48*20*12</f>
        <v>11520</v>
      </c>
      <c r="Z77" s="26">
        <f t="shared" si="15"/>
        <v>10597.976080956762</v>
      </c>
      <c r="AA77">
        <v>4.2</v>
      </c>
      <c r="AB77">
        <v>117</v>
      </c>
      <c r="AC77" s="26">
        <f t="shared" si="16"/>
        <v>2.0205128205128204</v>
      </c>
      <c r="AD77" s="60">
        <f t="shared" si="17"/>
        <v>1.7766497461928935E-2</v>
      </c>
    </row>
    <row r="78" spans="1:30" x14ac:dyDescent="0.3">
      <c r="A78">
        <v>70</v>
      </c>
      <c r="B78" s="13">
        <v>94940</v>
      </c>
      <c r="C78" s="61">
        <v>13</v>
      </c>
      <c r="D78" s="57">
        <v>3</v>
      </c>
      <c r="E78" s="24">
        <v>537</v>
      </c>
      <c r="F78" s="25">
        <v>509.5</v>
      </c>
      <c r="G78" s="25">
        <f t="shared" si="12"/>
        <v>27.5</v>
      </c>
      <c r="H78">
        <v>110911277</v>
      </c>
      <c r="I78">
        <v>1109107</v>
      </c>
      <c r="J78">
        <v>327.3</v>
      </c>
      <c r="K78">
        <v>326.60000000000002</v>
      </c>
      <c r="L78">
        <v>4</v>
      </c>
      <c r="M78">
        <v>344</v>
      </c>
      <c r="N78" t="s">
        <v>88</v>
      </c>
      <c r="O78">
        <v>3</v>
      </c>
      <c r="P78" t="s">
        <v>21</v>
      </c>
      <c r="Q78" s="20">
        <v>44256.437592592592</v>
      </c>
      <c r="R78">
        <v>10</v>
      </c>
      <c r="S78">
        <v>344</v>
      </c>
      <c r="T78">
        <f t="shared" si="13"/>
        <v>334</v>
      </c>
      <c r="U78">
        <v>51.65</v>
      </c>
      <c r="V78" s="21">
        <v>44256</v>
      </c>
      <c r="W78" s="17">
        <f t="shared" si="14"/>
        <v>0.60819366852886414</v>
      </c>
      <c r="X78">
        <v>18.5</v>
      </c>
      <c r="Y78">
        <f>50*22*19</f>
        <v>20900</v>
      </c>
      <c r="Z78" s="26">
        <f t="shared" si="15"/>
        <v>19227.23091076357</v>
      </c>
      <c r="AA78">
        <v>4.7</v>
      </c>
      <c r="AB78">
        <v>120</v>
      </c>
      <c r="AC78" s="26">
        <f t="shared" si="16"/>
        <v>2.7216666666666667</v>
      </c>
      <c r="AD78" s="60">
        <f t="shared" si="17"/>
        <v>1.4390691977954685E-2</v>
      </c>
    </row>
    <row r="79" spans="1:30" x14ac:dyDescent="0.3">
      <c r="A79">
        <v>110</v>
      </c>
      <c r="B79" s="13">
        <v>96051</v>
      </c>
      <c r="C79" s="61">
        <v>21</v>
      </c>
      <c r="D79" s="57">
        <v>3</v>
      </c>
      <c r="E79" s="24">
        <v>480</v>
      </c>
      <c r="F79" s="25">
        <v>453.5</v>
      </c>
      <c r="G79" s="25">
        <f t="shared" si="12"/>
        <v>26.5</v>
      </c>
      <c r="H79">
        <v>110911317</v>
      </c>
      <c r="I79">
        <v>1109108</v>
      </c>
      <c r="J79">
        <v>265.2</v>
      </c>
      <c r="K79">
        <v>264.60000000000002</v>
      </c>
      <c r="L79">
        <v>3</v>
      </c>
      <c r="M79">
        <v>280.60000000000002</v>
      </c>
      <c r="N79" t="s">
        <v>128</v>
      </c>
      <c r="O79">
        <v>3</v>
      </c>
      <c r="P79" t="s">
        <v>21</v>
      </c>
      <c r="Q79" s="20">
        <v>44256.500902777778</v>
      </c>
      <c r="R79">
        <v>10</v>
      </c>
      <c r="S79">
        <v>280.60000000000002</v>
      </c>
      <c r="T79">
        <f t="shared" si="13"/>
        <v>270.60000000000002</v>
      </c>
      <c r="U79">
        <v>51.65</v>
      </c>
      <c r="V79" s="21">
        <v>44256</v>
      </c>
      <c r="W79" s="17">
        <f t="shared" si="14"/>
        <v>0.55125000000000002</v>
      </c>
      <c r="X79">
        <v>20.05</v>
      </c>
      <c r="Y79">
        <f>50*19*11</f>
        <v>10450</v>
      </c>
      <c r="Z79" s="26">
        <f t="shared" si="15"/>
        <v>9613.6154553817851</v>
      </c>
      <c r="AA79">
        <v>4.0999999999999996</v>
      </c>
      <c r="AB79">
        <v>117</v>
      </c>
      <c r="AC79" s="26">
        <f t="shared" si="16"/>
        <v>2.2615384615384619</v>
      </c>
      <c r="AD79" s="60">
        <f t="shared" si="17"/>
        <v>1.5495086923658349E-2</v>
      </c>
    </row>
    <row r="80" spans="1:30" x14ac:dyDescent="0.3">
      <c r="A80">
        <v>57</v>
      </c>
      <c r="B80" s="13">
        <v>105841</v>
      </c>
      <c r="C80" s="61">
        <v>13</v>
      </c>
      <c r="D80" s="57">
        <v>3</v>
      </c>
      <c r="E80" s="24">
        <v>458</v>
      </c>
      <c r="F80" s="25">
        <v>434.5</v>
      </c>
      <c r="G80" s="25">
        <f t="shared" si="12"/>
        <v>23.5</v>
      </c>
      <c r="H80">
        <v>110911264</v>
      </c>
      <c r="I80">
        <v>1109107</v>
      </c>
      <c r="J80">
        <v>265</v>
      </c>
      <c r="K80">
        <v>266.2</v>
      </c>
      <c r="L80">
        <v>3</v>
      </c>
      <c r="M80">
        <v>280.39999999999998</v>
      </c>
      <c r="N80" t="s">
        <v>75</v>
      </c>
      <c r="O80">
        <v>2</v>
      </c>
      <c r="P80" t="s">
        <v>19</v>
      </c>
      <c r="Q80" s="20">
        <v>44256.427673611113</v>
      </c>
      <c r="R80">
        <v>10</v>
      </c>
      <c r="S80">
        <v>280.39999999999998</v>
      </c>
      <c r="T80">
        <f t="shared" si="13"/>
        <v>270.39999999999998</v>
      </c>
      <c r="U80">
        <v>51.65</v>
      </c>
      <c r="V80" s="21">
        <v>44256</v>
      </c>
      <c r="W80" s="17">
        <f t="shared" si="14"/>
        <v>0.58122270742358073</v>
      </c>
      <c r="X80">
        <v>12.4</v>
      </c>
      <c r="Y80">
        <f>49*18*10</f>
        <v>8820</v>
      </c>
      <c r="Z80" s="26">
        <f t="shared" si="15"/>
        <v>8114.0754369825208</v>
      </c>
      <c r="AA80">
        <v>6.9</v>
      </c>
      <c r="AB80">
        <v>120</v>
      </c>
      <c r="AC80" s="26">
        <f t="shared" si="16"/>
        <v>2.2183333333333333</v>
      </c>
      <c r="AD80" s="60">
        <f t="shared" si="17"/>
        <v>2.5920360631104436E-2</v>
      </c>
    </row>
    <row r="81" spans="1:30" x14ac:dyDescent="0.3">
      <c r="A81">
        <v>69</v>
      </c>
      <c r="B81" s="13">
        <v>109479</v>
      </c>
      <c r="C81" s="61">
        <v>21</v>
      </c>
      <c r="D81" s="57">
        <v>3</v>
      </c>
      <c r="E81" s="24">
        <v>550</v>
      </c>
      <c r="F81" s="25">
        <v>508</v>
      </c>
      <c r="G81" s="25">
        <f t="shared" si="12"/>
        <v>42</v>
      </c>
      <c r="H81">
        <v>110911276</v>
      </c>
      <c r="I81">
        <v>1109107</v>
      </c>
      <c r="J81">
        <v>314.60000000000002</v>
      </c>
      <c r="K81">
        <v>313</v>
      </c>
      <c r="L81">
        <v>4</v>
      </c>
      <c r="M81">
        <v>331</v>
      </c>
      <c r="N81" t="s">
        <v>87</v>
      </c>
      <c r="O81">
        <v>3</v>
      </c>
      <c r="P81" t="s">
        <v>21</v>
      </c>
      <c r="Q81" s="20">
        <v>44256.436840277776</v>
      </c>
      <c r="R81">
        <v>10</v>
      </c>
      <c r="S81">
        <v>331</v>
      </c>
      <c r="T81">
        <f t="shared" si="13"/>
        <v>321</v>
      </c>
      <c r="U81">
        <v>51.65</v>
      </c>
      <c r="V81" s="21">
        <v>44256</v>
      </c>
      <c r="W81" s="17">
        <f t="shared" si="14"/>
        <v>0.56909090909090909</v>
      </c>
      <c r="X81">
        <v>16.010000000000002</v>
      </c>
      <c r="Y81">
        <f>48*19*13</f>
        <v>11856</v>
      </c>
      <c r="Z81" s="26">
        <f t="shared" si="15"/>
        <v>10907.083716651334</v>
      </c>
      <c r="AA81">
        <v>6.6</v>
      </c>
      <c r="AB81">
        <v>125</v>
      </c>
      <c r="AC81" s="26">
        <f t="shared" si="16"/>
        <v>2.504</v>
      </c>
      <c r="AD81" s="60">
        <f t="shared" si="17"/>
        <v>2.1086261980830669E-2</v>
      </c>
    </row>
    <row r="82" spans="1:30" x14ac:dyDescent="0.3">
      <c r="A82">
        <v>68</v>
      </c>
      <c r="B82" s="13">
        <v>109579</v>
      </c>
      <c r="C82" s="61">
        <v>2</v>
      </c>
      <c r="D82" s="57">
        <v>3</v>
      </c>
      <c r="E82" s="24">
        <v>530</v>
      </c>
      <c r="F82" s="25">
        <v>493</v>
      </c>
      <c r="G82" s="25">
        <f t="shared" si="12"/>
        <v>37</v>
      </c>
      <c r="H82">
        <v>110911275</v>
      </c>
      <c r="I82">
        <v>1109107</v>
      </c>
      <c r="J82">
        <v>316.89999999999998</v>
      </c>
      <c r="K82">
        <v>314.60000000000002</v>
      </c>
      <c r="L82">
        <v>4</v>
      </c>
      <c r="M82">
        <v>333.4</v>
      </c>
      <c r="N82" t="s">
        <v>86</v>
      </c>
      <c r="O82">
        <v>2</v>
      </c>
      <c r="P82" t="s">
        <v>19</v>
      </c>
      <c r="Q82" s="20">
        <v>44256.436261574076</v>
      </c>
      <c r="R82">
        <v>10</v>
      </c>
      <c r="S82">
        <v>333.4</v>
      </c>
      <c r="T82">
        <f t="shared" si="13"/>
        <v>323.39999999999998</v>
      </c>
      <c r="U82">
        <v>51.65</v>
      </c>
      <c r="V82" s="21">
        <v>44256</v>
      </c>
      <c r="W82" s="17">
        <f t="shared" si="14"/>
        <v>0.59358490566037736</v>
      </c>
      <c r="X82">
        <v>16.329999999999998</v>
      </c>
      <c r="Y82">
        <f>49*22*15</f>
        <v>16170</v>
      </c>
      <c r="Z82" s="26">
        <f t="shared" si="15"/>
        <v>14875.804967801289</v>
      </c>
      <c r="AA82">
        <v>5.7</v>
      </c>
      <c r="AB82">
        <v>121</v>
      </c>
      <c r="AC82" s="26">
        <f t="shared" si="16"/>
        <v>2.6</v>
      </c>
      <c r="AD82" s="60">
        <f t="shared" si="17"/>
        <v>1.8118245390972662E-2</v>
      </c>
    </row>
    <row r="83" spans="1:30" x14ac:dyDescent="0.3">
      <c r="A83">
        <v>109</v>
      </c>
      <c r="B83" s="13">
        <v>110341</v>
      </c>
      <c r="C83" s="61">
        <v>21</v>
      </c>
      <c r="D83" s="57">
        <v>3</v>
      </c>
      <c r="E83" s="24">
        <v>411</v>
      </c>
      <c r="F83" s="25">
        <v>472.5</v>
      </c>
      <c r="G83" s="25">
        <f t="shared" si="12"/>
        <v>-61.5</v>
      </c>
      <c r="H83">
        <v>110911316</v>
      </c>
      <c r="I83">
        <v>1109108</v>
      </c>
      <c r="J83">
        <v>235</v>
      </c>
      <c r="K83">
        <v>234.2</v>
      </c>
      <c r="L83">
        <v>4</v>
      </c>
      <c r="M83">
        <v>249.8</v>
      </c>
      <c r="N83" t="s">
        <v>127</v>
      </c>
      <c r="O83">
        <v>1</v>
      </c>
      <c r="P83" t="s">
        <v>64</v>
      </c>
      <c r="Q83" s="20">
        <v>44256.500347222223</v>
      </c>
      <c r="R83">
        <v>10</v>
      </c>
      <c r="S83">
        <v>249.8</v>
      </c>
      <c r="T83">
        <f t="shared" si="13"/>
        <v>239.8</v>
      </c>
      <c r="U83">
        <v>51.65</v>
      </c>
      <c r="V83" s="21">
        <v>44256</v>
      </c>
      <c r="W83" s="17">
        <f t="shared" si="14"/>
        <v>0.56982968369829679</v>
      </c>
      <c r="X83">
        <v>12.74</v>
      </c>
      <c r="Y83">
        <f>40*15*8</f>
        <v>4800</v>
      </c>
      <c r="Z83" s="26">
        <f t="shared" si="15"/>
        <v>4415.8233670653171</v>
      </c>
      <c r="AA83">
        <v>4.0999999999999996</v>
      </c>
      <c r="AB83">
        <v>116</v>
      </c>
      <c r="AC83" s="26">
        <f t="shared" si="16"/>
        <v>2.0189655172413792</v>
      </c>
      <c r="AD83" s="60">
        <f t="shared" si="17"/>
        <v>1.7506404782237403E-2</v>
      </c>
    </row>
    <row r="84" spans="1:30" x14ac:dyDescent="0.3">
      <c r="A84">
        <v>75</v>
      </c>
      <c r="B84" s="13">
        <v>110464</v>
      </c>
      <c r="C84" s="61">
        <v>7</v>
      </c>
      <c r="D84" s="57">
        <v>3</v>
      </c>
      <c r="E84" s="24">
        <v>473</v>
      </c>
      <c r="F84" s="25">
        <v>437.5</v>
      </c>
      <c r="G84" s="25">
        <f t="shared" si="12"/>
        <v>35.5</v>
      </c>
      <c r="H84">
        <v>110911282</v>
      </c>
      <c r="I84">
        <v>1109107</v>
      </c>
      <c r="J84">
        <v>283.2</v>
      </c>
      <c r="K84">
        <v>280.39999999999998</v>
      </c>
      <c r="L84">
        <v>4</v>
      </c>
      <c r="M84">
        <v>299</v>
      </c>
      <c r="N84" t="s">
        <v>93</v>
      </c>
      <c r="O84">
        <v>2</v>
      </c>
      <c r="P84" t="s">
        <v>19</v>
      </c>
      <c r="Q84" s="20">
        <v>44256.441493055558</v>
      </c>
      <c r="R84">
        <v>10</v>
      </c>
      <c r="S84">
        <v>299</v>
      </c>
      <c r="T84">
        <f t="shared" si="13"/>
        <v>289</v>
      </c>
      <c r="U84">
        <v>51.65</v>
      </c>
      <c r="V84" s="21">
        <v>44256</v>
      </c>
      <c r="W84" s="17">
        <f t="shared" si="14"/>
        <v>0.59281183932346715</v>
      </c>
      <c r="X84">
        <v>19.059999999999999</v>
      </c>
      <c r="Y84">
        <f>47*22*15</f>
        <v>15510</v>
      </c>
      <c r="Z84" s="26">
        <f t="shared" si="15"/>
        <v>14268.629254829808</v>
      </c>
      <c r="AA84">
        <v>5.9</v>
      </c>
      <c r="AB84">
        <v>115</v>
      </c>
      <c r="AC84" s="26">
        <f t="shared" si="16"/>
        <v>2.4382608695652173</v>
      </c>
      <c r="AD84" s="60">
        <f t="shared" si="17"/>
        <v>2.1041369472182599E-2</v>
      </c>
    </row>
    <row r="85" spans="1:30" x14ac:dyDescent="0.3">
      <c r="A85">
        <v>56</v>
      </c>
      <c r="B85" s="13">
        <v>111179</v>
      </c>
      <c r="C85" s="61">
        <v>13</v>
      </c>
      <c r="D85" s="57">
        <v>3</v>
      </c>
      <c r="E85" s="24">
        <v>525</v>
      </c>
      <c r="F85" s="25">
        <v>497.5</v>
      </c>
      <c r="G85" s="25">
        <f t="shared" si="12"/>
        <v>27.5</v>
      </c>
      <c r="H85">
        <v>110911263</v>
      </c>
      <c r="I85">
        <v>1109107</v>
      </c>
      <c r="J85">
        <v>312.39999999999998</v>
      </c>
      <c r="K85">
        <v>310.2</v>
      </c>
      <c r="L85">
        <v>4</v>
      </c>
      <c r="M85">
        <v>328.8</v>
      </c>
      <c r="N85" t="s">
        <v>74</v>
      </c>
      <c r="O85">
        <v>3</v>
      </c>
      <c r="P85" t="s">
        <v>21</v>
      </c>
      <c r="Q85" s="20">
        <v>44256.427094907405</v>
      </c>
      <c r="R85">
        <v>10</v>
      </c>
      <c r="S85">
        <v>328.8</v>
      </c>
      <c r="T85">
        <f t="shared" si="13"/>
        <v>318.8</v>
      </c>
      <c r="U85">
        <v>51.65</v>
      </c>
      <c r="V85" s="21">
        <v>44256</v>
      </c>
      <c r="W85" s="17">
        <f t="shared" si="14"/>
        <v>0.59085714285714286</v>
      </c>
      <c r="X85">
        <v>21.86</v>
      </c>
      <c r="Y85">
        <f>50*22*14</f>
        <v>15400</v>
      </c>
      <c r="Z85" s="26">
        <f t="shared" si="15"/>
        <v>14167.433302667894</v>
      </c>
      <c r="AA85">
        <v>5.6</v>
      </c>
      <c r="AB85">
        <v>125</v>
      </c>
      <c r="AC85" s="26">
        <f t="shared" si="16"/>
        <v>2.4815999999999998</v>
      </c>
      <c r="AD85" s="60">
        <f t="shared" si="17"/>
        <v>1.8052869116698903E-2</v>
      </c>
    </row>
    <row r="86" spans="1:30" x14ac:dyDescent="0.3">
      <c r="A86">
        <v>62</v>
      </c>
      <c r="B86" s="13">
        <v>111856</v>
      </c>
      <c r="C86" s="61">
        <v>7</v>
      </c>
      <c r="D86" s="57">
        <v>3</v>
      </c>
      <c r="E86" s="24">
        <v>467</v>
      </c>
      <c r="F86" s="25">
        <v>428</v>
      </c>
      <c r="G86" s="25">
        <f t="shared" si="12"/>
        <v>39</v>
      </c>
      <c r="H86">
        <v>110911269</v>
      </c>
      <c r="I86">
        <v>1109107</v>
      </c>
      <c r="J86">
        <v>251.1</v>
      </c>
      <c r="K86">
        <v>253.6</v>
      </c>
      <c r="L86">
        <v>3</v>
      </c>
      <c r="M86">
        <v>266.2</v>
      </c>
      <c r="N86" t="s">
        <v>80</v>
      </c>
      <c r="O86">
        <v>2</v>
      </c>
      <c r="P86" t="s">
        <v>19</v>
      </c>
      <c r="Q86" s="20">
        <v>44256.431666666664</v>
      </c>
      <c r="R86">
        <v>10</v>
      </c>
      <c r="S86">
        <v>266.2</v>
      </c>
      <c r="T86">
        <f t="shared" si="13"/>
        <v>256.2</v>
      </c>
      <c r="U86">
        <v>51.65</v>
      </c>
      <c r="V86" s="21">
        <v>44256</v>
      </c>
      <c r="W86" s="17">
        <f t="shared" si="14"/>
        <v>0.54304068522483939</v>
      </c>
      <c r="X86">
        <v>13.02</v>
      </c>
      <c r="Y86">
        <f>49*20*14</f>
        <v>13720</v>
      </c>
      <c r="Z86" s="26">
        <f t="shared" si="15"/>
        <v>12621.895124195033</v>
      </c>
      <c r="AA86">
        <v>7</v>
      </c>
      <c r="AB86">
        <v>118</v>
      </c>
      <c r="AC86" s="26">
        <f t="shared" si="16"/>
        <v>2.1491525423728812</v>
      </c>
      <c r="AD86" s="60">
        <f t="shared" si="17"/>
        <v>2.7602523659305996E-2</v>
      </c>
    </row>
    <row r="87" spans="1:30" x14ac:dyDescent="0.3">
      <c r="A87">
        <v>95</v>
      </c>
      <c r="B87" s="13">
        <v>114033</v>
      </c>
      <c r="C87" s="61">
        <v>14</v>
      </c>
      <c r="D87" s="57">
        <v>3</v>
      </c>
      <c r="E87" s="24">
        <v>527</v>
      </c>
      <c r="F87" s="25">
        <v>504.5</v>
      </c>
      <c r="G87" s="25">
        <f t="shared" si="12"/>
        <v>22.5</v>
      </c>
      <c r="H87">
        <v>110911302</v>
      </c>
      <c r="I87">
        <v>1109108</v>
      </c>
      <c r="J87">
        <v>316.7</v>
      </c>
      <c r="K87">
        <v>313.60000000000002</v>
      </c>
      <c r="L87">
        <v>4</v>
      </c>
      <c r="M87">
        <v>333.2</v>
      </c>
      <c r="N87" t="s">
        <v>113</v>
      </c>
      <c r="O87">
        <v>3</v>
      </c>
      <c r="P87" t="s">
        <v>21</v>
      </c>
      <c r="Q87" s="20">
        <v>44256.459444444445</v>
      </c>
      <c r="R87">
        <v>10</v>
      </c>
      <c r="S87">
        <v>333.2</v>
      </c>
      <c r="T87">
        <f t="shared" si="13"/>
        <v>323.2</v>
      </c>
      <c r="U87">
        <v>51.65</v>
      </c>
      <c r="V87" s="21">
        <v>44256</v>
      </c>
      <c r="W87" s="17">
        <f t="shared" si="14"/>
        <v>0.59506641366223911</v>
      </c>
      <c r="X87">
        <v>16.91</v>
      </c>
      <c r="Y87">
        <f>46*21*11</f>
        <v>10626</v>
      </c>
      <c r="Z87" s="26">
        <f t="shared" si="15"/>
        <v>9775.5289788408463</v>
      </c>
      <c r="AA87">
        <v>6.3</v>
      </c>
      <c r="AB87">
        <v>123</v>
      </c>
      <c r="AC87" s="26">
        <f t="shared" si="16"/>
        <v>2.5495934959349595</v>
      </c>
      <c r="AD87" s="60">
        <f t="shared" si="17"/>
        <v>2.0089285714285712E-2</v>
      </c>
    </row>
    <row r="88" spans="1:30" x14ac:dyDescent="0.3">
      <c r="A88">
        <v>74</v>
      </c>
      <c r="B88" s="13">
        <v>116211</v>
      </c>
      <c r="C88" s="61">
        <v>13</v>
      </c>
      <c r="D88" s="57">
        <v>3</v>
      </c>
      <c r="E88" s="24">
        <v>535</v>
      </c>
      <c r="F88" s="25">
        <v>505</v>
      </c>
      <c r="G88" s="25">
        <f t="shared" si="12"/>
        <v>30</v>
      </c>
      <c r="H88">
        <v>110911281</v>
      </c>
      <c r="I88">
        <v>1109107</v>
      </c>
      <c r="J88">
        <v>317.10000000000002</v>
      </c>
      <c r="K88">
        <v>318.8</v>
      </c>
      <c r="L88">
        <v>3</v>
      </c>
      <c r="M88">
        <v>333.6</v>
      </c>
      <c r="N88" t="s">
        <v>92</v>
      </c>
      <c r="O88">
        <v>3</v>
      </c>
      <c r="P88" t="s">
        <v>21</v>
      </c>
      <c r="Q88" s="20">
        <v>44256.440486111111</v>
      </c>
      <c r="R88">
        <v>10</v>
      </c>
      <c r="S88">
        <v>333.6</v>
      </c>
      <c r="T88">
        <f t="shared" si="13"/>
        <v>323.60000000000002</v>
      </c>
      <c r="U88">
        <v>51.65</v>
      </c>
      <c r="V88" s="21">
        <v>44256</v>
      </c>
      <c r="W88" s="17">
        <f t="shared" si="14"/>
        <v>0.59588785046728976</v>
      </c>
      <c r="X88">
        <v>14.39</v>
      </c>
      <c r="Y88">
        <f>50*19*12</f>
        <v>11400</v>
      </c>
      <c r="Z88" s="26">
        <f t="shared" si="15"/>
        <v>10487.580496780129</v>
      </c>
      <c r="AA88">
        <v>6.2</v>
      </c>
      <c r="AB88">
        <v>127</v>
      </c>
      <c r="AC88" s="26">
        <f t="shared" si="16"/>
        <v>2.5102362204724411</v>
      </c>
      <c r="AD88" s="60">
        <f t="shared" si="17"/>
        <v>1.944792973651192E-2</v>
      </c>
    </row>
    <row r="89" spans="1:30" x14ac:dyDescent="0.3">
      <c r="A89">
        <v>66</v>
      </c>
      <c r="B89" s="13">
        <v>116479</v>
      </c>
      <c r="C89" s="61">
        <v>13</v>
      </c>
      <c r="D89" s="57">
        <v>3</v>
      </c>
      <c r="E89" s="24">
        <v>513</v>
      </c>
      <c r="F89" s="25">
        <v>490</v>
      </c>
      <c r="G89" s="25">
        <f t="shared" si="12"/>
        <v>23</v>
      </c>
      <c r="H89">
        <v>110911273</v>
      </c>
      <c r="I89">
        <v>1109107</v>
      </c>
      <c r="J89">
        <v>299.5</v>
      </c>
      <c r="K89">
        <v>299</v>
      </c>
      <c r="L89">
        <v>4</v>
      </c>
      <c r="M89">
        <v>315.60000000000002</v>
      </c>
      <c r="N89" t="s">
        <v>84</v>
      </c>
      <c r="O89">
        <v>2</v>
      </c>
      <c r="P89" t="s">
        <v>19</v>
      </c>
      <c r="Q89" s="20">
        <v>44256.434837962966</v>
      </c>
      <c r="R89">
        <v>10</v>
      </c>
      <c r="S89">
        <v>315.60000000000002</v>
      </c>
      <c r="T89">
        <f t="shared" si="13"/>
        <v>305.60000000000002</v>
      </c>
      <c r="U89">
        <v>51.65</v>
      </c>
      <c r="V89" s="21">
        <v>44256</v>
      </c>
      <c r="W89" s="17">
        <f t="shared" si="14"/>
        <v>0.5828460038986355</v>
      </c>
      <c r="X89">
        <v>16.8</v>
      </c>
      <c r="Y89">
        <f>52*22*13</f>
        <v>14872</v>
      </c>
      <c r="Z89" s="26">
        <f t="shared" si="15"/>
        <v>13681.692732290709</v>
      </c>
      <c r="AA89">
        <v>5.6</v>
      </c>
      <c r="AB89">
        <v>128</v>
      </c>
      <c r="AC89" s="26">
        <f t="shared" si="16"/>
        <v>2.3359375</v>
      </c>
      <c r="AD89" s="60">
        <f t="shared" si="17"/>
        <v>1.8729096989966554E-2</v>
      </c>
    </row>
    <row r="90" spans="1:30" x14ac:dyDescent="0.3">
      <c r="A90">
        <v>44</v>
      </c>
      <c r="B90" s="13">
        <v>69098</v>
      </c>
      <c r="C90" s="61">
        <v>10</v>
      </c>
      <c r="D90" s="19">
        <v>4</v>
      </c>
      <c r="E90" s="24">
        <v>480</v>
      </c>
      <c r="F90" s="25">
        <v>440</v>
      </c>
      <c r="G90" s="25">
        <f t="shared" si="12"/>
        <v>40</v>
      </c>
      <c r="H90">
        <v>110911251</v>
      </c>
      <c r="I90">
        <v>1109107</v>
      </c>
      <c r="J90">
        <v>276</v>
      </c>
      <c r="K90">
        <v>275.8</v>
      </c>
      <c r="L90">
        <v>4</v>
      </c>
      <c r="M90">
        <v>291.60000000000002</v>
      </c>
      <c r="N90" t="s">
        <v>59</v>
      </c>
      <c r="O90">
        <v>2</v>
      </c>
      <c r="P90" t="s">
        <v>19</v>
      </c>
      <c r="Q90" s="20">
        <v>44256.417199074072</v>
      </c>
      <c r="R90">
        <v>10</v>
      </c>
      <c r="S90">
        <v>291.60000000000002</v>
      </c>
      <c r="T90">
        <f t="shared" si="13"/>
        <v>281.60000000000002</v>
      </c>
      <c r="U90">
        <v>51.65</v>
      </c>
      <c r="V90" s="21">
        <v>44256</v>
      </c>
      <c r="W90" s="17">
        <f t="shared" si="14"/>
        <v>0.57458333333333333</v>
      </c>
      <c r="X90">
        <v>23.23</v>
      </c>
      <c r="Y90">
        <f>46*19*13</f>
        <v>11362</v>
      </c>
      <c r="Z90" s="26">
        <f t="shared" si="15"/>
        <v>10452.621895124195</v>
      </c>
      <c r="AA90">
        <v>5.0999999999999996</v>
      </c>
      <c r="AB90">
        <v>117</v>
      </c>
      <c r="AC90" s="26">
        <f t="shared" si="16"/>
        <v>2.3572649572649573</v>
      </c>
      <c r="AD90" s="60">
        <f t="shared" si="17"/>
        <v>1.8491660623640317E-2</v>
      </c>
    </row>
    <row r="91" spans="1:30" x14ac:dyDescent="0.3">
      <c r="A91">
        <v>48</v>
      </c>
      <c r="B91" s="13">
        <v>75235</v>
      </c>
      <c r="C91" s="61">
        <v>4</v>
      </c>
      <c r="D91" s="19">
        <v>4</v>
      </c>
      <c r="E91" s="24">
        <v>544</v>
      </c>
      <c r="F91" s="25">
        <v>500.5</v>
      </c>
      <c r="G91" s="25">
        <f t="shared" si="12"/>
        <v>43.5</v>
      </c>
      <c r="H91">
        <v>110911255</v>
      </c>
      <c r="I91">
        <v>1109107</v>
      </c>
      <c r="J91">
        <v>320.7</v>
      </c>
      <c r="K91">
        <v>321</v>
      </c>
      <c r="L91">
        <v>3</v>
      </c>
      <c r="M91">
        <v>337.2</v>
      </c>
      <c r="N91" t="s">
        <v>63</v>
      </c>
      <c r="O91">
        <v>3</v>
      </c>
      <c r="P91" t="s">
        <v>21</v>
      </c>
      <c r="Q91" s="20">
        <v>44256.420752314814</v>
      </c>
      <c r="R91">
        <v>10</v>
      </c>
      <c r="S91">
        <v>337.2</v>
      </c>
      <c r="T91">
        <f t="shared" si="13"/>
        <v>327.2</v>
      </c>
      <c r="U91">
        <v>51.65</v>
      </c>
      <c r="V91" s="21">
        <v>44256</v>
      </c>
      <c r="W91" s="17">
        <f t="shared" si="14"/>
        <v>0.59007352941176472</v>
      </c>
      <c r="X91">
        <v>13.63</v>
      </c>
      <c r="Y91">
        <f>48*20*12</f>
        <v>11520</v>
      </c>
      <c r="Z91" s="26">
        <f t="shared" si="15"/>
        <v>10597.976080956762</v>
      </c>
      <c r="AA91">
        <v>5.9</v>
      </c>
      <c r="AB91">
        <v>128</v>
      </c>
      <c r="AC91" s="26">
        <f t="shared" si="16"/>
        <v>2.5078125</v>
      </c>
      <c r="AD91" s="60">
        <f t="shared" si="17"/>
        <v>1.8380062305295951E-2</v>
      </c>
    </row>
    <row r="92" spans="1:30" x14ac:dyDescent="0.3">
      <c r="A92">
        <v>12</v>
      </c>
      <c r="B92" s="13">
        <v>77479</v>
      </c>
      <c r="C92" s="61">
        <v>16</v>
      </c>
      <c r="D92" s="19">
        <v>4</v>
      </c>
      <c r="E92" s="24">
        <v>541</v>
      </c>
      <c r="F92" s="25">
        <v>513</v>
      </c>
      <c r="G92" s="25">
        <f t="shared" si="12"/>
        <v>28</v>
      </c>
      <c r="H92">
        <v>110911219</v>
      </c>
      <c r="I92">
        <v>1109106</v>
      </c>
      <c r="J92">
        <v>313.2</v>
      </c>
      <c r="K92">
        <v>313.39999999999998</v>
      </c>
      <c r="L92">
        <v>3</v>
      </c>
      <c r="M92">
        <v>329.6</v>
      </c>
      <c r="N92" t="s">
        <v>27</v>
      </c>
      <c r="O92">
        <v>2</v>
      </c>
      <c r="P92" t="s">
        <v>19</v>
      </c>
      <c r="Q92" s="20">
        <v>44256.388553240744</v>
      </c>
      <c r="R92">
        <v>10</v>
      </c>
      <c r="S92">
        <v>329.6</v>
      </c>
      <c r="T92">
        <f t="shared" si="13"/>
        <v>319.60000000000002</v>
      </c>
      <c r="U92">
        <v>51.65</v>
      </c>
      <c r="V92" s="21">
        <v>44256</v>
      </c>
      <c r="W92" s="17">
        <f t="shared" si="14"/>
        <v>0.57929759704251382</v>
      </c>
      <c r="X92">
        <v>12.85</v>
      </c>
      <c r="Y92">
        <f>48*14*16</f>
        <v>10752</v>
      </c>
      <c r="Z92" s="26">
        <f t="shared" si="15"/>
        <v>9891.4443422263121</v>
      </c>
      <c r="AA92">
        <v>6.3</v>
      </c>
      <c r="AB92">
        <v>128</v>
      </c>
      <c r="AC92" s="26">
        <f t="shared" si="16"/>
        <v>2.4484374999999998</v>
      </c>
      <c r="AD92" s="60">
        <f t="shared" si="17"/>
        <v>2.0102105934907466E-2</v>
      </c>
    </row>
    <row r="93" spans="1:30" x14ac:dyDescent="0.3">
      <c r="A93">
        <v>53</v>
      </c>
      <c r="B93" s="13">
        <v>84306</v>
      </c>
      <c r="C93" s="61">
        <v>16</v>
      </c>
      <c r="D93" s="19">
        <v>4</v>
      </c>
      <c r="E93" s="24">
        <v>498</v>
      </c>
      <c r="F93" s="25">
        <v>468.5</v>
      </c>
      <c r="G93" s="25">
        <f t="shared" si="12"/>
        <v>29.5</v>
      </c>
      <c r="H93">
        <v>110911260</v>
      </c>
      <c r="I93">
        <v>1109107</v>
      </c>
      <c r="J93">
        <v>301.3</v>
      </c>
      <c r="K93">
        <v>300.8</v>
      </c>
      <c r="L93">
        <v>4</v>
      </c>
      <c r="M93">
        <v>317.39999999999998</v>
      </c>
      <c r="N93" t="s">
        <v>70</v>
      </c>
      <c r="O93">
        <v>2</v>
      </c>
      <c r="P93" t="s">
        <v>19</v>
      </c>
      <c r="Q93" s="20">
        <v>44256.424537037034</v>
      </c>
      <c r="R93">
        <v>10</v>
      </c>
      <c r="S93">
        <v>317.39999999999998</v>
      </c>
      <c r="T93">
        <f t="shared" si="13"/>
        <v>307.39999999999998</v>
      </c>
      <c r="U93">
        <v>51.65</v>
      </c>
      <c r="V93" s="21">
        <v>44256</v>
      </c>
      <c r="W93" s="17">
        <f t="shared" si="14"/>
        <v>0.60401606425702814</v>
      </c>
      <c r="X93">
        <v>20.7</v>
      </c>
      <c r="Y93">
        <f>46*19*14</f>
        <v>12236</v>
      </c>
      <c r="Z93" s="26">
        <f t="shared" si="15"/>
        <v>11256.669733210672</v>
      </c>
      <c r="AA93">
        <v>5.6</v>
      </c>
      <c r="AB93">
        <v>122</v>
      </c>
      <c r="AC93" s="26">
        <f t="shared" si="16"/>
        <v>2.4655737704918033</v>
      </c>
      <c r="AD93" s="60">
        <f t="shared" si="17"/>
        <v>1.8617021276595744E-2</v>
      </c>
    </row>
    <row r="94" spans="1:30" x14ac:dyDescent="0.3">
      <c r="A94">
        <v>14</v>
      </c>
      <c r="B94" s="13">
        <v>84347</v>
      </c>
      <c r="C94" s="61">
        <v>20</v>
      </c>
      <c r="D94" s="19">
        <v>4</v>
      </c>
      <c r="E94" s="24">
        <v>515</v>
      </c>
      <c r="F94" s="25">
        <v>483.5</v>
      </c>
      <c r="G94" s="25">
        <f t="shared" si="12"/>
        <v>31.5</v>
      </c>
      <c r="H94">
        <v>110911221</v>
      </c>
      <c r="I94">
        <v>1109106</v>
      </c>
      <c r="J94">
        <v>300.3</v>
      </c>
      <c r="K94">
        <v>301.60000000000002</v>
      </c>
      <c r="L94">
        <v>3</v>
      </c>
      <c r="M94">
        <v>316.39999999999998</v>
      </c>
      <c r="N94" t="s">
        <v>29</v>
      </c>
      <c r="O94">
        <v>2</v>
      </c>
      <c r="P94" t="s">
        <v>19</v>
      </c>
      <c r="Q94" s="20">
        <v>44256.390104166669</v>
      </c>
      <c r="R94">
        <v>10</v>
      </c>
      <c r="S94">
        <v>316.39999999999998</v>
      </c>
      <c r="T94">
        <f t="shared" si="13"/>
        <v>306.39999999999998</v>
      </c>
      <c r="U94">
        <v>51.65</v>
      </c>
      <c r="V94" s="21">
        <v>44256</v>
      </c>
      <c r="W94" s="17">
        <f t="shared" si="14"/>
        <v>0.58563106796116504</v>
      </c>
      <c r="X94">
        <v>9.91</v>
      </c>
      <c r="Y94">
        <f>51*15*14</f>
        <v>10710</v>
      </c>
      <c r="Z94" s="26">
        <f t="shared" si="15"/>
        <v>9852.8058877644889</v>
      </c>
      <c r="AA94">
        <v>5</v>
      </c>
      <c r="AB94">
        <v>125</v>
      </c>
      <c r="AC94" s="26">
        <f t="shared" si="16"/>
        <v>2.4128000000000003</v>
      </c>
      <c r="AD94" s="60">
        <f t="shared" si="17"/>
        <v>1.6578249336870025E-2</v>
      </c>
    </row>
    <row r="95" spans="1:30" x14ac:dyDescent="0.3">
      <c r="A95">
        <v>49</v>
      </c>
      <c r="B95" s="13">
        <v>85098</v>
      </c>
      <c r="C95" s="61">
        <v>10</v>
      </c>
      <c r="D95" s="19">
        <v>4</v>
      </c>
      <c r="E95" s="24">
        <v>477</v>
      </c>
      <c r="F95" s="25">
        <v>440</v>
      </c>
      <c r="G95" s="25">
        <f t="shared" si="12"/>
        <v>37</v>
      </c>
      <c r="H95">
        <v>110911256</v>
      </c>
      <c r="I95">
        <v>1109107</v>
      </c>
      <c r="J95">
        <v>273.2</v>
      </c>
      <c r="K95">
        <v>273.60000000000002</v>
      </c>
      <c r="L95">
        <v>4</v>
      </c>
      <c r="M95">
        <v>288.8</v>
      </c>
      <c r="N95" t="s">
        <v>65</v>
      </c>
      <c r="O95">
        <v>1</v>
      </c>
      <c r="P95" t="s">
        <v>64</v>
      </c>
      <c r="Q95" s="20">
        <v>44256.421435185184</v>
      </c>
      <c r="R95">
        <v>10</v>
      </c>
      <c r="S95">
        <v>288.8</v>
      </c>
      <c r="T95">
        <f t="shared" si="13"/>
        <v>278.8</v>
      </c>
      <c r="U95">
        <v>51.65</v>
      </c>
      <c r="V95" s="21">
        <v>44256</v>
      </c>
      <c r="W95" s="17">
        <f t="shared" si="14"/>
        <v>0.57358490566037745</v>
      </c>
      <c r="X95">
        <v>9.73</v>
      </c>
      <c r="Y95">
        <f>47*15*16</f>
        <v>11280</v>
      </c>
      <c r="Z95" s="26">
        <f t="shared" si="15"/>
        <v>10377.184912603496</v>
      </c>
      <c r="AA95">
        <v>5.5</v>
      </c>
      <c r="AB95">
        <v>126</v>
      </c>
      <c r="AC95" s="26">
        <f t="shared" si="16"/>
        <v>2.1714285714285717</v>
      </c>
      <c r="AD95" s="60">
        <f t="shared" si="17"/>
        <v>2.0102339181286549E-2</v>
      </c>
    </row>
    <row r="96" spans="1:30" x14ac:dyDescent="0.3">
      <c r="A96">
        <v>40</v>
      </c>
      <c r="B96" s="13">
        <v>85200</v>
      </c>
      <c r="C96" s="61">
        <v>5</v>
      </c>
      <c r="D96" s="19">
        <v>4</v>
      </c>
      <c r="E96" s="24">
        <v>516</v>
      </c>
      <c r="F96" s="25">
        <v>482</v>
      </c>
      <c r="G96" s="25">
        <f t="shared" si="12"/>
        <v>34</v>
      </c>
      <c r="H96">
        <v>110911247</v>
      </c>
      <c r="I96">
        <v>1109107</v>
      </c>
      <c r="J96">
        <v>285</v>
      </c>
      <c r="K96">
        <v>283.60000000000002</v>
      </c>
      <c r="L96">
        <v>3</v>
      </c>
      <c r="M96">
        <v>300.8</v>
      </c>
      <c r="N96" t="s">
        <v>55</v>
      </c>
      <c r="O96">
        <v>2</v>
      </c>
      <c r="P96" t="s">
        <v>19</v>
      </c>
      <c r="Q96" s="20">
        <v>44256.414050925923</v>
      </c>
      <c r="R96">
        <v>10</v>
      </c>
      <c r="S96">
        <v>300.8</v>
      </c>
      <c r="T96">
        <f t="shared" si="13"/>
        <v>290.8</v>
      </c>
      <c r="U96">
        <v>51.65</v>
      </c>
      <c r="V96" s="21">
        <v>44256</v>
      </c>
      <c r="W96" s="17">
        <f t="shared" si="14"/>
        <v>0.54961240310077519</v>
      </c>
      <c r="X96">
        <v>6.6</v>
      </c>
      <c r="Y96">
        <f>49*17*10</f>
        <v>8330</v>
      </c>
      <c r="Z96" s="26">
        <f t="shared" si="15"/>
        <v>7663.2934682612695</v>
      </c>
      <c r="AA96">
        <v>6.5</v>
      </c>
      <c r="AB96">
        <v>128</v>
      </c>
      <c r="AC96" s="26">
        <f t="shared" si="16"/>
        <v>2.2156250000000002</v>
      </c>
      <c r="AD96" s="60">
        <f t="shared" si="17"/>
        <v>2.2919605077574047E-2</v>
      </c>
    </row>
    <row r="97" spans="1:30" x14ac:dyDescent="0.3">
      <c r="A97">
        <v>47</v>
      </c>
      <c r="B97" s="13">
        <v>86854</v>
      </c>
      <c r="C97" s="61">
        <v>10</v>
      </c>
      <c r="D97" s="19">
        <v>4</v>
      </c>
      <c r="E97" s="24">
        <v>519</v>
      </c>
      <c r="F97" s="25">
        <v>484</v>
      </c>
      <c r="G97" s="25">
        <f t="shared" si="12"/>
        <v>35</v>
      </c>
      <c r="H97">
        <v>110911254</v>
      </c>
      <c r="I97">
        <v>1109107</v>
      </c>
      <c r="J97">
        <v>294.8</v>
      </c>
      <c r="K97">
        <v>295</v>
      </c>
      <c r="L97">
        <v>3</v>
      </c>
      <c r="M97">
        <v>310.8</v>
      </c>
      <c r="N97" t="s">
        <v>62</v>
      </c>
      <c r="O97">
        <v>3</v>
      </c>
      <c r="P97" t="s">
        <v>21</v>
      </c>
      <c r="Q97" s="20">
        <v>44256.420081018521</v>
      </c>
      <c r="R97">
        <v>10</v>
      </c>
      <c r="S97">
        <v>310.8</v>
      </c>
      <c r="T97">
        <f t="shared" si="13"/>
        <v>300.8</v>
      </c>
      <c r="U97">
        <v>51.65</v>
      </c>
      <c r="V97" s="21">
        <v>44256</v>
      </c>
      <c r="W97" s="17">
        <f t="shared" si="14"/>
        <v>0.5684007707129094</v>
      </c>
      <c r="X97">
        <v>17.2</v>
      </c>
      <c r="Y97">
        <f>50*19*12</f>
        <v>11400</v>
      </c>
      <c r="Z97" s="26">
        <f t="shared" si="15"/>
        <v>10487.580496780129</v>
      </c>
      <c r="AA97">
        <v>6.8</v>
      </c>
      <c r="AB97">
        <v>124</v>
      </c>
      <c r="AC97" s="26">
        <f t="shared" si="16"/>
        <v>2.379032258064516</v>
      </c>
      <c r="AD97" s="60">
        <f t="shared" si="17"/>
        <v>2.305084745762712E-2</v>
      </c>
    </row>
    <row r="98" spans="1:30" x14ac:dyDescent="0.3">
      <c r="A98">
        <v>19</v>
      </c>
      <c r="B98" s="13">
        <v>87527</v>
      </c>
      <c r="C98" s="61">
        <v>20</v>
      </c>
      <c r="D98" s="19">
        <v>4</v>
      </c>
      <c r="E98" s="24">
        <v>464</v>
      </c>
      <c r="F98" s="25">
        <v>437.5</v>
      </c>
      <c r="G98" s="25">
        <f t="shared" ref="G98:G129" si="18">E98-F98</f>
        <v>26.5</v>
      </c>
      <c r="H98">
        <v>110911226</v>
      </c>
      <c r="I98">
        <v>1109106</v>
      </c>
      <c r="J98">
        <v>269.7</v>
      </c>
      <c r="K98">
        <v>271.2</v>
      </c>
      <c r="L98">
        <v>3</v>
      </c>
      <c r="M98">
        <v>285.2</v>
      </c>
      <c r="N98" t="s">
        <v>34</v>
      </c>
      <c r="O98">
        <v>2</v>
      </c>
      <c r="P98" t="s">
        <v>19</v>
      </c>
      <c r="Q98" s="20">
        <v>44256.393761574072</v>
      </c>
      <c r="R98">
        <v>10</v>
      </c>
      <c r="S98">
        <v>285.2</v>
      </c>
      <c r="T98">
        <f t="shared" ref="T98:T129" si="19">S98-10</f>
        <v>275.2</v>
      </c>
      <c r="U98">
        <v>51.65</v>
      </c>
      <c r="V98" s="21">
        <v>44256</v>
      </c>
      <c r="W98" s="17">
        <f t="shared" ref="W98:W116" si="20">K98/E98</f>
        <v>0.58448275862068966</v>
      </c>
      <c r="X98">
        <v>15.47</v>
      </c>
      <c r="Y98">
        <f>47*15*14</f>
        <v>9870</v>
      </c>
      <c r="Z98" s="26">
        <f t="shared" ref="Z98:Z129" si="21">(Y98/1.087)</f>
        <v>9080.0367985280591</v>
      </c>
      <c r="AA98">
        <v>6.6</v>
      </c>
      <c r="AB98">
        <v>119</v>
      </c>
      <c r="AC98" s="26">
        <f t="shared" ref="AC98:AC129" si="22">K98/AB98</f>
        <v>2.2789915966386554</v>
      </c>
      <c r="AD98" s="60">
        <f t="shared" ref="AD98:AD116" si="23">AA98/K98</f>
        <v>2.4336283185840708E-2</v>
      </c>
    </row>
    <row r="99" spans="1:30" x14ac:dyDescent="0.3">
      <c r="A99">
        <v>41</v>
      </c>
      <c r="B99" s="13">
        <v>88143</v>
      </c>
      <c r="C99" s="61">
        <v>4</v>
      </c>
      <c r="D99" s="19">
        <v>4</v>
      </c>
      <c r="E99" s="24">
        <v>530</v>
      </c>
      <c r="F99" s="25">
        <v>492.5</v>
      </c>
      <c r="G99" s="25">
        <f t="shared" si="18"/>
        <v>37.5</v>
      </c>
      <c r="H99">
        <v>110911248</v>
      </c>
      <c r="I99">
        <v>1109107</v>
      </c>
      <c r="J99">
        <v>308.5</v>
      </c>
      <c r="K99">
        <v>310</v>
      </c>
      <c r="L99">
        <v>4</v>
      </c>
      <c r="M99">
        <v>324.8</v>
      </c>
      <c r="N99" t="s">
        <v>56</v>
      </c>
      <c r="O99">
        <v>2</v>
      </c>
      <c r="P99" t="s">
        <v>19</v>
      </c>
      <c r="Q99" s="20">
        <v>44256.414756944447</v>
      </c>
      <c r="R99">
        <v>10</v>
      </c>
      <c r="S99">
        <v>324.8</v>
      </c>
      <c r="T99">
        <f t="shared" si="19"/>
        <v>314.8</v>
      </c>
      <c r="U99">
        <v>51.65</v>
      </c>
      <c r="V99" s="21">
        <v>44256</v>
      </c>
      <c r="W99" s="17">
        <f t="shared" si="20"/>
        <v>0.58490566037735847</v>
      </c>
      <c r="X99">
        <v>12.93</v>
      </c>
      <c r="Y99">
        <f>50*20*15</f>
        <v>15000</v>
      </c>
      <c r="Z99" s="26">
        <f t="shared" si="21"/>
        <v>13799.448022079117</v>
      </c>
      <c r="AA99">
        <v>6.3</v>
      </c>
      <c r="AB99">
        <v>128</v>
      </c>
      <c r="AC99" s="26">
        <f t="shared" si="22"/>
        <v>2.421875</v>
      </c>
      <c r="AD99" s="60">
        <f t="shared" si="23"/>
        <v>2.0322580645161289E-2</v>
      </c>
    </row>
    <row r="100" spans="1:30" x14ac:dyDescent="0.3">
      <c r="A100">
        <v>39</v>
      </c>
      <c r="B100" s="13">
        <v>89462</v>
      </c>
      <c r="C100" s="61">
        <v>4</v>
      </c>
      <c r="D100" s="19">
        <v>4</v>
      </c>
      <c r="E100" s="24">
        <v>534</v>
      </c>
      <c r="F100" s="25">
        <v>502</v>
      </c>
      <c r="G100" s="25">
        <f t="shared" si="18"/>
        <v>32</v>
      </c>
      <c r="H100">
        <v>110911246</v>
      </c>
      <c r="I100">
        <v>1109107</v>
      </c>
      <c r="J100">
        <v>310.89999999999998</v>
      </c>
      <c r="K100">
        <v>312.60000000000002</v>
      </c>
      <c r="L100">
        <v>4</v>
      </c>
      <c r="M100">
        <v>327.2</v>
      </c>
      <c r="N100" t="s">
        <v>54</v>
      </c>
      <c r="O100">
        <v>2</v>
      </c>
      <c r="P100" t="s">
        <v>19</v>
      </c>
      <c r="Q100" s="20">
        <v>44256.413252314815</v>
      </c>
      <c r="R100">
        <v>10</v>
      </c>
      <c r="S100">
        <v>327.2</v>
      </c>
      <c r="T100">
        <f t="shared" si="19"/>
        <v>317.2</v>
      </c>
      <c r="U100">
        <v>51.65</v>
      </c>
      <c r="V100" s="21">
        <v>44256</v>
      </c>
      <c r="W100" s="17">
        <f t="shared" si="20"/>
        <v>0.58539325842696632</v>
      </c>
      <c r="X100">
        <v>9.7799999999999994</v>
      </c>
      <c r="Y100">
        <f>47*17*10</f>
        <v>7990</v>
      </c>
      <c r="Z100" s="26">
        <f t="shared" si="21"/>
        <v>7350.5059797608101</v>
      </c>
      <c r="AA100">
        <v>5.7</v>
      </c>
      <c r="AB100">
        <v>127</v>
      </c>
      <c r="AC100" s="26">
        <f t="shared" si="22"/>
        <v>2.4614173228346456</v>
      </c>
      <c r="AD100" s="60">
        <f t="shared" si="23"/>
        <v>1.8234165067178502E-2</v>
      </c>
    </row>
    <row r="101" spans="1:30" x14ac:dyDescent="0.3">
      <c r="A101">
        <v>43</v>
      </c>
      <c r="B101" s="13">
        <v>89645</v>
      </c>
      <c r="C101" s="61">
        <v>5</v>
      </c>
      <c r="D101" s="19">
        <v>4</v>
      </c>
      <c r="E101" s="24">
        <v>524</v>
      </c>
      <c r="F101" s="25">
        <v>485.5</v>
      </c>
      <c r="G101" s="25">
        <f t="shared" si="18"/>
        <v>38.5</v>
      </c>
      <c r="H101">
        <v>110911250</v>
      </c>
      <c r="I101">
        <v>1109107</v>
      </c>
      <c r="J101">
        <v>293</v>
      </c>
      <c r="K101">
        <v>293.39999999999998</v>
      </c>
      <c r="L101">
        <v>3</v>
      </c>
      <c r="M101">
        <v>309</v>
      </c>
      <c r="N101" t="s">
        <v>58</v>
      </c>
      <c r="O101">
        <v>2</v>
      </c>
      <c r="P101" t="s">
        <v>19</v>
      </c>
      <c r="Q101" s="20">
        <v>44256.416307870371</v>
      </c>
      <c r="R101">
        <v>10</v>
      </c>
      <c r="S101">
        <v>309</v>
      </c>
      <c r="T101">
        <f t="shared" si="19"/>
        <v>299</v>
      </c>
      <c r="U101">
        <v>51.65</v>
      </c>
      <c r="V101" s="21">
        <v>44256</v>
      </c>
      <c r="W101" s="17">
        <f t="shared" si="20"/>
        <v>0.55992366412213734</v>
      </c>
      <c r="X101">
        <v>8.5399999999999991</v>
      </c>
      <c r="Y101">
        <f>50*17*11</f>
        <v>9350</v>
      </c>
      <c r="Z101" s="26">
        <f t="shared" si="21"/>
        <v>8601.6559337626495</v>
      </c>
      <c r="AA101">
        <v>5.3</v>
      </c>
      <c r="AB101">
        <v>127</v>
      </c>
      <c r="AC101" s="26">
        <f t="shared" si="22"/>
        <v>2.3102362204724409</v>
      </c>
      <c r="AD101" s="60">
        <f t="shared" si="23"/>
        <v>1.8064076346284937E-2</v>
      </c>
    </row>
    <row r="102" spans="1:30" x14ac:dyDescent="0.3">
      <c r="A102">
        <v>55</v>
      </c>
      <c r="B102" s="13">
        <v>102017</v>
      </c>
      <c r="C102" s="61">
        <v>10</v>
      </c>
      <c r="D102" s="19">
        <v>4</v>
      </c>
      <c r="E102" s="24">
        <v>528</v>
      </c>
      <c r="F102" s="25">
        <v>489</v>
      </c>
      <c r="G102" s="25">
        <f t="shared" si="18"/>
        <v>39</v>
      </c>
      <c r="H102">
        <v>110911262</v>
      </c>
      <c r="I102">
        <v>1109107</v>
      </c>
      <c r="J102">
        <v>302</v>
      </c>
      <c r="K102">
        <v>302.8</v>
      </c>
      <c r="L102">
        <v>3</v>
      </c>
      <c r="M102">
        <v>318.2</v>
      </c>
      <c r="N102" t="s">
        <v>73</v>
      </c>
      <c r="O102">
        <v>2</v>
      </c>
      <c r="P102" t="s">
        <v>19</v>
      </c>
      <c r="Q102" s="20">
        <v>44256.426076388889</v>
      </c>
      <c r="R102">
        <v>10</v>
      </c>
      <c r="S102">
        <v>318.2</v>
      </c>
      <c r="T102">
        <f t="shared" si="19"/>
        <v>308.2</v>
      </c>
      <c r="U102">
        <v>51.65</v>
      </c>
      <c r="V102" s="21">
        <v>44256</v>
      </c>
      <c r="W102" s="17">
        <f t="shared" si="20"/>
        <v>0.57348484848484849</v>
      </c>
      <c r="X102">
        <v>10.74</v>
      </c>
      <c r="Y102">
        <f>54*18*13</f>
        <v>12636</v>
      </c>
      <c r="Z102" s="26">
        <f t="shared" si="21"/>
        <v>11624.655013799449</v>
      </c>
      <c r="AA102">
        <v>7</v>
      </c>
      <c r="AB102">
        <v>127</v>
      </c>
      <c r="AC102" s="26">
        <f t="shared" si="22"/>
        <v>2.3842519685039369</v>
      </c>
      <c r="AD102" s="60">
        <f t="shared" si="23"/>
        <v>2.3117569352708058E-2</v>
      </c>
    </row>
    <row r="103" spans="1:30" x14ac:dyDescent="0.3">
      <c r="A103">
        <v>15</v>
      </c>
      <c r="B103" s="13">
        <v>108973</v>
      </c>
      <c r="C103" s="61">
        <v>16</v>
      </c>
      <c r="D103" s="19">
        <v>4</v>
      </c>
      <c r="E103" s="24">
        <v>526</v>
      </c>
      <c r="F103" s="25">
        <v>501</v>
      </c>
      <c r="G103" s="25">
        <f t="shared" si="18"/>
        <v>25</v>
      </c>
      <c r="H103">
        <v>110911222</v>
      </c>
      <c r="I103">
        <v>1109106</v>
      </c>
      <c r="J103">
        <v>308.3</v>
      </c>
      <c r="K103">
        <v>310.39999999999998</v>
      </c>
      <c r="L103">
        <v>4</v>
      </c>
      <c r="M103">
        <v>324.60000000000002</v>
      </c>
      <c r="N103" t="s">
        <v>30</v>
      </c>
      <c r="O103">
        <v>3</v>
      </c>
      <c r="P103" t="s">
        <v>21</v>
      </c>
      <c r="Q103" s="20">
        <v>44256.390821759262</v>
      </c>
      <c r="R103">
        <v>10</v>
      </c>
      <c r="S103">
        <v>324.60000000000002</v>
      </c>
      <c r="T103">
        <f t="shared" si="19"/>
        <v>314.60000000000002</v>
      </c>
      <c r="U103">
        <v>51.65</v>
      </c>
      <c r="V103" s="21">
        <v>44256</v>
      </c>
      <c r="W103" s="17">
        <f t="shared" si="20"/>
        <v>0.59011406844106462</v>
      </c>
      <c r="X103">
        <v>11.97</v>
      </c>
      <c r="Y103">
        <f>50*17*15</f>
        <v>12750</v>
      </c>
      <c r="Z103" s="26">
        <f t="shared" si="21"/>
        <v>11729.530818767249</v>
      </c>
      <c r="AA103">
        <v>6</v>
      </c>
      <c r="AB103">
        <v>124</v>
      </c>
      <c r="AC103" s="26">
        <f t="shared" si="22"/>
        <v>2.5032258064516126</v>
      </c>
      <c r="AD103" s="60">
        <f t="shared" si="23"/>
        <v>1.9329896907216496E-2</v>
      </c>
    </row>
    <row r="104" spans="1:30" x14ac:dyDescent="0.3">
      <c r="A104">
        <v>11</v>
      </c>
      <c r="B104" s="13">
        <v>109167</v>
      </c>
      <c r="C104" s="61">
        <v>16</v>
      </c>
      <c r="D104" s="19">
        <v>4</v>
      </c>
      <c r="E104" s="24">
        <v>461</v>
      </c>
      <c r="F104" s="25">
        <v>441.5</v>
      </c>
      <c r="G104" s="25">
        <f t="shared" si="18"/>
        <v>19.5</v>
      </c>
      <c r="H104">
        <v>110911218</v>
      </c>
      <c r="I104">
        <v>1109106</v>
      </c>
      <c r="J104">
        <v>279.7</v>
      </c>
      <c r="K104">
        <v>281</v>
      </c>
      <c r="L104">
        <v>3</v>
      </c>
      <c r="M104">
        <v>295.39999999999998</v>
      </c>
      <c r="N104" t="s">
        <v>26</v>
      </c>
      <c r="O104">
        <v>3</v>
      </c>
      <c r="P104" t="s">
        <v>21</v>
      </c>
      <c r="Q104" s="20">
        <v>44256.387743055559</v>
      </c>
      <c r="R104">
        <v>10</v>
      </c>
      <c r="S104">
        <v>295.39999999999998</v>
      </c>
      <c r="T104">
        <f t="shared" si="19"/>
        <v>285.39999999999998</v>
      </c>
      <c r="U104">
        <v>51.65</v>
      </c>
      <c r="V104" s="21">
        <v>44256</v>
      </c>
      <c r="W104" s="17">
        <f t="shared" si="20"/>
        <v>0.6095444685466378</v>
      </c>
      <c r="X104">
        <v>20.2</v>
      </c>
      <c r="Y104">
        <f>47*14*14</f>
        <v>9212</v>
      </c>
      <c r="Z104" s="26">
        <f t="shared" si="21"/>
        <v>8474.7010119595216</v>
      </c>
      <c r="AA104">
        <v>4.8</v>
      </c>
      <c r="AB104">
        <v>122</v>
      </c>
      <c r="AC104" s="26">
        <f t="shared" si="22"/>
        <v>2.3032786885245899</v>
      </c>
      <c r="AD104" s="60">
        <f t="shared" si="23"/>
        <v>1.7081850533807827E-2</v>
      </c>
    </row>
    <row r="105" spans="1:30" x14ac:dyDescent="0.3">
      <c r="A105">
        <v>17</v>
      </c>
      <c r="B105" s="13">
        <v>109290</v>
      </c>
      <c r="C105" s="61">
        <v>20</v>
      </c>
      <c r="D105" s="19">
        <v>4</v>
      </c>
      <c r="E105" s="24">
        <v>490</v>
      </c>
      <c r="F105" s="25">
        <v>455.5</v>
      </c>
      <c r="G105" s="25">
        <f t="shared" si="18"/>
        <v>34.5</v>
      </c>
      <c r="H105">
        <v>110911224</v>
      </c>
      <c r="I105">
        <v>1109106</v>
      </c>
      <c r="J105">
        <v>285.60000000000002</v>
      </c>
      <c r="K105">
        <v>286.60000000000002</v>
      </c>
      <c r="L105">
        <v>3</v>
      </c>
      <c r="M105">
        <v>301.39999999999998</v>
      </c>
      <c r="N105" t="s">
        <v>32</v>
      </c>
      <c r="O105">
        <v>2</v>
      </c>
      <c r="P105" t="s">
        <v>19</v>
      </c>
      <c r="Q105" s="20">
        <v>44256.392060185186</v>
      </c>
      <c r="R105">
        <v>10</v>
      </c>
      <c r="S105">
        <v>301.39999999999998</v>
      </c>
      <c r="T105">
        <f t="shared" si="19"/>
        <v>291.39999999999998</v>
      </c>
      <c r="U105">
        <v>51.65</v>
      </c>
      <c r="V105" s="21">
        <v>44256</v>
      </c>
      <c r="W105" s="17">
        <f t="shared" si="20"/>
        <v>0.58489795918367349</v>
      </c>
      <c r="X105">
        <v>16.95</v>
      </c>
      <c r="Y105">
        <f>49*13*16</f>
        <v>10192</v>
      </c>
      <c r="Z105" s="26">
        <f t="shared" si="21"/>
        <v>9376.2649494020243</v>
      </c>
      <c r="AA105">
        <v>6.6</v>
      </c>
      <c r="AB105">
        <v>122</v>
      </c>
      <c r="AC105" s="26">
        <f t="shared" si="22"/>
        <v>2.3491803278688526</v>
      </c>
      <c r="AD105" s="60">
        <f t="shared" si="23"/>
        <v>2.3028611304954639E-2</v>
      </c>
    </row>
    <row r="106" spans="1:30" x14ac:dyDescent="0.3">
      <c r="A106">
        <v>51</v>
      </c>
      <c r="B106" s="13">
        <v>110197</v>
      </c>
      <c r="C106" s="61">
        <v>5</v>
      </c>
      <c r="D106" s="19">
        <v>4</v>
      </c>
      <c r="E106" s="24">
        <v>516</v>
      </c>
      <c r="F106" s="25">
        <v>487</v>
      </c>
      <c r="G106" s="25">
        <f t="shared" si="18"/>
        <v>29</v>
      </c>
      <c r="H106">
        <v>110911258</v>
      </c>
      <c r="I106">
        <v>1109107</v>
      </c>
      <c r="J106">
        <v>300.89999999999998</v>
      </c>
      <c r="K106">
        <v>299.60000000000002</v>
      </c>
      <c r="L106">
        <v>3</v>
      </c>
      <c r="M106">
        <v>317</v>
      </c>
      <c r="N106" t="s">
        <v>68</v>
      </c>
      <c r="O106">
        <v>3</v>
      </c>
      <c r="P106" t="s">
        <v>67</v>
      </c>
      <c r="Q106" s="20">
        <v>44256.423020833332</v>
      </c>
      <c r="R106">
        <v>10</v>
      </c>
      <c r="S106">
        <v>317</v>
      </c>
      <c r="T106">
        <f t="shared" si="19"/>
        <v>307</v>
      </c>
      <c r="U106">
        <v>49.65</v>
      </c>
      <c r="V106" s="21">
        <v>44256</v>
      </c>
      <c r="W106" s="17">
        <f t="shared" si="20"/>
        <v>0.58062015503875974</v>
      </c>
      <c r="X106">
        <v>18.28</v>
      </c>
      <c r="Y106">
        <f>48*23*16</f>
        <v>17664</v>
      </c>
      <c r="Z106" s="26">
        <f t="shared" si="21"/>
        <v>16250.229990800368</v>
      </c>
      <c r="AA106">
        <v>6</v>
      </c>
      <c r="AB106">
        <v>124</v>
      </c>
      <c r="AC106" s="26">
        <f t="shared" si="22"/>
        <v>2.4161290322580649</v>
      </c>
      <c r="AD106" s="60">
        <f t="shared" si="23"/>
        <v>2.0026702269692921E-2</v>
      </c>
    </row>
    <row r="107" spans="1:30" x14ac:dyDescent="0.3">
      <c r="A107">
        <v>46</v>
      </c>
      <c r="B107" s="13">
        <v>111446</v>
      </c>
      <c r="C107" s="61">
        <v>10</v>
      </c>
      <c r="D107" s="19">
        <v>4</v>
      </c>
      <c r="E107" s="24">
        <v>526</v>
      </c>
      <c r="F107" s="25">
        <v>489</v>
      </c>
      <c r="G107" s="25">
        <f t="shared" si="18"/>
        <v>37</v>
      </c>
      <c r="H107">
        <v>110911253</v>
      </c>
      <c r="I107">
        <v>1109107</v>
      </c>
      <c r="J107">
        <v>304.2</v>
      </c>
      <c r="K107">
        <v>305.8</v>
      </c>
      <c r="L107">
        <v>3</v>
      </c>
      <c r="M107">
        <v>320.39999999999998</v>
      </c>
      <c r="N107" t="s">
        <v>61</v>
      </c>
      <c r="O107">
        <v>2</v>
      </c>
      <c r="P107" t="s">
        <v>19</v>
      </c>
      <c r="Q107" s="20">
        <v>44256.419317129628</v>
      </c>
      <c r="R107">
        <v>10</v>
      </c>
      <c r="S107">
        <v>320.39999999999998</v>
      </c>
      <c r="T107">
        <f t="shared" si="19"/>
        <v>310.39999999999998</v>
      </c>
      <c r="U107">
        <v>51.65</v>
      </c>
      <c r="V107" s="21">
        <v>44256</v>
      </c>
      <c r="W107" s="17">
        <f t="shared" si="20"/>
        <v>0.58136882129277567</v>
      </c>
      <c r="X107">
        <v>4.1399999999999997</v>
      </c>
      <c r="Y107">
        <f>50*19*11</f>
        <v>10450</v>
      </c>
      <c r="Z107" s="26">
        <f t="shared" si="21"/>
        <v>9613.6154553817851</v>
      </c>
      <c r="AA107">
        <v>5.7</v>
      </c>
      <c r="AB107">
        <v>125</v>
      </c>
      <c r="AC107" s="26">
        <f t="shared" si="22"/>
        <v>2.4464000000000001</v>
      </c>
      <c r="AD107" s="60">
        <f t="shared" si="23"/>
        <v>1.8639633747547416E-2</v>
      </c>
    </row>
    <row r="108" spans="1:30" x14ac:dyDescent="0.3">
      <c r="A108">
        <v>42</v>
      </c>
      <c r="B108" s="13">
        <v>111569</v>
      </c>
      <c r="C108" s="61">
        <v>5</v>
      </c>
      <c r="D108" s="19">
        <v>4</v>
      </c>
      <c r="E108" s="24">
        <v>478</v>
      </c>
      <c r="F108" s="25">
        <v>437.5</v>
      </c>
      <c r="G108" s="25">
        <f t="shared" si="18"/>
        <v>40.5</v>
      </c>
      <c r="H108">
        <v>110911249</v>
      </c>
      <c r="I108">
        <v>1109107</v>
      </c>
      <c r="J108">
        <v>265</v>
      </c>
      <c r="K108">
        <v>265.2</v>
      </c>
      <c r="L108">
        <v>3</v>
      </c>
      <c r="M108">
        <v>280.39999999999998</v>
      </c>
      <c r="N108" t="s">
        <v>57</v>
      </c>
      <c r="O108">
        <v>2</v>
      </c>
      <c r="P108" t="s">
        <v>19</v>
      </c>
      <c r="Q108" s="20">
        <v>44256.415659722225</v>
      </c>
      <c r="R108">
        <v>10</v>
      </c>
      <c r="S108">
        <v>280.39999999999998</v>
      </c>
      <c r="T108">
        <f t="shared" si="19"/>
        <v>270.39999999999998</v>
      </c>
      <c r="U108">
        <v>51.65</v>
      </c>
      <c r="V108" s="21">
        <v>44256</v>
      </c>
      <c r="W108" s="17">
        <f t="shared" si="20"/>
        <v>0.55481171548117147</v>
      </c>
      <c r="X108">
        <v>6.17</v>
      </c>
      <c r="Y108">
        <f>46*18*13</f>
        <v>10764</v>
      </c>
      <c r="Z108" s="26">
        <f t="shared" si="21"/>
        <v>9902.4839006439743</v>
      </c>
      <c r="AA108">
        <v>7</v>
      </c>
      <c r="AB108">
        <v>121</v>
      </c>
      <c r="AC108" s="26">
        <f t="shared" si="22"/>
        <v>2.1917355371900826</v>
      </c>
      <c r="AD108" s="60">
        <f t="shared" si="23"/>
        <v>2.6395173453996983E-2</v>
      </c>
    </row>
    <row r="109" spans="1:30" x14ac:dyDescent="0.3">
      <c r="A109">
        <v>13</v>
      </c>
      <c r="B109" s="13">
        <v>112523</v>
      </c>
      <c r="C109" s="61">
        <v>16</v>
      </c>
      <c r="D109" s="19">
        <v>4</v>
      </c>
      <c r="E109" s="24">
        <v>475</v>
      </c>
      <c r="F109" s="25">
        <v>444.5</v>
      </c>
      <c r="G109" s="25">
        <f t="shared" si="18"/>
        <v>30.5</v>
      </c>
      <c r="H109">
        <v>110911220</v>
      </c>
      <c r="I109">
        <v>1109106</v>
      </c>
      <c r="J109">
        <v>275.39999999999998</v>
      </c>
      <c r="K109">
        <v>274.8</v>
      </c>
      <c r="L109">
        <v>3</v>
      </c>
      <c r="M109">
        <v>291</v>
      </c>
      <c r="N109" t="s">
        <v>28</v>
      </c>
      <c r="O109">
        <v>2</v>
      </c>
      <c r="P109" t="s">
        <v>19</v>
      </c>
      <c r="Q109" s="20">
        <v>44256.389270833337</v>
      </c>
      <c r="R109">
        <v>10</v>
      </c>
      <c r="S109">
        <v>291</v>
      </c>
      <c r="T109">
        <f t="shared" si="19"/>
        <v>281</v>
      </c>
      <c r="U109">
        <v>51.65</v>
      </c>
      <c r="V109" s="21">
        <v>44256</v>
      </c>
      <c r="W109" s="17">
        <f t="shared" si="20"/>
        <v>0.57852631578947367</v>
      </c>
      <c r="X109">
        <v>14.65</v>
      </c>
      <c r="Y109">
        <f>52*19*19</f>
        <v>18772</v>
      </c>
      <c r="Z109" s="26">
        <f t="shared" si="21"/>
        <v>17269.549218031279</v>
      </c>
      <c r="AA109" s="22">
        <v>6</v>
      </c>
      <c r="AB109">
        <v>133</v>
      </c>
      <c r="AC109" s="26">
        <f t="shared" si="22"/>
        <v>2.0661654135338345</v>
      </c>
      <c r="AD109" s="60">
        <f t="shared" si="23"/>
        <v>2.1834061135371178E-2</v>
      </c>
    </row>
    <row r="110" spans="1:30" x14ac:dyDescent="0.3">
      <c r="A110">
        <v>54</v>
      </c>
      <c r="B110" s="13">
        <v>112709</v>
      </c>
      <c r="C110" s="61">
        <v>4</v>
      </c>
      <c r="D110" s="19">
        <v>4</v>
      </c>
      <c r="E110" s="24">
        <v>420</v>
      </c>
      <c r="F110" s="25">
        <v>387.5</v>
      </c>
      <c r="G110" s="25">
        <f t="shared" si="18"/>
        <v>32.5</v>
      </c>
      <c r="H110">
        <v>110911261</v>
      </c>
      <c r="I110">
        <v>1109107</v>
      </c>
      <c r="J110">
        <v>241.7</v>
      </c>
      <c r="K110">
        <v>241.4</v>
      </c>
      <c r="L110">
        <v>3</v>
      </c>
      <c r="M110">
        <v>256.60000000000002</v>
      </c>
      <c r="N110" t="s">
        <v>72</v>
      </c>
      <c r="O110">
        <v>2</v>
      </c>
      <c r="P110" t="s">
        <v>71</v>
      </c>
      <c r="Q110" s="20">
        <v>44256.425428240742</v>
      </c>
      <c r="R110">
        <v>10</v>
      </c>
      <c r="S110">
        <v>256.60000000000002</v>
      </c>
      <c r="T110">
        <f t="shared" si="19"/>
        <v>246.60000000000002</v>
      </c>
      <c r="U110">
        <v>49.65</v>
      </c>
      <c r="V110" s="21">
        <v>44256</v>
      </c>
      <c r="W110" s="17">
        <f t="shared" si="20"/>
        <v>0.57476190476190481</v>
      </c>
      <c r="X110">
        <v>12.71</v>
      </c>
      <c r="Y110">
        <f>45*16*13</f>
        <v>9360</v>
      </c>
      <c r="Z110" s="26">
        <f t="shared" si="21"/>
        <v>8610.8555657773686</v>
      </c>
      <c r="AA110">
        <v>4.4000000000000004</v>
      </c>
      <c r="AB110">
        <v>116</v>
      </c>
      <c r="AC110" s="26">
        <f t="shared" si="22"/>
        <v>2.0810344827586209</v>
      </c>
      <c r="AD110" s="60">
        <f t="shared" si="23"/>
        <v>1.8227009113504559E-2</v>
      </c>
    </row>
    <row r="111" spans="1:30" x14ac:dyDescent="0.3">
      <c r="A111">
        <v>18</v>
      </c>
      <c r="B111" s="13">
        <v>114077</v>
      </c>
      <c r="C111" s="61">
        <v>20</v>
      </c>
      <c r="D111" s="19">
        <v>4</v>
      </c>
      <c r="E111" s="24">
        <v>462</v>
      </c>
      <c r="F111" s="25">
        <v>433</v>
      </c>
      <c r="G111" s="25">
        <f t="shared" si="18"/>
        <v>29</v>
      </c>
      <c r="H111">
        <v>110911225</v>
      </c>
      <c r="I111">
        <v>1109106</v>
      </c>
      <c r="J111">
        <v>264.8</v>
      </c>
      <c r="K111">
        <v>264.60000000000002</v>
      </c>
      <c r="L111">
        <v>3</v>
      </c>
      <c r="M111">
        <v>280.2</v>
      </c>
      <c r="N111" t="s">
        <v>33</v>
      </c>
      <c r="O111">
        <v>2</v>
      </c>
      <c r="P111" t="s">
        <v>19</v>
      </c>
      <c r="Q111" s="20">
        <v>44256.392800925925</v>
      </c>
      <c r="R111">
        <v>10</v>
      </c>
      <c r="S111">
        <v>280.2</v>
      </c>
      <c r="T111">
        <f t="shared" si="19"/>
        <v>270.2</v>
      </c>
      <c r="U111">
        <v>51.65</v>
      </c>
      <c r="V111" s="21">
        <v>44256</v>
      </c>
      <c r="W111" s="17">
        <f t="shared" si="20"/>
        <v>0.57272727272727275</v>
      </c>
      <c r="X111">
        <v>4.4000000000000004</v>
      </c>
      <c r="Y111">
        <f>47*17*16</f>
        <v>12784</v>
      </c>
      <c r="Z111" s="26">
        <f t="shared" si="21"/>
        <v>11760.809567617296</v>
      </c>
      <c r="AA111">
        <v>4.7</v>
      </c>
      <c r="AB111">
        <v>123</v>
      </c>
      <c r="AC111" s="26">
        <f t="shared" si="22"/>
        <v>2.1512195121951221</v>
      </c>
      <c r="AD111" s="60">
        <f t="shared" si="23"/>
        <v>1.7762660619803475E-2</v>
      </c>
    </row>
    <row r="112" spans="1:30" x14ac:dyDescent="0.3">
      <c r="A112">
        <v>52</v>
      </c>
      <c r="B112" s="13">
        <v>114952</v>
      </c>
      <c r="C112" s="61">
        <v>10</v>
      </c>
      <c r="D112" s="19">
        <v>4</v>
      </c>
      <c r="E112" s="24">
        <v>433</v>
      </c>
      <c r="F112" s="25">
        <v>401.5</v>
      </c>
      <c r="G112" s="25">
        <f t="shared" si="18"/>
        <v>31.5</v>
      </c>
      <c r="H112">
        <v>110911259</v>
      </c>
      <c r="I112">
        <v>1109107</v>
      </c>
      <c r="J112">
        <v>249.9</v>
      </c>
      <c r="K112">
        <v>249</v>
      </c>
      <c r="L112">
        <v>3</v>
      </c>
      <c r="M112">
        <v>265</v>
      </c>
      <c r="N112" t="s">
        <v>69</v>
      </c>
      <c r="O112">
        <v>2</v>
      </c>
      <c r="P112" t="s">
        <v>19</v>
      </c>
      <c r="Q112" s="20">
        <v>44256.423726851855</v>
      </c>
      <c r="R112">
        <v>10</v>
      </c>
      <c r="S112">
        <v>265</v>
      </c>
      <c r="T112">
        <f t="shared" si="19"/>
        <v>255</v>
      </c>
      <c r="U112">
        <v>51.65</v>
      </c>
      <c r="V112" s="21">
        <v>44256</v>
      </c>
      <c r="W112" s="17">
        <f t="shared" si="20"/>
        <v>0.57505773672055427</v>
      </c>
      <c r="X112">
        <v>6.73</v>
      </c>
      <c r="Y112">
        <f>49*17*14</f>
        <v>11662</v>
      </c>
      <c r="Z112" s="26">
        <f t="shared" si="21"/>
        <v>10728.610855565777</v>
      </c>
      <c r="AA112">
        <v>5.5</v>
      </c>
      <c r="AB112">
        <v>120</v>
      </c>
      <c r="AC112" s="26">
        <f t="shared" si="22"/>
        <v>2.0750000000000002</v>
      </c>
      <c r="AD112" s="60">
        <f t="shared" si="23"/>
        <v>2.2088353413654619E-2</v>
      </c>
    </row>
    <row r="113" spans="1:30" x14ac:dyDescent="0.3">
      <c r="A113">
        <v>45</v>
      </c>
      <c r="B113" s="13">
        <v>115234</v>
      </c>
      <c r="C113" s="61">
        <v>5</v>
      </c>
      <c r="D113" s="19">
        <v>4</v>
      </c>
      <c r="E113" s="24">
        <v>493</v>
      </c>
      <c r="F113" s="25">
        <v>463</v>
      </c>
      <c r="G113" s="25">
        <f t="shared" si="18"/>
        <v>30</v>
      </c>
      <c r="H113">
        <v>110911252</v>
      </c>
      <c r="I113">
        <v>1109107</v>
      </c>
      <c r="J113">
        <v>286.2</v>
      </c>
      <c r="K113">
        <v>285.8</v>
      </c>
      <c r="L113">
        <v>3</v>
      </c>
      <c r="M113">
        <v>302</v>
      </c>
      <c r="N113" t="s">
        <v>60</v>
      </c>
      <c r="O113">
        <v>3</v>
      </c>
      <c r="P113" t="s">
        <v>21</v>
      </c>
      <c r="Q113" s="20">
        <v>44256.418356481481</v>
      </c>
      <c r="R113">
        <v>10</v>
      </c>
      <c r="S113">
        <v>302</v>
      </c>
      <c r="T113">
        <f t="shared" si="19"/>
        <v>292</v>
      </c>
      <c r="U113">
        <v>51.65</v>
      </c>
      <c r="V113" s="21">
        <v>44256</v>
      </c>
      <c r="W113" s="17">
        <f t="shared" si="20"/>
        <v>0.57971602434077085</v>
      </c>
      <c r="X113">
        <v>11.35</v>
      </c>
      <c r="Y113">
        <f>51*16*14</f>
        <v>11424</v>
      </c>
      <c r="Z113" s="26">
        <f t="shared" si="21"/>
        <v>10509.659613615455</v>
      </c>
      <c r="AA113">
        <v>6.1</v>
      </c>
      <c r="AB113">
        <v>126</v>
      </c>
      <c r="AC113" s="26">
        <f t="shared" si="22"/>
        <v>2.2682539682539682</v>
      </c>
      <c r="AD113" s="60">
        <f t="shared" si="23"/>
        <v>2.1343596920923722E-2</v>
      </c>
    </row>
    <row r="114" spans="1:30" x14ac:dyDescent="0.3">
      <c r="A114">
        <v>50</v>
      </c>
      <c r="B114" s="13">
        <v>115995</v>
      </c>
      <c r="C114" s="61">
        <v>4</v>
      </c>
      <c r="D114" s="19">
        <v>4</v>
      </c>
      <c r="E114" s="24">
        <v>478</v>
      </c>
      <c r="F114" s="25">
        <v>436.5</v>
      </c>
      <c r="G114" s="25">
        <f t="shared" si="18"/>
        <v>41.5</v>
      </c>
      <c r="H114">
        <v>110911257</v>
      </c>
      <c r="I114">
        <v>1109107</v>
      </c>
      <c r="J114">
        <v>268.3</v>
      </c>
      <c r="K114">
        <v>267.8</v>
      </c>
      <c r="L114">
        <v>4</v>
      </c>
      <c r="M114">
        <v>283.8</v>
      </c>
      <c r="N114" t="s">
        <v>66</v>
      </c>
      <c r="O114">
        <v>2</v>
      </c>
      <c r="P114" t="s">
        <v>19</v>
      </c>
      <c r="Q114" s="20">
        <v>44256.422337962962</v>
      </c>
      <c r="R114">
        <v>10</v>
      </c>
      <c r="S114">
        <v>283.8</v>
      </c>
      <c r="T114">
        <f t="shared" si="19"/>
        <v>273.8</v>
      </c>
      <c r="U114">
        <v>51.65</v>
      </c>
      <c r="V114" s="21">
        <v>44256</v>
      </c>
      <c r="W114" s="17">
        <f t="shared" si="20"/>
        <v>0.56025104602510467</v>
      </c>
      <c r="X114">
        <v>7.97</v>
      </c>
      <c r="Y114">
        <f>49*19*17</f>
        <v>15827</v>
      </c>
      <c r="Z114" s="26">
        <f t="shared" si="21"/>
        <v>14560.257589696412</v>
      </c>
      <c r="AA114">
        <v>5.2</v>
      </c>
      <c r="AB114">
        <v>123</v>
      </c>
      <c r="AC114" s="26">
        <f t="shared" si="22"/>
        <v>2.1772357723577236</v>
      </c>
      <c r="AD114" s="60">
        <f t="shared" si="23"/>
        <v>1.9417475728155338E-2</v>
      </c>
    </row>
    <row r="115" spans="1:30" x14ac:dyDescent="0.3">
      <c r="A115">
        <v>16</v>
      </c>
      <c r="B115" s="13">
        <v>116314</v>
      </c>
      <c r="C115" s="61">
        <v>20</v>
      </c>
      <c r="D115" s="19">
        <v>4</v>
      </c>
      <c r="E115" s="24">
        <v>453</v>
      </c>
      <c r="F115" s="25">
        <v>428</v>
      </c>
      <c r="G115" s="25">
        <f t="shared" si="18"/>
        <v>25</v>
      </c>
      <c r="H115">
        <v>110911223</v>
      </c>
      <c r="I115">
        <v>1109106</v>
      </c>
      <c r="J115">
        <v>262.10000000000002</v>
      </c>
      <c r="K115">
        <v>262.60000000000002</v>
      </c>
      <c r="L115">
        <v>3</v>
      </c>
      <c r="M115">
        <v>277.39999999999998</v>
      </c>
      <c r="N115" t="s">
        <v>31</v>
      </c>
      <c r="O115">
        <v>2</v>
      </c>
      <c r="P115" t="s">
        <v>19</v>
      </c>
      <c r="Q115" s="20">
        <v>44256.391504629632</v>
      </c>
      <c r="R115">
        <v>10</v>
      </c>
      <c r="S115">
        <v>277.39999999999998</v>
      </c>
      <c r="T115">
        <f t="shared" si="19"/>
        <v>267.39999999999998</v>
      </c>
      <c r="U115">
        <v>51.65</v>
      </c>
      <c r="V115" s="21">
        <v>44256</v>
      </c>
      <c r="W115" s="17">
        <f t="shared" si="20"/>
        <v>0.57969094922737308</v>
      </c>
      <c r="X115">
        <v>12.23</v>
      </c>
      <c r="Y115">
        <f>48*16*14</f>
        <v>10752</v>
      </c>
      <c r="Z115" s="26">
        <f t="shared" si="21"/>
        <v>9891.4443422263121</v>
      </c>
      <c r="AA115">
        <v>6.1</v>
      </c>
      <c r="AB115">
        <v>123</v>
      </c>
      <c r="AC115" s="26">
        <f t="shared" si="22"/>
        <v>2.1349593495934962</v>
      </c>
      <c r="AD115" s="60">
        <f t="shared" si="23"/>
        <v>2.3229246001523225E-2</v>
      </c>
    </row>
    <row r="116" spans="1:30" x14ac:dyDescent="0.3">
      <c r="A116">
        <v>10</v>
      </c>
      <c r="B116" s="13">
        <v>150911</v>
      </c>
      <c r="C116" s="61">
        <v>16</v>
      </c>
      <c r="D116" s="19">
        <v>4</v>
      </c>
      <c r="E116" s="24">
        <v>471</v>
      </c>
      <c r="F116" s="25">
        <v>443.5</v>
      </c>
      <c r="G116" s="25">
        <f t="shared" si="18"/>
        <v>27.5</v>
      </c>
      <c r="H116">
        <v>110911217</v>
      </c>
      <c r="I116">
        <v>1109106</v>
      </c>
      <c r="J116">
        <v>279.3</v>
      </c>
      <c r="K116">
        <v>279.60000000000002</v>
      </c>
      <c r="L116">
        <v>3</v>
      </c>
      <c r="M116">
        <v>295</v>
      </c>
      <c r="N116" t="s">
        <v>25</v>
      </c>
      <c r="O116">
        <v>2</v>
      </c>
      <c r="P116" t="s">
        <v>19</v>
      </c>
      <c r="Q116" s="20">
        <v>44256.387025462966</v>
      </c>
      <c r="R116">
        <v>10</v>
      </c>
      <c r="S116">
        <v>295</v>
      </c>
      <c r="T116">
        <f t="shared" si="19"/>
        <v>285</v>
      </c>
      <c r="U116">
        <v>51.65</v>
      </c>
      <c r="V116" s="21">
        <v>44256</v>
      </c>
      <c r="W116" s="17">
        <f t="shared" si="20"/>
        <v>0.59363057324840773</v>
      </c>
      <c r="X116">
        <v>8.3800000000000008</v>
      </c>
      <c r="Y116">
        <f>47*14*14</f>
        <v>9212</v>
      </c>
      <c r="Z116" s="26">
        <f t="shared" si="21"/>
        <v>8474.7010119595216</v>
      </c>
      <c r="AA116">
        <v>5.3</v>
      </c>
      <c r="AB116">
        <v>126</v>
      </c>
      <c r="AC116" s="26">
        <f t="shared" si="22"/>
        <v>2.2190476190476192</v>
      </c>
      <c r="AD116" s="60">
        <f t="shared" si="23"/>
        <v>1.8955650929899856E-2</v>
      </c>
    </row>
    <row r="118" spans="1:30" x14ac:dyDescent="0.3">
      <c r="B118" s="13"/>
      <c r="C118" s="13"/>
      <c r="D118" s="15" t="s">
        <v>4</v>
      </c>
      <c r="E118" s="24"/>
      <c r="F118" s="25"/>
      <c r="G118" s="25"/>
    </row>
  </sheetData>
  <sortState xmlns:xlrd2="http://schemas.microsoft.com/office/spreadsheetml/2017/richdata2" ref="A2:AD116">
    <sortCondition ref="D2:D116"/>
    <sortCondition ref="B2:B116"/>
  </sortState>
  <conditionalFormatting sqref="P4:P116 P1:P2">
    <cfRule type="cellIs" dxfId="1" priority="2" operator="equal">
      <formula>"A1"</formula>
    </cfRule>
  </conditionalFormatting>
  <conditionalFormatting sqref="X4:X116 X1:X2">
    <cfRule type="cellIs" dxfId="0" priority="1" operator="lessThan">
      <formula>10</formula>
    </cfRule>
  </conditionalFormatting>
  <pageMargins left="0.7" right="0.7" top="0.75" bottom="0.75" header="0.3" footer="0.3"/>
  <pageSetup paperSize="256" orientation="portrait" horizontalDpi="203" verticalDpi="20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69716-3D96-4E72-ABA8-4CE60225AAFF}">
  <dimension ref="A1:D6"/>
  <sheetViews>
    <sheetView workbookViewId="0">
      <selection activeCell="C6" sqref="C6"/>
    </sheetView>
  </sheetViews>
  <sheetFormatPr defaultRowHeight="14.4" x14ac:dyDescent="0.3"/>
  <cols>
    <col min="1" max="1" width="20.5546875" customWidth="1"/>
    <col min="2" max="2" width="12.33203125" customWidth="1"/>
    <col min="3" max="3" width="13.109375" bestFit="1" customWidth="1"/>
    <col min="4" max="4" width="10.33203125" customWidth="1"/>
  </cols>
  <sheetData>
    <row r="1" spans="1:4" x14ac:dyDescent="0.3">
      <c r="A1" s="69" t="s">
        <v>158</v>
      </c>
      <c r="B1" s="69"/>
      <c r="C1" s="69"/>
      <c r="D1" s="58"/>
    </row>
    <row r="2" spans="1:4" x14ac:dyDescent="0.3">
      <c r="A2" t="s">
        <v>159</v>
      </c>
      <c r="B2" t="s">
        <v>152</v>
      </c>
      <c r="C2" t="s">
        <v>160</v>
      </c>
    </row>
    <row r="3" spans="1:4" x14ac:dyDescent="0.3">
      <c r="A3">
        <v>15</v>
      </c>
      <c r="B3">
        <v>12.942</v>
      </c>
      <c r="C3">
        <f t="shared" ref="C3:C5" si="0">A3/B3</f>
        <v>1.1590171534538711</v>
      </c>
    </row>
    <row r="4" spans="1:4" x14ac:dyDescent="0.3">
      <c r="A4">
        <v>57.5</v>
      </c>
      <c r="B4">
        <v>54.215000000000003</v>
      </c>
      <c r="C4">
        <f t="shared" si="0"/>
        <v>1.0605920870607766</v>
      </c>
    </row>
    <row r="5" spans="1:4" x14ac:dyDescent="0.3">
      <c r="A5">
        <v>97.5</v>
      </c>
      <c r="B5">
        <v>93.685000000000002</v>
      </c>
      <c r="C5">
        <f t="shared" si="0"/>
        <v>1.0407215669530874</v>
      </c>
    </row>
    <row r="6" spans="1:4" x14ac:dyDescent="0.3">
      <c r="C6" s="59">
        <f>AVERAGE(C3:C5)</f>
        <v>1.0867769358225783</v>
      </c>
      <c r="D6" t="s">
        <v>161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A8247-71B4-4A4C-BB08-F73361E86A8B}">
  <dimension ref="A1:P37"/>
  <sheetViews>
    <sheetView tabSelected="1" workbookViewId="0">
      <selection activeCell="I15" sqref="I15"/>
    </sheetView>
  </sheetViews>
  <sheetFormatPr defaultRowHeight="14.4" x14ac:dyDescent="0.3"/>
  <cols>
    <col min="1" max="1" width="14.44140625" bestFit="1" customWidth="1"/>
    <col min="5" max="5" width="10" bestFit="1" customWidth="1"/>
    <col min="13" max="13" width="10.5546875" bestFit="1" customWidth="1"/>
    <col min="15" max="15" width="10" bestFit="1" customWidth="1"/>
    <col min="16" max="16" width="10.44140625" customWidth="1"/>
  </cols>
  <sheetData>
    <row r="1" spans="1:16" x14ac:dyDescent="0.3">
      <c r="A1" s="70" t="s">
        <v>144</v>
      </c>
      <c r="B1" s="71"/>
      <c r="C1" s="72"/>
      <c r="E1" s="70" t="s">
        <v>147</v>
      </c>
      <c r="F1" s="72"/>
      <c r="H1" s="70" t="s">
        <v>150</v>
      </c>
      <c r="I1" s="71"/>
      <c r="J1" s="72"/>
      <c r="L1" s="70" t="s">
        <v>153</v>
      </c>
      <c r="M1" s="72"/>
      <c r="O1" s="73" t="s">
        <v>154</v>
      </c>
      <c r="P1" s="73"/>
    </row>
    <row r="2" spans="1:16" x14ac:dyDescent="0.3">
      <c r="A2" s="30" t="s">
        <v>139</v>
      </c>
      <c r="B2" s="28" t="s">
        <v>145</v>
      </c>
      <c r="C2" s="31" t="s">
        <v>146</v>
      </c>
      <c r="E2" s="30" t="s">
        <v>148</v>
      </c>
      <c r="F2" s="31" t="s">
        <v>149</v>
      </c>
      <c r="H2" s="30" t="s">
        <v>148</v>
      </c>
      <c r="I2" s="28" t="s">
        <v>151</v>
      </c>
      <c r="J2" s="31" t="s">
        <v>163</v>
      </c>
      <c r="L2" s="30" t="s">
        <v>148</v>
      </c>
      <c r="M2" s="31" t="s">
        <v>141</v>
      </c>
      <c r="O2" s="30" t="s">
        <v>148</v>
      </c>
      <c r="P2" s="48" t="s">
        <v>155</v>
      </c>
    </row>
    <row r="3" spans="1:16" x14ac:dyDescent="0.3">
      <c r="A3" s="32">
        <v>1</v>
      </c>
      <c r="B3" s="29" t="s">
        <v>19</v>
      </c>
      <c r="C3" s="33">
        <f>COUNTIF('Main sheet'!P2:P29,'Main sheet'!P2)</f>
        <v>16</v>
      </c>
      <c r="E3" s="32">
        <v>1</v>
      </c>
      <c r="F3" s="41">
        <f>AVERAGE('Main sheet'!X2:X29)</f>
        <v>14.520357142857138</v>
      </c>
      <c r="H3" s="32">
        <v>1</v>
      </c>
      <c r="I3" s="44">
        <f>AVERAGE('Main sheet'!Y2:Y29)</f>
        <v>13770.428571428571</v>
      </c>
      <c r="J3" s="44">
        <f>AVERAGE('Main sheet'!Z2:Z29)</f>
        <v>12668.28755421212</v>
      </c>
      <c r="L3" s="32">
        <v>1</v>
      </c>
      <c r="M3" s="46">
        <f>AVERAGE('Main sheet'!W2:W29)</f>
        <v>0.57693189438480952</v>
      </c>
      <c r="O3" s="32">
        <v>1</v>
      </c>
      <c r="P3" s="49">
        <f>AVERAGE('Main sheet'!AC2:AC29)</f>
        <v>2.3766820133712052</v>
      </c>
    </row>
    <row r="4" spans="1:16" x14ac:dyDescent="0.3">
      <c r="A4" s="34"/>
      <c r="B4" s="29" t="s">
        <v>21</v>
      </c>
      <c r="C4" s="33">
        <f>COUNTIF('Main sheet'!P2:P29,'Main sheet'!P5)</f>
        <v>12</v>
      </c>
      <c r="E4" s="35">
        <v>2</v>
      </c>
      <c r="F4" s="41">
        <f>AVERAGE('Main sheet'!X30:X59)</f>
        <v>14.57433333333333</v>
      </c>
      <c r="H4" s="35">
        <v>2</v>
      </c>
      <c r="I4" s="44">
        <f>AVERAGE('Main sheet'!Y30:Y59)</f>
        <v>12631.366666666667</v>
      </c>
      <c r="J4" s="44">
        <f>AVERAGE('Main sheet'!Z30:Z59)</f>
        <v>11620.392517632627</v>
      </c>
      <c r="L4" s="35">
        <v>2</v>
      </c>
      <c r="M4" s="46">
        <f>AVERAGE('Main sheet'!W30:W59)</f>
        <v>0.56850965398314146</v>
      </c>
      <c r="O4" s="35">
        <v>2</v>
      </c>
      <c r="P4" s="49">
        <f>AVERAGE('Main sheet'!AC30:AC59)</f>
        <v>2.3066280036491156</v>
      </c>
    </row>
    <row r="5" spans="1:16" x14ac:dyDescent="0.3">
      <c r="A5" s="35">
        <v>2</v>
      </c>
      <c r="B5" s="29" t="s">
        <v>19</v>
      </c>
      <c r="C5" s="33">
        <f>COUNTIF('Main sheet'!P30:P59,'Main sheet'!P30)</f>
        <v>21</v>
      </c>
      <c r="E5" s="36">
        <v>3</v>
      </c>
      <c r="F5" s="41">
        <f>AVERAGE('Main sheet'!X60:X89)</f>
        <v>14.867666666666667</v>
      </c>
      <c r="H5" s="36">
        <v>3</v>
      </c>
      <c r="I5" s="44">
        <f>AVERAGE('Main sheet'!Y60:Y89)</f>
        <v>13212.4</v>
      </c>
      <c r="J5" s="44">
        <f>AVERAGE('Main sheet'!Z60:Z89)</f>
        <v>12154.921803127876</v>
      </c>
      <c r="L5" s="36">
        <v>3</v>
      </c>
      <c r="M5" s="46">
        <f>AVERAGE('Main sheet'!W60:W89)</f>
        <v>0.58261446546278983</v>
      </c>
      <c r="O5" s="36">
        <v>3</v>
      </c>
      <c r="P5" s="49">
        <f>AVERAGE('Main sheet'!AC60:AC89)</f>
        <v>2.3627032982848277</v>
      </c>
    </row>
    <row r="6" spans="1:16" x14ac:dyDescent="0.3">
      <c r="A6" s="34"/>
      <c r="B6" s="29" t="s">
        <v>21</v>
      </c>
      <c r="C6" s="33">
        <f>COUNTIF('Main sheet'!P30:P59,'Main sheet'!P31)</f>
        <v>9</v>
      </c>
      <c r="E6" s="43">
        <v>4</v>
      </c>
      <c r="F6" s="42">
        <f>AVERAGE('Main sheet'!X90:X116)</f>
        <v>12.127407407407407</v>
      </c>
      <c r="H6" s="43">
        <v>4</v>
      </c>
      <c r="I6" s="45">
        <f>AVERAGE('Main sheet'!Y90:Y116)</f>
        <v>11602.259259259259</v>
      </c>
      <c r="J6" s="45">
        <f>AVERAGE('Main sheet'!Z90:Z116)</f>
        <v>10673.651572455621</v>
      </c>
      <c r="L6" s="43">
        <v>4</v>
      </c>
      <c r="M6" s="47">
        <f>AVERAGE('Main sheet'!W90:W116)</f>
        <v>0.5788558841606225</v>
      </c>
      <c r="O6" s="43">
        <v>4</v>
      </c>
      <c r="P6" s="50">
        <f>AVERAGE('Main sheet'!AC90:AC116)</f>
        <v>2.3036152657678923</v>
      </c>
    </row>
    <row r="7" spans="1:16" x14ac:dyDescent="0.3">
      <c r="A7" s="36">
        <v>3</v>
      </c>
      <c r="B7" s="29" t="s">
        <v>64</v>
      </c>
      <c r="C7" s="33">
        <f>COUNTIF('Main sheet'!P60:P89,'Main sheet'!P61)</f>
        <v>2</v>
      </c>
    </row>
    <row r="8" spans="1:16" x14ac:dyDescent="0.3">
      <c r="A8" s="34"/>
      <c r="B8" s="29" t="s">
        <v>19</v>
      </c>
      <c r="C8" s="33">
        <f>COUNTIF('Main sheet'!P60:P89,'Main sheet'!P60)</f>
        <v>17</v>
      </c>
    </row>
    <row r="9" spans="1:16" x14ac:dyDescent="0.3">
      <c r="A9" s="34"/>
      <c r="B9" s="29" t="s">
        <v>21</v>
      </c>
      <c r="C9" s="33">
        <f>COUNTIF('Main sheet'!P60:P89,'Main sheet'!P62)</f>
        <v>9</v>
      </c>
      <c r="E9" s="73" t="s">
        <v>166</v>
      </c>
      <c r="F9" s="73"/>
    </row>
    <row r="10" spans="1:16" x14ac:dyDescent="0.3">
      <c r="A10" s="34"/>
      <c r="B10" s="29" t="s">
        <v>71</v>
      </c>
      <c r="C10" s="33">
        <f>COUNTIF('Main sheet'!P60:P89,'Main sheet'!P71)</f>
        <v>1</v>
      </c>
      <c r="E10" s="30" t="s">
        <v>148</v>
      </c>
      <c r="F10" s="48" t="s">
        <v>167</v>
      </c>
    </row>
    <row r="11" spans="1:16" x14ac:dyDescent="0.3">
      <c r="A11" s="34"/>
      <c r="B11" s="29" t="s">
        <v>67</v>
      </c>
      <c r="C11" s="33">
        <f>COUNTIF('Main sheet'!P60:P89,'Main sheet'!P73)</f>
        <v>1</v>
      </c>
      <c r="E11" s="32">
        <v>1</v>
      </c>
      <c r="F11" s="74">
        <f>AVERAGE('Main sheet'!AD2:AD29)</f>
        <v>2.1002308016666422E-2</v>
      </c>
    </row>
    <row r="12" spans="1:16" x14ac:dyDescent="0.3">
      <c r="A12" s="37">
        <v>4</v>
      </c>
      <c r="B12" s="29" t="s">
        <v>64</v>
      </c>
      <c r="C12" s="33">
        <f>COUNTIF('Main sheet'!P90:P116,'Main sheet'!P95)</f>
        <v>1</v>
      </c>
      <c r="E12" s="35">
        <v>2</v>
      </c>
      <c r="F12" s="74">
        <f>AVERAGE('Main sheet'!AD30:AD59)</f>
        <v>2.0632177607400447E-2</v>
      </c>
    </row>
    <row r="13" spans="1:16" x14ac:dyDescent="0.3">
      <c r="A13" s="34"/>
      <c r="B13" s="29" t="s">
        <v>19</v>
      </c>
      <c r="C13" s="33">
        <f>COUNTIF('Main sheet'!P90:P116,'Main sheet'!P96)</f>
        <v>19</v>
      </c>
      <c r="E13" s="36">
        <v>3</v>
      </c>
      <c r="F13" s="74">
        <f>AVERAGE('Main sheet'!AD60:AD89)</f>
        <v>2.0136654410306216E-2</v>
      </c>
    </row>
    <row r="14" spans="1:16" x14ac:dyDescent="0.3">
      <c r="A14" s="34"/>
      <c r="B14" s="29" t="s">
        <v>21</v>
      </c>
      <c r="C14" s="33">
        <f>COUNTIF('Main sheet'!P90:P116,'Main sheet'!P97)</f>
        <v>5</v>
      </c>
      <c r="E14" s="43">
        <v>4</v>
      </c>
      <c r="F14" s="74">
        <f>AVERAGE('Main sheet'!AD90:AD116)</f>
        <v>2.0358388439667516E-2</v>
      </c>
    </row>
    <row r="15" spans="1:16" x14ac:dyDescent="0.3">
      <c r="A15" s="34"/>
      <c r="B15" s="29" t="s">
        <v>71</v>
      </c>
      <c r="C15" s="33">
        <f>COUNTIF('Main sheet'!P90:P116,'Main sheet'!P110)</f>
        <v>1</v>
      </c>
    </row>
    <row r="16" spans="1:16" x14ac:dyDescent="0.3">
      <c r="A16" s="38"/>
      <c r="B16" s="39" t="s">
        <v>67</v>
      </c>
      <c r="C16" s="40">
        <f>COUNTIF('Main sheet'!P90:P116,'Main sheet'!P106)</f>
        <v>1</v>
      </c>
    </row>
    <row r="21" spans="1:16" x14ac:dyDescent="0.3">
      <c r="A21" s="82" t="s">
        <v>168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</row>
    <row r="22" spans="1:16" x14ac:dyDescent="0.3">
      <c r="A22" s="70" t="s">
        <v>139</v>
      </c>
      <c r="B22" s="71" t="s">
        <v>145</v>
      </c>
      <c r="C22" s="72" t="s">
        <v>146</v>
      </c>
      <c r="E22" s="70" t="s">
        <v>148</v>
      </c>
      <c r="F22" s="72" t="s">
        <v>149</v>
      </c>
      <c r="H22" s="70" t="s">
        <v>148</v>
      </c>
      <c r="I22" s="71" t="s">
        <v>151</v>
      </c>
      <c r="J22" s="72" t="s">
        <v>163</v>
      </c>
      <c r="L22" s="70" t="s">
        <v>148</v>
      </c>
      <c r="M22" s="72" t="s">
        <v>141</v>
      </c>
      <c r="O22" s="73" t="s">
        <v>148</v>
      </c>
      <c r="P22" s="73" t="s">
        <v>155</v>
      </c>
    </row>
    <row r="23" spans="1:16" x14ac:dyDescent="0.3">
      <c r="A23" s="30">
        <v>1</v>
      </c>
      <c r="B23" s="28" t="s">
        <v>19</v>
      </c>
      <c r="C23" s="31">
        <v>16</v>
      </c>
      <c r="E23" s="30">
        <v>1</v>
      </c>
      <c r="F23" s="75">
        <v>14.520357142857138</v>
      </c>
      <c r="H23" s="30">
        <v>1</v>
      </c>
      <c r="I23" s="76">
        <v>13770.428571428571</v>
      </c>
      <c r="J23" s="75">
        <v>12668.28755421212</v>
      </c>
      <c r="L23" s="30">
        <v>1</v>
      </c>
      <c r="M23" s="77">
        <v>0.57693189438480952</v>
      </c>
      <c r="O23" s="30">
        <v>1</v>
      </c>
      <c r="P23" s="78">
        <v>2.3766820133712052</v>
      </c>
    </row>
    <row r="24" spans="1:16" x14ac:dyDescent="0.3">
      <c r="A24" s="32"/>
      <c r="B24" s="29" t="s">
        <v>21</v>
      </c>
      <c r="C24" s="33">
        <v>12</v>
      </c>
      <c r="E24" s="32">
        <v>2</v>
      </c>
      <c r="F24" s="41">
        <v>14.57433333333333</v>
      </c>
      <c r="H24" s="32">
        <v>2</v>
      </c>
      <c r="I24" s="44">
        <v>12631.366666666667</v>
      </c>
      <c r="J24" s="44">
        <v>11620.392517632627</v>
      </c>
      <c r="L24" s="32">
        <v>2</v>
      </c>
      <c r="M24" s="46">
        <v>0.56850965398314146</v>
      </c>
      <c r="O24" s="32">
        <v>2</v>
      </c>
      <c r="P24" s="49">
        <v>2.3066280036491156</v>
      </c>
    </row>
    <row r="25" spans="1:16" x14ac:dyDescent="0.3">
      <c r="A25" s="34">
        <v>2</v>
      </c>
      <c r="B25" s="29" t="s">
        <v>19</v>
      </c>
      <c r="C25" s="33">
        <v>21</v>
      </c>
      <c r="E25" s="35">
        <v>3</v>
      </c>
      <c r="F25" s="41">
        <v>14.867666666666667</v>
      </c>
      <c r="H25" s="35">
        <v>3</v>
      </c>
      <c r="I25" s="44">
        <v>13212.4</v>
      </c>
      <c r="J25" s="44">
        <v>12154.921803127876</v>
      </c>
      <c r="L25" s="35">
        <v>3</v>
      </c>
      <c r="M25" s="46">
        <v>0.58261446546278983</v>
      </c>
      <c r="O25" s="35">
        <v>3</v>
      </c>
      <c r="P25" s="49">
        <v>2.3627032982848277</v>
      </c>
    </row>
    <row r="26" spans="1:16" x14ac:dyDescent="0.3">
      <c r="A26" s="35"/>
      <c r="B26" s="29" t="s">
        <v>21</v>
      </c>
      <c r="C26" s="33">
        <v>9</v>
      </c>
      <c r="E26" s="36">
        <v>4</v>
      </c>
      <c r="F26" s="41">
        <v>12.127407407407407</v>
      </c>
      <c r="H26" s="36">
        <v>4</v>
      </c>
      <c r="I26" s="44">
        <v>11602.259259259259</v>
      </c>
      <c r="J26" s="44">
        <v>10673.651572455621</v>
      </c>
      <c r="L26" s="36">
        <v>4</v>
      </c>
      <c r="M26" s="46">
        <v>0.5788558841606225</v>
      </c>
      <c r="O26" s="36">
        <v>4</v>
      </c>
      <c r="P26" s="49">
        <v>2.3036152657678923</v>
      </c>
    </row>
    <row r="27" spans="1:16" x14ac:dyDescent="0.3">
      <c r="A27" s="34">
        <v>3</v>
      </c>
      <c r="B27" s="29" t="s">
        <v>64</v>
      </c>
      <c r="C27" s="33">
        <v>2</v>
      </c>
      <c r="E27" s="43"/>
      <c r="F27" s="40"/>
      <c r="H27" s="43"/>
      <c r="I27" s="39"/>
      <c r="J27" s="39"/>
      <c r="L27" s="43"/>
      <c r="M27" s="79"/>
      <c r="O27" s="43"/>
      <c r="P27" s="79"/>
    </row>
    <row r="28" spans="1:16" x14ac:dyDescent="0.3">
      <c r="A28" s="36"/>
      <c r="B28" s="29" t="s">
        <v>19</v>
      </c>
      <c r="C28" s="33">
        <v>17</v>
      </c>
    </row>
    <row r="29" spans="1:16" x14ac:dyDescent="0.3">
      <c r="A29" s="34"/>
      <c r="B29" s="29" t="s">
        <v>21</v>
      </c>
      <c r="C29" s="33">
        <v>9</v>
      </c>
      <c r="E29" t="s">
        <v>166</v>
      </c>
    </row>
    <row r="30" spans="1:16" x14ac:dyDescent="0.3">
      <c r="A30" s="34"/>
      <c r="B30" s="29" t="s">
        <v>71</v>
      </c>
      <c r="C30" s="33">
        <v>1</v>
      </c>
      <c r="E30" s="73" t="s">
        <v>148</v>
      </c>
      <c r="F30" s="73" t="s">
        <v>167</v>
      </c>
    </row>
    <row r="31" spans="1:16" x14ac:dyDescent="0.3">
      <c r="A31" s="34"/>
      <c r="B31" s="29" t="s">
        <v>67</v>
      </c>
      <c r="C31" s="33">
        <v>1</v>
      </c>
      <c r="E31" s="30">
        <v>1</v>
      </c>
      <c r="F31" s="80">
        <v>2.1002308016666422E-2</v>
      </c>
    </row>
    <row r="32" spans="1:16" x14ac:dyDescent="0.3">
      <c r="A32" s="34">
        <v>4</v>
      </c>
      <c r="B32" s="29" t="s">
        <v>64</v>
      </c>
      <c r="C32" s="33">
        <v>1</v>
      </c>
      <c r="E32" s="32">
        <v>2</v>
      </c>
      <c r="F32" s="74">
        <v>2.0632177607400447E-2</v>
      </c>
    </row>
    <row r="33" spans="1:6" x14ac:dyDescent="0.3">
      <c r="A33" s="37"/>
      <c r="B33" s="29" t="s">
        <v>19</v>
      </c>
      <c r="C33" s="33">
        <v>19</v>
      </c>
      <c r="E33" s="35">
        <v>3</v>
      </c>
      <c r="F33" s="74">
        <v>2.0136654410306216E-2</v>
      </c>
    </row>
    <row r="34" spans="1:6" x14ac:dyDescent="0.3">
      <c r="A34" s="34"/>
      <c r="B34" s="29" t="s">
        <v>21</v>
      </c>
      <c r="C34" s="33">
        <v>5</v>
      </c>
      <c r="E34" s="36">
        <v>4</v>
      </c>
      <c r="F34" s="74">
        <v>2.0358388439667516E-2</v>
      </c>
    </row>
    <row r="35" spans="1:6" x14ac:dyDescent="0.3">
      <c r="A35" s="34"/>
      <c r="B35" s="29" t="s">
        <v>71</v>
      </c>
      <c r="C35" s="33">
        <v>1</v>
      </c>
      <c r="E35" s="43"/>
      <c r="F35" s="81"/>
    </row>
    <row r="36" spans="1:6" x14ac:dyDescent="0.3">
      <c r="A36" s="34"/>
      <c r="B36" s="29" t="s">
        <v>67</v>
      </c>
      <c r="C36" s="33">
        <v>1</v>
      </c>
    </row>
    <row r="37" spans="1:6" x14ac:dyDescent="0.3">
      <c r="A37" s="38"/>
      <c r="B37" s="39" t="s">
        <v>67</v>
      </c>
      <c r="C37" s="40">
        <f>COUNTIF('Main sheet'!P111:P137,'Main sheet'!P127)</f>
        <v>0</v>
      </c>
    </row>
  </sheetData>
  <mergeCells count="13">
    <mergeCell ref="O22:P22"/>
    <mergeCell ref="E30:F30"/>
    <mergeCell ref="A21:P21"/>
    <mergeCell ref="E9:F9"/>
    <mergeCell ref="A22:C22"/>
    <mergeCell ref="E22:F22"/>
    <mergeCell ref="H22:J22"/>
    <mergeCell ref="L22:M22"/>
    <mergeCell ref="A1:C1"/>
    <mergeCell ref="E1:F1"/>
    <mergeCell ref="H1:J1"/>
    <mergeCell ref="L1:M1"/>
    <mergeCell ref="O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Slaughter order</vt:lpstr>
      <vt:lpstr>Missing one</vt:lpstr>
      <vt:lpstr>figuring out missed one</vt:lpstr>
      <vt:lpstr>Main sheet</vt:lpstr>
      <vt:lpstr>Chanel fat mass calculation</vt:lpstr>
      <vt:lpstr>Carcass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Marnus Liebenberg</dc:creator>
  <cp:lastModifiedBy>Marnus Liebenberg</cp:lastModifiedBy>
  <dcterms:created xsi:type="dcterms:W3CDTF">2021-03-01T12:46:55Z</dcterms:created>
  <dcterms:modified xsi:type="dcterms:W3CDTF">2021-04-03T09:55:16Z</dcterms:modified>
</cp:coreProperties>
</file>