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Anton\Documents\PhD projek\LC MS\"/>
    </mc:Choice>
  </mc:AlternateContent>
  <xr:revisionPtr revIDLastSave="0" documentId="13_ncr:1_{D8A96F47-7830-4008-9E9E-25513B40CFB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November 2020" sheetId="1" r:id="rId1"/>
    <sheet name="September 202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2" l="1"/>
  <c r="R10" i="2"/>
  <c r="R12" i="2"/>
  <c r="R13" i="2"/>
  <c r="R14" i="2"/>
  <c r="R15" i="2"/>
  <c r="S10" i="2"/>
  <c r="S11" i="2"/>
  <c r="S12" i="2"/>
  <c r="S13" i="2"/>
  <c r="T10" i="2"/>
  <c r="T11" i="2"/>
  <c r="T12" i="2"/>
  <c r="T13" i="2"/>
  <c r="T14" i="2"/>
  <c r="T15" i="2"/>
  <c r="U14" i="2"/>
  <c r="U15" i="2"/>
  <c r="V14" i="2"/>
  <c r="V15" i="2"/>
  <c r="X14" i="2"/>
  <c r="X15" i="2"/>
  <c r="Q14" i="1"/>
  <c r="Q17" i="1"/>
  <c r="P14" i="1"/>
  <c r="P15" i="1"/>
  <c r="P16" i="1"/>
  <c r="P17" i="1"/>
  <c r="O14" i="1"/>
  <c r="O15" i="1"/>
  <c r="O16" i="1"/>
  <c r="O17" i="1"/>
  <c r="U12" i="1"/>
  <c r="U13" i="1"/>
  <c r="U14" i="1"/>
  <c r="U15" i="1"/>
  <c r="U20" i="1" s="1"/>
  <c r="U16" i="1"/>
  <c r="U17" i="1"/>
  <c r="V14" i="1"/>
  <c r="V15" i="1"/>
  <c r="V16" i="1"/>
  <c r="V17" i="1"/>
  <c r="W12" i="1"/>
  <c r="W13" i="1"/>
  <c r="W14" i="1"/>
  <c r="N19" i="1" s="1"/>
  <c r="W15" i="1"/>
  <c r="W16" i="1"/>
  <c r="W17" i="1"/>
  <c r="X12" i="1"/>
  <c r="X13" i="1"/>
  <c r="X14" i="1"/>
  <c r="X15" i="1"/>
  <c r="X16" i="1"/>
  <c r="X17" i="1"/>
  <c r="X18" i="1"/>
  <c r="Q14" i="2"/>
  <c r="Q15" i="2"/>
  <c r="X19" i="1"/>
  <c r="T15" i="1"/>
  <c r="T14" i="1"/>
  <c r="R26" i="2"/>
  <c r="R27" i="2"/>
  <c r="S33" i="2"/>
  <c r="S32" i="2"/>
  <c r="S37" i="1"/>
  <c r="S36" i="1"/>
  <c r="S33" i="1"/>
  <c r="S34" i="1"/>
  <c r="R31" i="1"/>
  <c r="R32" i="1"/>
  <c r="T30" i="1"/>
  <c r="T29" i="1"/>
  <c r="R33" i="2"/>
  <c r="R32" i="2"/>
  <c r="V35" i="2"/>
  <c r="V34" i="2"/>
  <c r="V33" i="2"/>
  <c r="U35" i="2"/>
  <c r="U34" i="2"/>
  <c r="U33" i="2"/>
  <c r="U27" i="2"/>
  <c r="U28" i="2"/>
  <c r="U29" i="2"/>
  <c r="U30" i="2"/>
  <c r="U31" i="2"/>
  <c r="U26" i="2"/>
  <c r="W34" i="2"/>
  <c r="W33" i="2"/>
  <c r="W31" i="2"/>
  <c r="W30" i="2"/>
  <c r="Q30" i="1"/>
  <c r="Q29" i="1"/>
  <c r="P29" i="1"/>
  <c r="P30" i="1"/>
  <c r="O29" i="1"/>
  <c r="O30" i="1"/>
  <c r="U7" i="1"/>
  <c r="D39" i="2"/>
  <c r="X28" i="2"/>
  <c r="X29" i="2"/>
  <c r="X27" i="2"/>
  <c r="X26" i="2"/>
  <c r="V29" i="2"/>
  <c r="V28" i="2"/>
  <c r="T28" i="2"/>
  <c r="T29" i="2"/>
  <c r="S28" i="2"/>
  <c r="S29" i="2"/>
  <c r="R28" i="2"/>
  <c r="R29" i="2"/>
  <c r="S27" i="2"/>
  <c r="T27" i="2"/>
  <c r="S26" i="2"/>
  <c r="T26" i="2"/>
  <c r="R17" i="1"/>
  <c r="S17" i="1"/>
  <c r="T17" i="1"/>
  <c r="Z17" i="1"/>
  <c r="R14" i="1"/>
  <c r="S14" i="1"/>
  <c r="Z14" i="1"/>
  <c r="T16" i="1"/>
  <c r="S16" i="1"/>
  <c r="R16" i="1"/>
  <c r="Q16" i="1"/>
  <c r="S15" i="1"/>
  <c r="R15" i="1"/>
  <c r="Q15" i="1"/>
  <c r="W6" i="1"/>
  <c r="W7" i="1" s="1"/>
  <c r="V6" i="1"/>
  <c r="V7" i="1" s="1"/>
  <c r="T32" i="1"/>
  <c r="T33" i="1"/>
  <c r="T34" i="1"/>
  <c r="S32" i="1"/>
  <c r="R33" i="1"/>
  <c r="R34" i="1"/>
  <c r="Q32" i="1"/>
  <c r="Q33" i="1"/>
  <c r="Q34" i="1"/>
  <c r="Q31" i="1"/>
  <c r="T31" i="1"/>
  <c r="O32" i="1"/>
  <c r="O33" i="1"/>
  <c r="O34" i="1"/>
  <c r="O31" i="1"/>
  <c r="R30" i="1"/>
  <c r="S30" i="1"/>
  <c r="P31" i="1"/>
  <c r="P32" i="1"/>
  <c r="P33" i="1"/>
  <c r="P34" i="1"/>
  <c r="R29" i="1"/>
  <c r="S29" i="1"/>
  <c r="U19" i="1" l="1"/>
  <c r="X20" i="1"/>
  <c r="N18" i="1"/>
  <c r="T36" i="1"/>
  <c r="T37" i="1"/>
  <c r="Q36" i="1" l="1"/>
  <c r="Q37" i="1"/>
  <c r="R37" i="1"/>
  <c r="R36" i="1"/>
  <c r="O37" i="1"/>
  <c r="O36" i="1"/>
  <c r="P37" i="1"/>
  <c r="P36" i="1"/>
</calcChain>
</file>

<file path=xl/sharedStrings.xml><?xml version="1.0" encoding="utf-8"?>
<sst xmlns="http://schemas.openxmlformats.org/spreadsheetml/2006/main" count="143" uniqueCount="49">
  <si>
    <t>Standard</t>
  </si>
  <si>
    <t>Area</t>
  </si>
  <si>
    <t>Caffeic acid</t>
  </si>
  <si>
    <t>Conc (ppm)</t>
  </si>
  <si>
    <t>Rosmarinic acid</t>
  </si>
  <si>
    <t>Naringin</t>
  </si>
  <si>
    <t>Rosmarinic acid derivative</t>
  </si>
  <si>
    <t>Sagerinic acid</t>
  </si>
  <si>
    <t>Salvianolic acid B</t>
  </si>
  <si>
    <t>SH 1</t>
  </si>
  <si>
    <t>SH 2</t>
  </si>
  <si>
    <t>Rutin</t>
  </si>
  <si>
    <t xml:space="preserve">SD1 </t>
  </si>
  <si>
    <t>SD2</t>
  </si>
  <si>
    <t>Caffeoyltartaric acid</t>
  </si>
  <si>
    <t>Pg 1</t>
  </si>
  <si>
    <t>Pg 2</t>
  </si>
  <si>
    <t>Gallic acid</t>
  </si>
  <si>
    <t>Pg1</t>
  </si>
  <si>
    <t>β-glucogallin</t>
  </si>
  <si>
    <t>Syringic acid</t>
  </si>
  <si>
    <t>Tetra-O-galloylglucose</t>
  </si>
  <si>
    <t>SH1</t>
  </si>
  <si>
    <t>SH2</t>
  </si>
  <si>
    <t>SD1</t>
  </si>
  <si>
    <t>Pg2</t>
  </si>
  <si>
    <t>Quercetin-3-O-rutinoside (Rutin)</t>
  </si>
  <si>
    <t>Quercetin-3-O-glucoside (Isoquercetin)</t>
  </si>
  <si>
    <t>Kaempferol-3-O-rutinoside</t>
  </si>
  <si>
    <t>Hesperidin</t>
  </si>
  <si>
    <t>Luteolin-7-O-glucoside</t>
  </si>
  <si>
    <t>Mean</t>
  </si>
  <si>
    <t>Penta-O-galloylglucose</t>
  </si>
  <si>
    <t>Pxh 1</t>
  </si>
  <si>
    <t>Pxh 2</t>
  </si>
  <si>
    <t>p coumaric acid</t>
  </si>
  <si>
    <t>Pzh 1</t>
  </si>
  <si>
    <t>Pzh 2</t>
  </si>
  <si>
    <t>p coumaroylglucose</t>
  </si>
  <si>
    <t>Quercetin</t>
  </si>
  <si>
    <t>Isoquercetin</t>
  </si>
  <si>
    <t>Kaempferol rutinoside</t>
  </si>
  <si>
    <t>Rutin (tR = 17,31)</t>
  </si>
  <si>
    <t>Pz 1</t>
  </si>
  <si>
    <t>Pz 2</t>
  </si>
  <si>
    <t>Robinin</t>
  </si>
  <si>
    <r>
      <t>Kaempferol-3-</t>
    </r>
    <r>
      <rPr>
        <i/>
        <sz val="10"/>
        <color theme="1"/>
        <rFont val="Times New Roman"/>
        <family val="1"/>
      </rPr>
      <t>O</t>
    </r>
    <r>
      <rPr>
        <sz val="10"/>
        <color theme="1"/>
        <rFont val="Times New Roman"/>
        <family val="1"/>
      </rPr>
      <t>-glucosylgalactoside</t>
    </r>
  </si>
  <si>
    <t>Apigenin glucoside</t>
  </si>
  <si>
    <t>NeoHesperidin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</si>
</sst>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Caffeic acid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5.9217191601049872E-2"/>
                  <c:y val="-1.50524934383202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'November 2020'!$C$2:$C$5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'November 2020'!$D$2:$D$5</c:f>
              <c:numCache>
                <c:formatCode>General</c:formatCode>
                <c:ptCount val="4"/>
                <c:pt idx="0">
                  <c:v>584.29999999999995</c:v>
                </c:pt>
                <c:pt idx="1">
                  <c:v>316.89</c:v>
                </c:pt>
                <c:pt idx="2">
                  <c:v>164.7</c:v>
                </c:pt>
                <c:pt idx="3">
                  <c:v>84.45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4C-47EC-B8F0-BE3C4F096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85600"/>
        <c:axId val="409385208"/>
      </c:scatterChart>
      <c:valAx>
        <c:axId val="40938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85208"/>
        <c:crosses val="autoZero"/>
        <c:crossBetween val="midCat"/>
      </c:valAx>
      <c:valAx>
        <c:axId val="40938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85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Naringin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'November 2020'!$C$20:$C$23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'November 2020'!$D$20:$D$23</c:f>
              <c:numCache>
                <c:formatCode>General</c:formatCode>
                <c:ptCount val="4"/>
                <c:pt idx="0">
                  <c:v>3321.51</c:v>
                </c:pt>
                <c:pt idx="1">
                  <c:v>2260.4299999999998</c:v>
                </c:pt>
                <c:pt idx="2">
                  <c:v>1352.36</c:v>
                </c:pt>
                <c:pt idx="3">
                  <c:v>707.89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D7-4EDF-86CE-AF22C5D02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86384"/>
        <c:axId val="409390304"/>
      </c:scatterChart>
      <c:valAx>
        <c:axId val="409386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90304"/>
        <c:crosses val="autoZero"/>
        <c:crossBetween val="midCat"/>
      </c:valAx>
      <c:valAx>
        <c:axId val="40939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8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Apigenin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'September 2021'!$P$35:$P$40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</c:numCache>
            </c:numRef>
          </c:xVal>
          <c:yVal>
            <c:numRef>
              <c:f>'September 2021'!$Q$35:$Q$40</c:f>
              <c:numCache>
                <c:formatCode>General</c:formatCode>
                <c:ptCount val="6"/>
                <c:pt idx="0">
                  <c:v>14706.53</c:v>
                </c:pt>
                <c:pt idx="1">
                  <c:v>9798.09</c:v>
                </c:pt>
                <c:pt idx="2">
                  <c:v>6046.02</c:v>
                </c:pt>
                <c:pt idx="3">
                  <c:v>3804.04</c:v>
                </c:pt>
                <c:pt idx="4">
                  <c:v>2234.25</c:v>
                </c:pt>
                <c:pt idx="5">
                  <c:v>1096.69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30-48C6-909E-0B4C9B3D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85624"/>
        <c:axId val="593389232"/>
      </c:scatterChart>
      <c:valAx>
        <c:axId val="593385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89232"/>
        <c:crosses val="autoZero"/>
        <c:crossBetween val="midCat"/>
      </c:valAx>
      <c:valAx>
        <c:axId val="59338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85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</a:t>
            </a:r>
            <a:r>
              <a:rPr lang="en-ZA" baseline="0"/>
              <a:t> coumaric acid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4.1883858267716532E-2"/>
                  <c:y val="-1.324475065616797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'November 2020'!$B$72:$B$75</c:f>
              <c:numCache>
                <c:formatCode>General</c:formatCode>
                <c:ptCount val="4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xVal>
          <c:yVal>
            <c:numRef>
              <c:f>'November 2020'!$C$72:$C$75</c:f>
              <c:numCache>
                <c:formatCode>General</c:formatCode>
                <c:ptCount val="4"/>
                <c:pt idx="0">
                  <c:v>136</c:v>
                </c:pt>
                <c:pt idx="1">
                  <c:v>293</c:v>
                </c:pt>
                <c:pt idx="2">
                  <c:v>508</c:v>
                </c:pt>
                <c:pt idx="3">
                  <c:v>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22-4DEA-9F27-49237E079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68184"/>
        <c:axId val="582268840"/>
      </c:scatterChart>
      <c:valAx>
        <c:axId val="582268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68840"/>
        <c:crosses val="autoZero"/>
        <c:crossBetween val="midCat"/>
      </c:valAx>
      <c:valAx>
        <c:axId val="58226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68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Naringin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'November 2020'!$C$20:$C$23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'November 2020'!$D$20:$D$23</c:f>
              <c:numCache>
                <c:formatCode>General</c:formatCode>
                <c:ptCount val="4"/>
                <c:pt idx="0">
                  <c:v>3321.51</c:v>
                </c:pt>
                <c:pt idx="1">
                  <c:v>2260.4299999999998</c:v>
                </c:pt>
                <c:pt idx="2">
                  <c:v>1352.36</c:v>
                </c:pt>
                <c:pt idx="3">
                  <c:v>707.89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5D-4DE6-AFCA-7233A9052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86384"/>
        <c:axId val="409390304"/>
      </c:scatterChart>
      <c:valAx>
        <c:axId val="409386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90304"/>
        <c:crosses val="autoZero"/>
        <c:crossBetween val="midCat"/>
      </c:valAx>
      <c:valAx>
        <c:axId val="40939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8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Rutin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3.0772747156605423E-2"/>
                  <c:y val="-5.04629629629629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'November 2020'!$C$36:$C$39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'November 2020'!$D$36:$D$39</c:f>
              <c:numCache>
                <c:formatCode>General</c:formatCode>
                <c:ptCount val="4"/>
                <c:pt idx="0">
                  <c:v>2507.2399999999998</c:v>
                </c:pt>
                <c:pt idx="1">
                  <c:v>1652.64</c:v>
                </c:pt>
                <c:pt idx="2">
                  <c:v>946.86</c:v>
                </c:pt>
                <c:pt idx="3">
                  <c:v>508.66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98-4202-9D2D-25A13D19E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84032"/>
        <c:axId val="409383248"/>
      </c:scatterChart>
      <c:valAx>
        <c:axId val="40938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83248"/>
        <c:crosses val="autoZero"/>
        <c:crossBetween val="midCat"/>
      </c:valAx>
      <c:valAx>
        <c:axId val="40938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8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Gallic acid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1883858267716542E-2"/>
                  <c:y val="-5.215004374453193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'November 2020'!$C$53:$C$56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'November 2020'!$D$53:$D$56</c:f>
              <c:numCache>
                <c:formatCode>General</c:formatCode>
                <c:ptCount val="4"/>
                <c:pt idx="0">
                  <c:v>1789.35</c:v>
                </c:pt>
                <c:pt idx="1">
                  <c:v>1144.47</c:v>
                </c:pt>
                <c:pt idx="2">
                  <c:v>611.30999999999995</c:v>
                </c:pt>
                <c:pt idx="3">
                  <c:v>193.56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D5-4939-8944-AAEAA603F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87952"/>
        <c:axId val="409388344"/>
      </c:scatterChart>
      <c:valAx>
        <c:axId val="40938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88344"/>
        <c:crosses val="autoZero"/>
        <c:crossBetween val="midCat"/>
      </c:valAx>
      <c:valAx>
        <c:axId val="40938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387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p</a:t>
            </a:r>
            <a:r>
              <a:rPr lang="en-ZA" baseline="0"/>
              <a:t> coumaric acid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4.1883858267716532E-2"/>
                  <c:y val="-1.324475065616797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'November 2020'!$B$72:$B$75</c:f>
              <c:numCache>
                <c:formatCode>General</c:formatCode>
                <c:ptCount val="4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xVal>
          <c:yVal>
            <c:numRef>
              <c:f>'November 2020'!$C$72:$C$75</c:f>
              <c:numCache>
                <c:formatCode>General</c:formatCode>
                <c:ptCount val="4"/>
                <c:pt idx="0">
                  <c:v>136</c:v>
                </c:pt>
                <c:pt idx="1">
                  <c:v>293</c:v>
                </c:pt>
                <c:pt idx="2">
                  <c:v>508</c:v>
                </c:pt>
                <c:pt idx="3">
                  <c:v>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CC-4FC5-AB4C-30C7D079F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68184"/>
        <c:axId val="582268840"/>
      </c:scatterChart>
      <c:valAx>
        <c:axId val="582268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68840"/>
        <c:crosses val="autoZero"/>
        <c:crossBetween val="midCat"/>
      </c:valAx>
      <c:valAx>
        <c:axId val="58226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68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Apigenin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'September 2021'!$P$35:$P$40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</c:numCache>
            </c:numRef>
          </c:xVal>
          <c:yVal>
            <c:numRef>
              <c:f>'September 2021'!$Q$35:$Q$40</c:f>
              <c:numCache>
                <c:formatCode>General</c:formatCode>
                <c:ptCount val="6"/>
                <c:pt idx="0">
                  <c:v>14706.53</c:v>
                </c:pt>
                <c:pt idx="1">
                  <c:v>9798.09</c:v>
                </c:pt>
                <c:pt idx="2">
                  <c:v>6046.02</c:v>
                </c:pt>
                <c:pt idx="3">
                  <c:v>3804.04</c:v>
                </c:pt>
                <c:pt idx="4">
                  <c:v>2234.25</c:v>
                </c:pt>
                <c:pt idx="5">
                  <c:v>1096.69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6E-49A0-B9DF-AFA468364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85624"/>
        <c:axId val="593389232"/>
      </c:scatterChart>
      <c:valAx>
        <c:axId val="593385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89232"/>
        <c:crosses val="autoZero"/>
        <c:crossBetween val="midCat"/>
      </c:valAx>
      <c:valAx>
        <c:axId val="59338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85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Caffeic acid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'September 2021'!$C$2:$C$5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'September 2021'!$D$2:$D$5</c:f>
              <c:numCache>
                <c:formatCode>General</c:formatCode>
                <c:ptCount val="4"/>
                <c:pt idx="0">
                  <c:v>1505.57</c:v>
                </c:pt>
                <c:pt idx="1">
                  <c:v>926.3</c:v>
                </c:pt>
                <c:pt idx="2">
                  <c:v>570.69000000000005</c:v>
                </c:pt>
                <c:pt idx="3">
                  <c:v>336.65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D-4894-A090-288594454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565568"/>
        <c:axId val="390559336"/>
      </c:scatterChart>
      <c:valAx>
        <c:axId val="39056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559336"/>
        <c:crosses val="autoZero"/>
        <c:crossBetween val="midCat"/>
      </c:valAx>
      <c:valAx>
        <c:axId val="39055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56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Quercetin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'September 2021'!$C$22:$C$25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'September 2021'!$D$22:$D$25</c:f>
              <c:numCache>
                <c:formatCode>General</c:formatCode>
                <c:ptCount val="4"/>
                <c:pt idx="0">
                  <c:v>8063.42</c:v>
                </c:pt>
                <c:pt idx="1">
                  <c:v>4925.3599999999997</c:v>
                </c:pt>
                <c:pt idx="2">
                  <c:v>3134.21</c:v>
                </c:pt>
                <c:pt idx="3">
                  <c:v>1387.97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BA-43DB-A07D-5E20A4AE2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730264"/>
        <c:axId val="636732560"/>
      </c:scatterChart>
      <c:valAx>
        <c:axId val="636730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732560"/>
        <c:crosses val="autoZero"/>
        <c:crossBetween val="midCat"/>
      </c:valAx>
      <c:valAx>
        <c:axId val="63673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730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Gallic acid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'September 2021'!$C$36:$C$40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</c:numCache>
            </c:numRef>
          </c:xVal>
          <c:yVal>
            <c:numRef>
              <c:f>'September 2021'!$D$36:$D$40</c:f>
              <c:numCache>
                <c:formatCode>General</c:formatCode>
                <c:ptCount val="5"/>
                <c:pt idx="0">
                  <c:v>2217.0010000000002</c:v>
                </c:pt>
                <c:pt idx="1">
                  <c:v>856.83900000000006</c:v>
                </c:pt>
                <c:pt idx="2">
                  <c:v>785.91099999999994</c:v>
                </c:pt>
                <c:pt idx="3">
                  <c:v>285.23500000000001</c:v>
                </c:pt>
                <c:pt idx="4">
                  <c:v>103.52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97-4640-B8B1-31B0FA01B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782256"/>
        <c:axId val="604779304"/>
      </c:scatterChart>
      <c:valAx>
        <c:axId val="60478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779304"/>
        <c:crosses val="autoZero"/>
        <c:crossBetween val="midCat"/>
      </c:valAx>
      <c:valAx>
        <c:axId val="6047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78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579120</xdr:colOff>
      <xdr:row>0</xdr:row>
      <xdr:rowOff>38100</xdr:rowOff>
    </xdr:from>
    <xdr:to>
      <xdr:col>11</xdr:col>
      <xdr:colOff>152400</xdr:colOff>
      <xdr:row>15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228600</xdr:colOff>
      <xdr:row>17</xdr:row>
      <xdr:rowOff>76200</xdr:rowOff>
    </xdr:from>
    <xdr:to>
      <xdr:col>12</xdr:col>
      <xdr:colOff>533400</xdr:colOff>
      <xdr:row>32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480060</xdr:colOff>
      <xdr:row>34</xdr:row>
      <xdr:rowOff>106680</xdr:rowOff>
    </xdr:from>
    <xdr:to>
      <xdr:col>12</xdr:col>
      <xdr:colOff>175260</xdr:colOff>
      <xdr:row>49</xdr:row>
      <xdr:rowOff>106680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45720</xdr:colOff>
      <xdr:row>51</xdr:row>
      <xdr:rowOff>144780</xdr:rowOff>
    </xdr:from>
    <xdr:to>
      <xdr:col>12</xdr:col>
      <xdr:colOff>350520</xdr:colOff>
      <xdr:row>66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121920</xdr:colOff>
      <xdr:row>67</xdr:row>
      <xdr:rowOff>60960</xdr:rowOff>
    </xdr:from>
    <xdr:to>
      <xdr:col>12</xdr:col>
      <xdr:colOff>426720</xdr:colOff>
      <xdr:row>82</xdr:row>
      <xdr:rowOff>60960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6C27409-88D4-41A1-A89B-32B469B31A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541020</xdr:colOff>
      <xdr:row>38</xdr:row>
      <xdr:rowOff>129540</xdr:rowOff>
    </xdr:from>
    <xdr:to>
      <xdr:col>15</xdr:col>
      <xdr:colOff>464820</xdr:colOff>
      <xdr:row>53</xdr:row>
      <xdr:rowOff>129540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DF79C3B-1218-406F-8CF2-22FF026E7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487680</xdr:colOff>
      <xdr:row>0</xdr:row>
      <xdr:rowOff>72390</xdr:rowOff>
    </xdr:from>
    <xdr:to>
      <xdr:col>14</xdr:col>
      <xdr:colOff>182880</xdr:colOff>
      <xdr:row>15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F47224-FBFC-4B9D-863E-B30CBA212E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472440</xdr:colOff>
      <xdr:row>15</xdr:row>
      <xdr:rowOff>163830</xdr:rowOff>
    </xdr:from>
    <xdr:to>
      <xdr:col>14</xdr:col>
      <xdr:colOff>167640</xdr:colOff>
      <xdr:row>30</xdr:row>
      <xdr:rowOff>163830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CDF130-51C3-422E-B73A-C5399D0B0C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563880</xdr:colOff>
      <xdr:row>32</xdr:row>
      <xdr:rowOff>76200</xdr:rowOff>
    </xdr:from>
    <xdr:to>
      <xdr:col>14</xdr:col>
      <xdr:colOff>259080</xdr:colOff>
      <xdr:row>47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5197CAC-9992-4722-8070-ED34BACE73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49</xdr:row>
      <xdr:rowOff>0</xdr:rowOff>
    </xdr:from>
    <xdr:to>
      <xdr:col>14</xdr:col>
      <xdr:colOff>304800</xdr:colOff>
      <xdr:row>64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91EE7AE-C9FA-4DA6-B0C4-981795269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548640</xdr:colOff>
      <xdr:row>41</xdr:row>
      <xdr:rowOff>76200</xdr:rowOff>
    </xdr:from>
    <xdr:to>
      <xdr:col>20</xdr:col>
      <xdr:colOff>22860</xdr:colOff>
      <xdr:row>56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606BEF3-1D36-49A5-988D-F22F7A401C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190500</xdr:colOff>
      <xdr:row>39</xdr:row>
      <xdr:rowOff>30480</xdr:rowOff>
    </xdr:from>
    <xdr:to>
      <xdr:col>23</xdr:col>
      <xdr:colOff>1417320</xdr:colOff>
      <xdr:row>54</xdr:row>
      <xdr:rowOff>30480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0D7EC92-B6A5-4E8E-9FF3-4D2E86EF2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75"/>
  <sheetViews>
    <sheetView topLeftCell="O1" zoomScaleNormal="100" workbookViewId="0">
      <selection activeCell="Q14" sqref="Q14"/>
    </sheetView>
  </sheetViews>
  <sheetFormatPr defaultRowHeight="14.4" x14ac:dyDescent="0.3"/>
  <cols>
    <col min="2" max="2" width="13.6640625" customWidth="1"/>
    <col min="3" max="3" width="9.21875" customWidth="1"/>
    <col min="4" max="4" width="10.6640625" customWidth="1"/>
    <col min="14" max="14" width="32.109375" customWidth="1"/>
    <col min="15" max="15" width="26.77734375" customWidth="1"/>
    <col min="16" max="16" width="31.109375" customWidth="1"/>
    <col min="17" max="20" width="22.6640625" customWidth="1"/>
    <col min="21" max="21" width="18.109375" customWidth="1"/>
    <col min="22" max="22" width="11.44140625" customWidth="1"/>
    <col min="23" max="23" width="14.33203125" customWidth="1"/>
    <col min="24" max="24" width="19.21875" customWidth="1"/>
    <col min="25" max="25" width="19.88671875" customWidth="1"/>
    <col min="27" max="27" width="14.33203125" customWidth="1"/>
    <col min="28" max="28" width="13.5546875" bestFit="1" customWidth="1"/>
    <col min="29" max="29" width="14.21875" customWidth="1"/>
    <col min="30" max="30" width="14" customWidth="1"/>
    <col min="32" max="32" width="10.88671875" customWidth="1"/>
    <col min="33" max="33" width="14.5546875" customWidth="1"/>
  </cols>
  <sheetData>
    <row r="1" spans="2:32" x14ac:dyDescent="0.3">
      <c r="B1" t="s">
        <v>0</v>
      </c>
      <c r="C1" t="s">
        <v>3</v>
      </c>
      <c r="D1" t="s">
        <v>1</v>
      </c>
      <c r="O1" t="s">
        <v>2</v>
      </c>
      <c r="P1" t="s">
        <v>4</v>
      </c>
      <c r="Q1" t="s">
        <v>6</v>
      </c>
      <c r="R1" t="s">
        <v>7</v>
      </c>
      <c r="S1" t="s">
        <v>8</v>
      </c>
      <c r="T1" t="s">
        <v>14</v>
      </c>
      <c r="U1" s="3" t="s">
        <v>19</v>
      </c>
      <c r="V1" t="s">
        <v>20</v>
      </c>
      <c r="W1" t="s">
        <v>21</v>
      </c>
      <c r="X1" t="s">
        <v>32</v>
      </c>
    </row>
    <row r="2" spans="2:32" x14ac:dyDescent="0.3">
      <c r="B2" t="s">
        <v>2</v>
      </c>
      <c r="C2">
        <v>100</v>
      </c>
      <c r="D2">
        <v>584.29999999999995</v>
      </c>
      <c r="N2" t="s">
        <v>15</v>
      </c>
      <c r="T2" s="1">
        <v>1533.65</v>
      </c>
      <c r="U2">
        <v>9182.2900000000009</v>
      </c>
      <c r="W2">
        <v>3069.49</v>
      </c>
      <c r="X2">
        <v>1627.96</v>
      </c>
    </row>
    <row r="3" spans="2:32" x14ac:dyDescent="0.3">
      <c r="C3">
        <v>50</v>
      </c>
      <c r="D3">
        <v>316.89</v>
      </c>
      <c r="N3" t="s">
        <v>16</v>
      </c>
      <c r="T3" s="1">
        <v>1962.7</v>
      </c>
      <c r="U3">
        <v>10122.41</v>
      </c>
      <c r="W3">
        <v>3749.85</v>
      </c>
      <c r="X3">
        <v>1291.97</v>
      </c>
    </row>
    <row r="4" spans="2:32" x14ac:dyDescent="0.3">
      <c r="C4">
        <v>25</v>
      </c>
      <c r="D4">
        <v>164.7</v>
      </c>
      <c r="N4" t="s">
        <v>9</v>
      </c>
      <c r="O4">
        <v>200.97</v>
      </c>
      <c r="P4">
        <v>12722.68</v>
      </c>
      <c r="Q4">
        <v>5905.16</v>
      </c>
      <c r="R4">
        <v>8639.3799999999992</v>
      </c>
      <c r="S4">
        <v>7053.77</v>
      </c>
      <c r="U4">
        <v>117.42</v>
      </c>
      <c r="V4">
        <v>463.84</v>
      </c>
      <c r="W4">
        <v>71.03</v>
      </c>
      <c r="AF4" s="1"/>
    </row>
    <row r="5" spans="2:32" x14ac:dyDescent="0.3">
      <c r="C5">
        <v>12.5</v>
      </c>
      <c r="D5">
        <v>84.45</v>
      </c>
      <c r="N5" t="s">
        <v>10</v>
      </c>
      <c r="O5">
        <v>311.27999999999997</v>
      </c>
      <c r="P5">
        <v>13770.45</v>
      </c>
      <c r="Q5">
        <v>7187.18</v>
      </c>
      <c r="R5">
        <v>9483.8799999999992</v>
      </c>
      <c r="S5">
        <v>8206.1200000000008</v>
      </c>
      <c r="U5">
        <v>117.31</v>
      </c>
      <c r="V5">
        <v>679.04</v>
      </c>
      <c r="W5">
        <v>102.1</v>
      </c>
    </row>
    <row r="6" spans="2:32" x14ac:dyDescent="0.3">
      <c r="N6" t="s">
        <v>12</v>
      </c>
      <c r="O6">
        <v>554.35</v>
      </c>
      <c r="P6">
        <v>12889.28</v>
      </c>
      <c r="Q6">
        <v>3243.52</v>
      </c>
      <c r="R6">
        <v>8968.99</v>
      </c>
      <c r="S6">
        <v>1964.28</v>
      </c>
      <c r="U6" s="1"/>
      <c r="V6">
        <f>AVERAGE(V4:V5)</f>
        <v>571.43999999999994</v>
      </c>
      <c r="W6" s="1">
        <f>AVERAGE(W4:W5)</f>
        <v>86.564999999999998</v>
      </c>
    </row>
    <row r="7" spans="2:32" x14ac:dyDescent="0.3">
      <c r="N7" t="s">
        <v>13</v>
      </c>
      <c r="O7">
        <v>587.22</v>
      </c>
      <c r="P7">
        <v>15522.69</v>
      </c>
      <c r="Q7" s="1">
        <v>3911.88</v>
      </c>
      <c r="R7">
        <v>10889.37</v>
      </c>
      <c r="S7">
        <v>1713.57</v>
      </c>
      <c r="U7" s="1">
        <f>U6/5.9819</f>
        <v>0</v>
      </c>
      <c r="V7" s="1">
        <f>V6/5.9819</f>
        <v>95.528176666276579</v>
      </c>
      <c r="W7" s="1">
        <f>W6/5.9819</f>
        <v>14.471154649860411</v>
      </c>
      <c r="AA7" s="1"/>
      <c r="AB7" s="1"/>
    </row>
    <row r="8" spans="2:32" x14ac:dyDescent="0.3">
      <c r="Z8" s="3"/>
      <c r="AE8" s="1"/>
      <c r="AF8" s="1"/>
    </row>
    <row r="9" spans="2:32" x14ac:dyDescent="0.3">
      <c r="Y9" s="1"/>
      <c r="AF9" s="1"/>
    </row>
    <row r="10" spans="2:32" x14ac:dyDescent="0.3">
      <c r="Y10" s="1"/>
      <c r="AE10" s="1"/>
      <c r="AF10" s="1"/>
    </row>
    <row r="11" spans="2:32" x14ac:dyDescent="0.3">
      <c r="O11" t="s">
        <v>2</v>
      </c>
      <c r="P11" t="s">
        <v>4</v>
      </c>
      <c r="Q11" t="s">
        <v>6</v>
      </c>
      <c r="R11" t="s">
        <v>7</v>
      </c>
      <c r="S11" t="s">
        <v>8</v>
      </c>
      <c r="T11" t="s">
        <v>14</v>
      </c>
      <c r="U11" t="s">
        <v>19</v>
      </c>
      <c r="V11" s="3" t="s">
        <v>20</v>
      </c>
      <c r="W11" s="3" t="s">
        <v>21</v>
      </c>
      <c r="X11" s="3" t="s">
        <v>32</v>
      </c>
      <c r="Y11" s="3"/>
    </row>
    <row r="12" spans="2:32" x14ac:dyDescent="0.3">
      <c r="N12" t="s">
        <v>18</v>
      </c>
      <c r="U12" s="1">
        <f t="shared" ref="U12:U13" si="0">(U2/19.114)*(10/0.5)/1000</f>
        <v>9.6079208956785607</v>
      </c>
      <c r="V12" s="1"/>
      <c r="W12" s="1">
        <f t="shared" ref="W12:X13" si="1">(W2/19.114)*(10/0.5)/1000</f>
        <v>3.2117714764047292</v>
      </c>
      <c r="X12" s="1">
        <f t="shared" si="1"/>
        <v>1.7034215758083082</v>
      </c>
      <c r="Y12" s="1"/>
    </row>
    <row r="13" spans="2:32" x14ac:dyDescent="0.3">
      <c r="N13" t="s">
        <v>25</v>
      </c>
      <c r="U13" s="1">
        <f t="shared" si="0"/>
        <v>10.591618708799832</v>
      </c>
      <c r="V13" s="1"/>
      <c r="W13" s="1">
        <f t="shared" si="1"/>
        <v>3.9236685152244428</v>
      </c>
      <c r="X13" s="1">
        <f t="shared" si="1"/>
        <v>1.3518572773883015</v>
      </c>
      <c r="Y13" s="1"/>
    </row>
    <row r="14" spans="2:32" x14ac:dyDescent="0.3">
      <c r="N14" t="s">
        <v>22</v>
      </c>
      <c r="O14" s="1">
        <f>(O4/5.9819)*(10/0.5)/1000</f>
        <v>0.67192697972216187</v>
      </c>
      <c r="P14" s="1">
        <f t="shared" ref="P14:Z14" si="2">(P4/5.9819)*(10/0.5)/1000</f>
        <v>42.537254049716644</v>
      </c>
      <c r="Q14" s="1">
        <f t="shared" si="2"/>
        <v>19.743426001772011</v>
      </c>
      <c r="R14" s="1">
        <f t="shared" si="2"/>
        <v>28.885069961049162</v>
      </c>
      <c r="S14" s="1">
        <f t="shared" si="2"/>
        <v>23.583710861097643</v>
      </c>
      <c r="T14" s="1">
        <f>(T2/5.9819)*(10/0.5)/1000</f>
        <v>5.1276350323475821</v>
      </c>
      <c r="U14" s="1">
        <f>(U4/19.114)*(10/0.5)/1000</f>
        <v>0.12286282306163022</v>
      </c>
      <c r="V14" s="1">
        <f t="shared" si="2"/>
        <v>1.5508116150386999</v>
      </c>
      <c r="W14" s="1">
        <f>(W4/19.114)*(10/0.5)/1000</f>
        <v>7.4322486135816671E-2</v>
      </c>
      <c r="X14" s="1">
        <f>(X4/19.114)*(10/0.5)/1000</f>
        <v>0</v>
      </c>
      <c r="Y14" s="1"/>
      <c r="Z14" s="1">
        <f t="shared" si="2"/>
        <v>0</v>
      </c>
    </row>
    <row r="15" spans="2:32" x14ac:dyDescent="0.3">
      <c r="N15" t="s">
        <v>23</v>
      </c>
      <c r="O15" s="1">
        <f t="shared" ref="O15:Z17" si="3">(O5/5.9819)*(10/0.5)/1000</f>
        <v>1.0407395643524633</v>
      </c>
      <c r="P15" s="1">
        <f t="shared" si="3"/>
        <v>46.040388505324387</v>
      </c>
      <c r="Q15" s="1">
        <f t="shared" ref="Q15:V16" si="4">(Q5/5.9819)*(10/0.5)</f>
        <v>24029.756431902904</v>
      </c>
      <c r="R15" s="1">
        <f t="shared" si="4"/>
        <v>31708.587572510402</v>
      </c>
      <c r="S15" s="1">
        <f t="shared" si="4"/>
        <v>27436.50010866113</v>
      </c>
      <c r="T15" s="1">
        <f>(T3/5.9819)*(10/0.5)/1000</f>
        <v>6.5621290894197495</v>
      </c>
      <c r="U15" s="2">
        <f>(U5/19.114)*(10/0.5)/1000</f>
        <v>0.12274772418122842</v>
      </c>
      <c r="V15" s="2">
        <f t="shared" si="4"/>
        <v>2270.3154516123636</v>
      </c>
      <c r="W15" s="1">
        <f t="shared" ref="W15:X17" si="5">(W5/19.114)*(10/0.5)/1000</f>
        <v>0.1068326880820341</v>
      </c>
      <c r="X15" s="1">
        <f t="shared" si="5"/>
        <v>0</v>
      </c>
    </row>
    <row r="16" spans="2:32" x14ac:dyDescent="0.3">
      <c r="N16" t="s">
        <v>24</v>
      </c>
      <c r="O16" s="1">
        <f t="shared" si="3"/>
        <v>1.8534244972333205</v>
      </c>
      <c r="P16" s="1">
        <f t="shared" si="3"/>
        <v>43.094267707584549</v>
      </c>
      <c r="Q16" s="1">
        <f t="shared" si="4"/>
        <v>10844.447416372723</v>
      </c>
      <c r="R16" s="1">
        <f t="shared" si="4"/>
        <v>29987.094401444356</v>
      </c>
      <c r="S16" s="1">
        <f t="shared" si="4"/>
        <v>6567.4116919373428</v>
      </c>
      <c r="T16">
        <f t="shared" si="4"/>
        <v>0</v>
      </c>
      <c r="U16" s="2">
        <f t="shared" ref="U16:U17" si="6">(U6/19.114)*(10/0.5)/1000</f>
        <v>0</v>
      </c>
      <c r="V16" s="2">
        <f t="shared" si="4"/>
        <v>1910.5635333255316</v>
      </c>
      <c r="W16" s="1">
        <f t="shared" si="5"/>
        <v>9.0577587108925398E-2</v>
      </c>
      <c r="X16" s="1">
        <f t="shared" si="5"/>
        <v>0</v>
      </c>
    </row>
    <row r="17" spans="2:27" x14ac:dyDescent="0.3">
      <c r="N17" t="s">
        <v>13</v>
      </c>
      <c r="O17" s="1">
        <f t="shared" si="3"/>
        <v>1.9633226901151806</v>
      </c>
      <c r="P17" s="1">
        <f t="shared" si="3"/>
        <v>51.898861565723266</v>
      </c>
      <c r="Q17" s="1">
        <f t="shared" si="3"/>
        <v>13.079055149701599</v>
      </c>
      <c r="R17" s="1">
        <f t="shared" si="3"/>
        <v>36.407729985456129</v>
      </c>
      <c r="S17" s="1">
        <f t="shared" si="3"/>
        <v>5.7291830354903963</v>
      </c>
      <c r="T17" s="1">
        <f t="shared" si="3"/>
        <v>0</v>
      </c>
      <c r="U17" s="2">
        <f t="shared" si="6"/>
        <v>0</v>
      </c>
      <c r="V17" s="1">
        <f t="shared" si="3"/>
        <v>0.31939075098639758</v>
      </c>
      <c r="W17" s="1">
        <f t="shared" si="5"/>
        <v>1.5141942712002103E-2</v>
      </c>
      <c r="X17" s="1">
        <f>(X7/19.114)*(10/0.5)/1000</f>
        <v>0</v>
      </c>
      <c r="Y17" s="1"/>
      <c r="Z17" s="1">
        <f t="shared" si="3"/>
        <v>0</v>
      </c>
    </row>
    <row r="18" spans="2:27" x14ac:dyDescent="0.3">
      <c r="N18" s="1">
        <f>AVERAGE(W14:W15)</f>
        <v>9.0577587108925384E-2</v>
      </c>
      <c r="T18" s="1"/>
      <c r="X18" s="1">
        <f t="shared" ref="X18" si="7">(X8/19.114)*(10/0.5)/1000</f>
        <v>0</v>
      </c>
    </row>
    <row r="19" spans="2:27" x14ac:dyDescent="0.3">
      <c r="B19" t="s">
        <v>0</v>
      </c>
      <c r="C19" t="s">
        <v>3</v>
      </c>
      <c r="D19" t="s">
        <v>1</v>
      </c>
      <c r="N19" s="1">
        <f>_xlfn.STDEV.P(W14:W15)</f>
        <v>1.6255100973108744E-2</v>
      </c>
      <c r="O19" s="4" t="s">
        <v>26</v>
      </c>
      <c r="P19" s="4" t="s">
        <v>27</v>
      </c>
      <c r="Q19" s="4" t="s">
        <v>28</v>
      </c>
      <c r="R19" s="4" t="s">
        <v>5</v>
      </c>
      <c r="S19" s="4" t="s">
        <v>29</v>
      </c>
      <c r="T19" s="4" t="s">
        <v>30</v>
      </c>
      <c r="U19" s="1">
        <f>AVERAGE(U14:U15)</f>
        <v>0.12280527362142932</v>
      </c>
      <c r="W19" s="1"/>
      <c r="X19" s="1">
        <f>AVERAGE(X12:X13)</f>
        <v>1.5276394265983049</v>
      </c>
      <c r="AA19" s="1"/>
    </row>
    <row r="20" spans="2:27" x14ac:dyDescent="0.3">
      <c r="B20" t="s">
        <v>5</v>
      </c>
      <c r="C20">
        <v>100</v>
      </c>
      <c r="D20">
        <v>3321.51</v>
      </c>
      <c r="N20" t="s">
        <v>15</v>
      </c>
      <c r="O20">
        <v>878.74</v>
      </c>
      <c r="P20">
        <v>1387.22</v>
      </c>
      <c r="Q20">
        <v>1899.21</v>
      </c>
      <c r="T20">
        <v>1025.7</v>
      </c>
      <c r="U20" s="1">
        <f>_xlfn.STDEV.P(U14:U15)</f>
        <v>5.7549440200900526E-5</v>
      </c>
      <c r="W20" s="1"/>
      <c r="X20" s="1">
        <f>_xlfn.STDEV.P(X12:X13)</f>
        <v>0.17578214921000335</v>
      </c>
      <c r="AA20" s="5"/>
    </row>
    <row r="21" spans="2:27" x14ac:dyDescent="0.3">
      <c r="C21">
        <v>50</v>
      </c>
      <c r="D21">
        <v>2260.4299999999998</v>
      </c>
      <c r="N21" t="s">
        <v>16</v>
      </c>
      <c r="O21">
        <v>1018.5</v>
      </c>
      <c r="P21">
        <v>1465.07</v>
      </c>
      <c r="Q21">
        <v>2116.5500000000002</v>
      </c>
      <c r="T21">
        <v>1132.52</v>
      </c>
    </row>
    <row r="22" spans="2:27" x14ac:dyDescent="0.3">
      <c r="C22">
        <v>25</v>
      </c>
      <c r="D22">
        <v>1352.36</v>
      </c>
      <c r="N22" t="s">
        <v>9</v>
      </c>
      <c r="O22" s="1"/>
      <c r="R22">
        <v>74.989999999999995</v>
      </c>
      <c r="S22">
        <v>132.08000000000001</v>
      </c>
    </row>
    <row r="23" spans="2:27" x14ac:dyDescent="0.3">
      <c r="C23">
        <v>12.5</v>
      </c>
      <c r="D23">
        <v>707.89</v>
      </c>
      <c r="N23" t="s">
        <v>10</v>
      </c>
      <c r="R23">
        <v>107.52</v>
      </c>
    </row>
    <row r="24" spans="2:27" x14ac:dyDescent="0.3">
      <c r="N24" t="s">
        <v>12</v>
      </c>
      <c r="S24">
        <v>1044.19</v>
      </c>
    </row>
    <row r="25" spans="2:27" x14ac:dyDescent="0.3">
      <c r="N25" t="s">
        <v>13</v>
      </c>
      <c r="S25">
        <v>1186.44</v>
      </c>
    </row>
    <row r="28" spans="2:27" x14ac:dyDescent="0.3">
      <c r="O28" s="4" t="s">
        <v>26</v>
      </c>
      <c r="P28" s="4" t="s">
        <v>27</v>
      </c>
      <c r="Q28" s="4" t="s">
        <v>28</v>
      </c>
      <c r="R28" s="4" t="s">
        <v>5</v>
      </c>
      <c r="S28" s="4" t="s">
        <v>48</v>
      </c>
      <c r="T28" s="4" t="s">
        <v>30</v>
      </c>
    </row>
    <row r="29" spans="2:27" x14ac:dyDescent="0.3">
      <c r="N29" t="s">
        <v>18</v>
      </c>
      <c r="O29" s="1">
        <f t="shared" ref="O29:Q30" si="8">(O20/27.361)*(10/0.5)</f>
        <v>642.33032418405753</v>
      </c>
      <c r="P29" s="1">
        <f t="shared" si="8"/>
        <v>1014.0126457366324</v>
      </c>
      <c r="Q29" s="1">
        <f t="shared" si="8"/>
        <v>1388.2606629874638</v>
      </c>
      <c r="R29" s="1">
        <f t="shared" ref="O29:T34" si="9">(R20/36.731)*(10/0.5)</f>
        <v>0</v>
      </c>
      <c r="S29" s="1">
        <f t="shared" si="9"/>
        <v>0</v>
      </c>
      <c r="T29" s="1">
        <f>(T20/136.29)*(10/0.5)</f>
        <v>150.51727933083868</v>
      </c>
    </row>
    <row r="30" spans="2:27" x14ac:dyDescent="0.3">
      <c r="N30" t="s">
        <v>25</v>
      </c>
      <c r="O30" s="1">
        <f t="shared" si="8"/>
        <v>744.49033295566676</v>
      </c>
      <c r="P30" s="1">
        <f t="shared" si="8"/>
        <v>1070.918460582581</v>
      </c>
      <c r="Q30" s="1">
        <f t="shared" si="8"/>
        <v>1547.1291253974637</v>
      </c>
      <c r="R30" s="1">
        <f t="shared" si="9"/>
        <v>0</v>
      </c>
      <c r="S30" s="1">
        <f t="shared" si="9"/>
        <v>0</v>
      </c>
      <c r="T30" s="1">
        <f>(T21/136.29)*(10/0.5)</f>
        <v>166.19267737911804</v>
      </c>
    </row>
    <row r="31" spans="2:27" x14ac:dyDescent="0.3">
      <c r="N31" t="s">
        <v>22</v>
      </c>
      <c r="O31" s="1">
        <f t="shared" si="9"/>
        <v>0</v>
      </c>
      <c r="P31" s="1">
        <f t="shared" si="9"/>
        <v>0</v>
      </c>
      <c r="Q31" s="1">
        <f t="shared" si="9"/>
        <v>0</v>
      </c>
      <c r="R31" s="1">
        <f t="shared" si="9"/>
        <v>40.831994772807711</v>
      </c>
      <c r="S31" s="1">
        <v>0</v>
      </c>
      <c r="T31" s="1">
        <f t="shared" si="9"/>
        <v>0</v>
      </c>
    </row>
    <row r="32" spans="2:27" x14ac:dyDescent="0.3">
      <c r="N32" t="s">
        <v>23</v>
      </c>
      <c r="O32" s="1">
        <f t="shared" si="9"/>
        <v>0</v>
      </c>
      <c r="P32" s="1">
        <f t="shared" si="9"/>
        <v>0</v>
      </c>
      <c r="Q32" s="1">
        <f t="shared" si="9"/>
        <v>0</v>
      </c>
      <c r="R32" s="1">
        <f t="shared" si="9"/>
        <v>58.54455364678337</v>
      </c>
      <c r="S32" s="1">
        <f t="shared" si="9"/>
        <v>0</v>
      </c>
      <c r="T32" s="1">
        <f t="shared" si="9"/>
        <v>0</v>
      </c>
    </row>
    <row r="33" spans="2:20" x14ac:dyDescent="0.3">
      <c r="N33" t="s">
        <v>24</v>
      </c>
      <c r="O33" s="1">
        <f t="shared" si="9"/>
        <v>0</v>
      </c>
      <c r="P33" s="1">
        <f t="shared" si="9"/>
        <v>0</v>
      </c>
      <c r="Q33" s="1">
        <f t="shared" si="9"/>
        <v>0</v>
      </c>
      <c r="R33" s="1">
        <f t="shared" si="9"/>
        <v>0</v>
      </c>
      <c r="S33" s="1">
        <f t="shared" si="9"/>
        <v>568.56061637309085</v>
      </c>
      <c r="T33" s="1">
        <f t="shared" si="9"/>
        <v>0</v>
      </c>
    </row>
    <row r="34" spans="2:20" x14ac:dyDescent="0.3">
      <c r="N34" t="s">
        <v>13</v>
      </c>
      <c r="O34" s="1">
        <f t="shared" si="9"/>
        <v>0</v>
      </c>
      <c r="P34" s="1">
        <f t="shared" si="9"/>
        <v>0</v>
      </c>
      <c r="Q34" s="1">
        <f t="shared" si="9"/>
        <v>0</v>
      </c>
      <c r="R34" s="1">
        <f t="shared" si="9"/>
        <v>0</v>
      </c>
      <c r="S34" s="1">
        <f t="shared" si="9"/>
        <v>646.01562712694999</v>
      </c>
      <c r="T34" s="1">
        <f t="shared" si="9"/>
        <v>0</v>
      </c>
    </row>
    <row r="35" spans="2:20" x14ac:dyDescent="0.3">
      <c r="B35" t="s">
        <v>0</v>
      </c>
      <c r="C35" t="s">
        <v>3</v>
      </c>
      <c r="D35" t="s">
        <v>1</v>
      </c>
      <c r="O35" t="s">
        <v>31</v>
      </c>
    </row>
    <row r="36" spans="2:20" x14ac:dyDescent="0.3">
      <c r="B36" t="s">
        <v>11</v>
      </c>
      <c r="C36">
        <v>100</v>
      </c>
      <c r="D36">
        <v>2507.2399999999998</v>
      </c>
      <c r="O36" s="1">
        <f>AVERAGE(O29:O30)</f>
        <v>693.41032856986214</v>
      </c>
      <c r="P36" s="1">
        <f>AVERAGE(P29:P30)</f>
        <v>1042.4655531596068</v>
      </c>
      <c r="Q36" s="1">
        <f>AVERAGE(Q29:Q30)</f>
        <v>1467.6948941924638</v>
      </c>
      <c r="R36" s="1">
        <f>AVERAGE(R31:R32)</f>
        <v>49.688274209795537</v>
      </c>
      <c r="S36" s="1">
        <f>AVERAGE(S33:S34)</f>
        <v>607.28812175002042</v>
      </c>
      <c r="T36" s="1">
        <f>AVERAGE(T29:T30)</f>
        <v>158.35497835497836</v>
      </c>
    </row>
    <row r="37" spans="2:20" x14ac:dyDescent="0.3">
      <c r="C37">
        <v>50</v>
      </c>
      <c r="D37">
        <v>1652.64</v>
      </c>
      <c r="O37" s="1">
        <f>_xlfn.STDEV.P(O29:O30)</f>
        <v>51.080004385804614</v>
      </c>
      <c r="P37" s="1">
        <f>_xlfn.STDEV.P(P29:P30)</f>
        <v>28.452907422974306</v>
      </c>
      <c r="Q37" s="1">
        <f>_xlfn.STDEV.P(Q29:Q30)</f>
        <v>79.434231204999946</v>
      </c>
      <c r="R37" s="1">
        <f>_xlfn.STDEV.P(R31:R32)</f>
        <v>8.8562794369878421</v>
      </c>
      <c r="S37" s="1">
        <f>_xlfn.STDEV.P(S33:S34)</f>
        <v>38.727505376929571</v>
      </c>
      <c r="T37" s="1">
        <f>_xlfn.STDEV.P(T29:T30)</f>
        <v>7.8376990241396811</v>
      </c>
    </row>
    <row r="38" spans="2:20" x14ac:dyDescent="0.3">
      <c r="C38">
        <v>25</v>
      </c>
      <c r="D38">
        <v>946.86</v>
      </c>
    </row>
    <row r="39" spans="2:20" x14ac:dyDescent="0.3">
      <c r="C39">
        <v>12.5</v>
      </c>
      <c r="D39">
        <v>508.66</v>
      </c>
    </row>
    <row r="42" spans="2:20" x14ac:dyDescent="0.3">
      <c r="O42" s="1"/>
      <c r="P42" s="1"/>
    </row>
    <row r="52" spans="2:4" x14ac:dyDescent="0.3">
      <c r="B52" t="s">
        <v>0</v>
      </c>
      <c r="C52" t="s">
        <v>3</v>
      </c>
      <c r="D52" t="s">
        <v>1</v>
      </c>
    </row>
    <row r="53" spans="2:4" x14ac:dyDescent="0.3">
      <c r="B53" t="s">
        <v>17</v>
      </c>
      <c r="C53">
        <v>100</v>
      </c>
      <c r="D53">
        <v>1789.35</v>
      </c>
    </row>
    <row r="54" spans="2:4" x14ac:dyDescent="0.3">
      <c r="C54">
        <v>50</v>
      </c>
      <c r="D54">
        <v>1144.47</v>
      </c>
    </row>
    <row r="55" spans="2:4" x14ac:dyDescent="0.3">
      <c r="C55">
        <v>25</v>
      </c>
      <c r="D55">
        <v>611.30999999999995</v>
      </c>
    </row>
    <row r="56" spans="2:4" x14ac:dyDescent="0.3">
      <c r="C56">
        <v>12.5</v>
      </c>
      <c r="D56">
        <v>193.56</v>
      </c>
    </row>
    <row r="70" spans="2:3" x14ac:dyDescent="0.3">
      <c r="B70" t="s">
        <v>35</v>
      </c>
    </row>
    <row r="71" spans="2:3" x14ac:dyDescent="0.3">
      <c r="B71" t="s">
        <v>0</v>
      </c>
      <c r="C71" t="s">
        <v>3</v>
      </c>
    </row>
    <row r="72" spans="2:3" x14ac:dyDescent="0.3">
      <c r="B72">
        <v>12.5</v>
      </c>
      <c r="C72">
        <v>136</v>
      </c>
    </row>
    <row r="73" spans="2:3" x14ac:dyDescent="0.3">
      <c r="B73">
        <v>25</v>
      </c>
      <c r="C73">
        <v>293</v>
      </c>
    </row>
    <row r="74" spans="2:3" x14ac:dyDescent="0.3">
      <c r="B74">
        <v>50</v>
      </c>
      <c r="C74">
        <v>508</v>
      </c>
    </row>
    <row r="75" spans="2:3" x14ac:dyDescent="0.3">
      <c r="B75">
        <v>100</v>
      </c>
      <c r="C75">
        <v>991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32547-D16F-47EE-8F27-C797D2B5D493}">
  <dimension ref="B1:X40"/>
  <sheetViews>
    <sheetView tabSelected="1" topLeftCell="M1" workbookViewId="0">
      <selection activeCell="R12" sqref="R12"/>
    </sheetView>
  </sheetViews>
  <sheetFormatPr defaultRowHeight="14.4" x14ac:dyDescent="0.3"/>
  <cols>
    <col min="3" max="3" width="10.109375" customWidth="1"/>
    <col min="17" max="17" width="9.88671875" customWidth="1"/>
    <col min="18" max="18" width="15" customWidth="1"/>
    <col min="19" max="19" width="12.6640625" customWidth="1"/>
    <col min="20" max="20" width="18.6640625" customWidth="1"/>
    <col min="21" max="21" width="19.21875" customWidth="1"/>
    <col min="22" max="22" width="12.109375" customWidth="1"/>
    <col min="23" max="23" width="17.44140625" customWidth="1"/>
    <col min="24" max="24" width="29.88671875" customWidth="1"/>
  </cols>
  <sheetData>
    <row r="1" spans="2:24" x14ac:dyDescent="0.3">
      <c r="B1" t="s">
        <v>0</v>
      </c>
      <c r="C1" t="s">
        <v>3</v>
      </c>
      <c r="D1" t="s">
        <v>1</v>
      </c>
      <c r="Q1" t="s">
        <v>2</v>
      </c>
      <c r="R1" t="s">
        <v>35</v>
      </c>
      <c r="S1" t="s">
        <v>38</v>
      </c>
      <c r="T1" t="s">
        <v>19</v>
      </c>
      <c r="U1" t="s">
        <v>4</v>
      </c>
      <c r="V1" t="s">
        <v>7</v>
      </c>
      <c r="W1" t="s">
        <v>8</v>
      </c>
      <c r="X1" t="s">
        <v>2</v>
      </c>
    </row>
    <row r="2" spans="2:24" x14ac:dyDescent="0.3">
      <c r="B2" t="s">
        <v>2</v>
      </c>
      <c r="C2">
        <v>100</v>
      </c>
      <c r="D2">
        <v>1505.57</v>
      </c>
      <c r="P2" t="s">
        <v>33</v>
      </c>
      <c r="R2">
        <v>3638.0520000000001</v>
      </c>
      <c r="S2">
        <v>1143.95</v>
      </c>
      <c r="T2">
        <v>20845.91</v>
      </c>
    </row>
    <row r="3" spans="2:24" x14ac:dyDescent="0.3">
      <c r="C3">
        <v>50</v>
      </c>
      <c r="D3">
        <v>926.3</v>
      </c>
      <c r="P3" t="s">
        <v>34</v>
      </c>
      <c r="R3">
        <v>3638.0520000000001</v>
      </c>
      <c r="S3">
        <v>1143.95</v>
      </c>
      <c r="T3">
        <v>20845.907999999999</v>
      </c>
    </row>
    <row r="4" spans="2:24" x14ac:dyDescent="0.3">
      <c r="C4">
        <v>25</v>
      </c>
      <c r="D4">
        <v>570.69000000000005</v>
      </c>
      <c r="P4" t="s">
        <v>36</v>
      </c>
      <c r="R4">
        <v>3841.0079999999998</v>
      </c>
      <c r="S4">
        <v>3215.56</v>
      </c>
      <c r="T4">
        <v>15245.868</v>
      </c>
    </row>
    <row r="5" spans="2:24" x14ac:dyDescent="0.3">
      <c r="C5">
        <v>12.5</v>
      </c>
      <c r="D5">
        <v>336.65</v>
      </c>
      <c r="P5" t="s">
        <v>37</v>
      </c>
      <c r="R5">
        <v>3841.0079999999998</v>
      </c>
      <c r="S5">
        <v>3215.56</v>
      </c>
      <c r="T5">
        <v>15245.868</v>
      </c>
    </row>
    <row r="6" spans="2:24" x14ac:dyDescent="0.3">
      <c r="P6" t="s">
        <v>43</v>
      </c>
      <c r="Q6">
        <v>1248.2329999999999</v>
      </c>
      <c r="R6">
        <v>44.609000000000002</v>
      </c>
      <c r="T6">
        <v>28.335000000000001</v>
      </c>
      <c r="U6">
        <v>1836.625</v>
      </c>
      <c r="V6">
        <v>48.633000000000003</v>
      </c>
      <c r="X6">
        <v>1264.6959999999999</v>
      </c>
    </row>
    <row r="7" spans="2:24" x14ac:dyDescent="0.3">
      <c r="P7" t="s">
        <v>44</v>
      </c>
      <c r="Q7">
        <v>1248.2329999999999</v>
      </c>
      <c r="R7">
        <v>43.673999999999999</v>
      </c>
      <c r="T7">
        <v>27.224</v>
      </c>
      <c r="U7">
        <v>1827.385</v>
      </c>
      <c r="V7">
        <v>48.633000000000003</v>
      </c>
      <c r="X7">
        <v>1248.2329999999999</v>
      </c>
    </row>
    <row r="9" spans="2:24" x14ac:dyDescent="0.3">
      <c r="Q9" t="s">
        <v>2</v>
      </c>
      <c r="R9" t="s">
        <v>35</v>
      </c>
      <c r="S9" t="s">
        <v>38</v>
      </c>
      <c r="T9" t="s">
        <v>19</v>
      </c>
      <c r="U9" t="s">
        <v>4</v>
      </c>
      <c r="V9" t="s">
        <v>7</v>
      </c>
      <c r="W9" t="s">
        <v>8</v>
      </c>
      <c r="X9" t="s">
        <v>2</v>
      </c>
    </row>
    <row r="10" spans="2:24" x14ac:dyDescent="0.3">
      <c r="P10" t="s">
        <v>33</v>
      </c>
      <c r="R10" s="1">
        <f>(R2/10.054)*(20/0.5)/1000</f>
        <v>14.474048140043763</v>
      </c>
      <c r="S10" s="1">
        <f>(S2/10.054)*(20/0.5)/1000</f>
        <v>4.5512233936741593</v>
      </c>
      <c r="T10" s="1">
        <f>(T2/21.651)*(20/0.5)/1000</f>
        <v>38.512604498637479</v>
      </c>
    </row>
    <row r="11" spans="2:24" x14ac:dyDescent="0.3">
      <c r="P11" t="s">
        <v>34</v>
      </c>
      <c r="R11" s="1">
        <f>(R3/10.054)*(20/0.5)/1000</f>
        <v>14.474048140043763</v>
      </c>
      <c r="S11" s="1">
        <f t="shared" ref="S11:S13" si="0">(S3/10.054)*(20/0.5)/1000</f>
        <v>4.5512233936741593</v>
      </c>
      <c r="T11" s="1">
        <f t="shared" ref="T11:T15" si="1">(T3/21.651)*(20/0.5)/1000</f>
        <v>38.512600803658032</v>
      </c>
    </row>
    <row r="12" spans="2:24" x14ac:dyDescent="0.3">
      <c r="P12" t="s">
        <v>36</v>
      </c>
      <c r="R12" s="1">
        <f t="shared" ref="R12:R15" si="2">(R4/10.054)*(20/0.5)/1000</f>
        <v>15.281511836085139</v>
      </c>
      <c r="S12" s="1">
        <f t="shared" si="0"/>
        <v>12.793156952456735</v>
      </c>
      <c r="T12" s="1">
        <f t="shared" si="1"/>
        <v>28.166584453373979</v>
      </c>
    </row>
    <row r="13" spans="2:24" x14ac:dyDescent="0.3">
      <c r="P13" t="s">
        <v>37</v>
      </c>
      <c r="R13" s="1">
        <f t="shared" si="2"/>
        <v>15.281511836085139</v>
      </c>
      <c r="S13" s="1">
        <f t="shared" si="0"/>
        <v>12.793156952456735</v>
      </c>
      <c r="T13" s="1">
        <f t="shared" si="1"/>
        <v>28.166584453373979</v>
      </c>
    </row>
    <row r="14" spans="2:24" x14ac:dyDescent="0.3">
      <c r="P14" t="s">
        <v>43</v>
      </c>
      <c r="Q14" s="1">
        <f>(Q6/16.214)*(20/0.5)/1000</f>
        <v>3.0793955840631551</v>
      </c>
      <c r="R14" s="1">
        <f t="shared" si="2"/>
        <v>0.17747762084742391</v>
      </c>
      <c r="S14" s="1"/>
      <c r="T14" s="1">
        <f t="shared" si="1"/>
        <v>5.2348621310793958E-2</v>
      </c>
      <c r="U14" s="1">
        <f t="shared" ref="U14:X14" si="3">(U6/16.21)*(20/0.5)/1000</f>
        <v>4.5320789636027152</v>
      </c>
      <c r="V14" s="1">
        <f t="shared" si="3"/>
        <v>0.12000740283775449</v>
      </c>
      <c r="W14" s="1"/>
      <c r="X14" s="1">
        <f t="shared" si="3"/>
        <v>3.1207797655768039</v>
      </c>
    </row>
    <row r="15" spans="2:24" x14ac:dyDescent="0.3">
      <c r="P15" t="s">
        <v>44</v>
      </c>
      <c r="Q15" s="1">
        <f t="shared" ref="Q15" si="4">(Q7/16.21)*(20/0.5)/1000</f>
        <v>3.0801554595928433</v>
      </c>
      <c r="R15" s="1">
        <f t="shared" si="2"/>
        <v>0.17375770837477619</v>
      </c>
      <c r="S15" s="1"/>
      <c r="T15" s="1">
        <f t="shared" si="1"/>
        <v>5.0296060228164984E-2</v>
      </c>
      <c r="U15" s="1">
        <f t="shared" ref="U15:X15" si="5">(U7/16.21)*(20/0.5)/1000</f>
        <v>4.5092782233189395</v>
      </c>
      <c r="V15" s="1">
        <f t="shared" si="5"/>
        <v>0.12000740283775449</v>
      </c>
      <c r="W15" s="1"/>
      <c r="X15" s="1">
        <f t="shared" si="5"/>
        <v>3.0801554595928433</v>
      </c>
    </row>
    <row r="16" spans="2:24" x14ac:dyDescent="0.3">
      <c r="P16" s="1"/>
      <c r="R16" s="1"/>
    </row>
    <row r="17" spans="2:24" x14ac:dyDescent="0.3">
      <c r="P17" s="1"/>
      <c r="R17" t="s">
        <v>42</v>
      </c>
      <c r="S17" t="s">
        <v>40</v>
      </c>
      <c r="T17" t="s">
        <v>41</v>
      </c>
      <c r="U17" t="s">
        <v>30</v>
      </c>
      <c r="V17" t="s">
        <v>45</v>
      </c>
      <c r="W17" t="s">
        <v>47</v>
      </c>
      <c r="X17" s="4" t="s">
        <v>46</v>
      </c>
    </row>
    <row r="18" spans="2:24" x14ac:dyDescent="0.3">
      <c r="P18" t="s">
        <v>33</v>
      </c>
      <c r="R18">
        <v>169.541</v>
      </c>
      <c r="S18">
        <v>162.559</v>
      </c>
      <c r="T18">
        <v>3314.4780000000001</v>
      </c>
      <c r="U18">
        <v>2914.97</v>
      </c>
      <c r="X18">
        <v>311.98</v>
      </c>
    </row>
    <row r="19" spans="2:24" x14ac:dyDescent="0.3">
      <c r="P19" t="s">
        <v>34</v>
      </c>
      <c r="R19">
        <v>169.541</v>
      </c>
      <c r="S19">
        <v>194.93</v>
      </c>
      <c r="T19">
        <v>3314.4780000000001</v>
      </c>
      <c r="U19">
        <v>2141.348</v>
      </c>
      <c r="X19">
        <v>311.98</v>
      </c>
    </row>
    <row r="20" spans="2:24" x14ac:dyDescent="0.3">
      <c r="P20" t="s">
        <v>36</v>
      </c>
      <c r="R20">
        <v>101.14700000000001</v>
      </c>
      <c r="S20">
        <v>12.113</v>
      </c>
      <c r="T20">
        <v>2567.9549999999999</v>
      </c>
      <c r="U20">
        <v>1638.5820000000001</v>
      </c>
      <c r="V20">
        <v>1225.5429999999999</v>
      </c>
      <c r="X20">
        <v>104.72</v>
      </c>
    </row>
    <row r="21" spans="2:24" x14ac:dyDescent="0.3">
      <c r="B21" t="s">
        <v>0</v>
      </c>
      <c r="C21" t="s">
        <v>3</v>
      </c>
      <c r="D21" t="s">
        <v>1</v>
      </c>
      <c r="P21" t="s">
        <v>37</v>
      </c>
      <c r="R21">
        <v>103.309</v>
      </c>
      <c r="S21">
        <v>12.113</v>
      </c>
      <c r="T21">
        <v>2567.9549999999999</v>
      </c>
      <c r="U21">
        <v>1019.332</v>
      </c>
      <c r="V21">
        <v>1225.5429999999999</v>
      </c>
      <c r="X21">
        <v>104.72</v>
      </c>
    </row>
    <row r="22" spans="2:24" x14ac:dyDescent="0.3">
      <c r="B22" t="s">
        <v>39</v>
      </c>
      <c r="C22">
        <v>100</v>
      </c>
      <c r="D22">
        <v>8063.42</v>
      </c>
      <c r="P22" t="s">
        <v>43</v>
      </c>
      <c r="U22">
        <v>44.94</v>
      </c>
      <c r="W22">
        <v>408.84100000000001</v>
      </c>
    </row>
    <row r="23" spans="2:24" x14ac:dyDescent="0.3">
      <c r="C23">
        <v>50</v>
      </c>
      <c r="D23">
        <v>4925.3599999999997</v>
      </c>
      <c r="P23" t="s">
        <v>44</v>
      </c>
      <c r="U23">
        <v>44.94</v>
      </c>
      <c r="W23">
        <v>416.71499999999997</v>
      </c>
    </row>
    <row r="24" spans="2:24" x14ac:dyDescent="0.3">
      <c r="C24">
        <v>25</v>
      </c>
      <c r="D24">
        <v>3134.21</v>
      </c>
    </row>
    <row r="25" spans="2:24" x14ac:dyDescent="0.3">
      <c r="C25">
        <v>12.5</v>
      </c>
      <c r="D25">
        <v>1387.97</v>
      </c>
      <c r="R25" t="s">
        <v>42</v>
      </c>
      <c r="S25" t="s">
        <v>40</v>
      </c>
      <c r="T25" t="s">
        <v>41</v>
      </c>
      <c r="U25" t="s">
        <v>30</v>
      </c>
      <c r="V25" t="s">
        <v>45</v>
      </c>
      <c r="W25" t="s">
        <v>47</v>
      </c>
      <c r="X25" s="4" t="s">
        <v>46</v>
      </c>
    </row>
    <row r="26" spans="2:24" x14ac:dyDescent="0.3">
      <c r="P26" t="s">
        <v>33</v>
      </c>
      <c r="R26" s="1">
        <f t="shared" ref="R26:X29" si="6">(R18/86.461)*(20/0.5)</f>
        <v>78.435826557638705</v>
      </c>
      <c r="S26" s="1">
        <f t="shared" si="6"/>
        <v>75.205699679624331</v>
      </c>
      <c r="T26" s="1">
        <f t="shared" si="6"/>
        <v>1533.3979482078626</v>
      </c>
      <c r="U26" s="1">
        <f>(U18/163.29)*(20/0.5)</f>
        <v>714.05964847816767</v>
      </c>
      <c r="V26" s="1"/>
      <c r="W26" s="1"/>
      <c r="X26" s="1">
        <f t="shared" si="6"/>
        <v>144.33328321439726</v>
      </c>
    </row>
    <row r="27" spans="2:24" x14ac:dyDescent="0.3">
      <c r="P27" t="s">
        <v>34</v>
      </c>
      <c r="R27" s="1">
        <f t="shared" si="6"/>
        <v>78.435826557638705</v>
      </c>
      <c r="S27" s="1">
        <f t="shared" si="6"/>
        <v>90.181700419842485</v>
      </c>
      <c r="T27" s="1">
        <f t="shared" si="6"/>
        <v>1533.3979482078626</v>
      </c>
      <c r="U27" s="1">
        <f t="shared" ref="U27:U31" si="7">(U19/163.29)*(20/0.5)</f>
        <v>524.55092167309692</v>
      </c>
      <c r="X27" s="1">
        <f t="shared" si="6"/>
        <v>144.33328321439726</v>
      </c>
    </row>
    <row r="28" spans="2:24" x14ac:dyDescent="0.3">
      <c r="P28" t="s">
        <v>36</v>
      </c>
      <c r="R28" s="1">
        <f t="shared" si="6"/>
        <v>46.794277188559008</v>
      </c>
      <c r="S28" s="1">
        <f t="shared" si="6"/>
        <v>5.6039139033784018</v>
      </c>
      <c r="T28" s="1">
        <f t="shared" si="6"/>
        <v>1188.0292848798881</v>
      </c>
      <c r="U28" s="1">
        <f t="shared" si="7"/>
        <v>401.39187947822899</v>
      </c>
      <c r="V28" s="1">
        <f>(V20/86.461)*(20/0.5)</f>
        <v>566.98071963081611</v>
      </c>
      <c r="X28" s="1">
        <f t="shared" ref="X28" si="8">(X20/86.461)*(20/0.5)</f>
        <v>48.447276806884034</v>
      </c>
    </row>
    <row r="29" spans="2:24" x14ac:dyDescent="0.3">
      <c r="P29" t="s">
        <v>37</v>
      </c>
      <c r="R29" s="1">
        <f t="shared" si="6"/>
        <v>47.794496940817254</v>
      </c>
      <c r="S29" s="1">
        <f t="shared" si="6"/>
        <v>5.6039139033784018</v>
      </c>
      <c r="T29" s="1">
        <f t="shared" si="6"/>
        <v>1188.0292848798881</v>
      </c>
      <c r="U29" s="1">
        <f t="shared" si="7"/>
        <v>249.69857309082002</v>
      </c>
      <c r="V29" s="1">
        <f>(V21/86.461)*(20/0.5)</f>
        <v>566.98071963081611</v>
      </c>
      <c r="X29" s="1">
        <f t="shared" ref="X29" si="9">(X21/86.461)*(20/0.5)</f>
        <v>48.447276806884034</v>
      </c>
    </row>
    <row r="30" spans="2:24" x14ac:dyDescent="0.3">
      <c r="P30" s="1" t="s">
        <v>43</v>
      </c>
      <c r="Q30" s="1"/>
      <c r="U30" s="1">
        <f t="shared" si="7"/>
        <v>11.008634943964726</v>
      </c>
      <c r="V30" s="1"/>
      <c r="W30" s="1">
        <f>(W22/163.29)*(20/0.5)</f>
        <v>100.150897176802</v>
      </c>
      <c r="X30" s="1"/>
    </row>
    <row r="31" spans="2:24" x14ac:dyDescent="0.3">
      <c r="P31" s="1" t="s">
        <v>44</v>
      </c>
      <c r="Q31" s="1"/>
      <c r="U31" s="1">
        <f t="shared" si="7"/>
        <v>11.008634943964726</v>
      </c>
      <c r="V31" s="1"/>
      <c r="W31" s="1">
        <f>(W23/163.29)*(20/0.5)</f>
        <v>102.0797354400147</v>
      </c>
    </row>
    <row r="32" spans="2:24" x14ac:dyDescent="0.3">
      <c r="P32" s="1"/>
      <c r="R32" s="1">
        <f>AVERAGE(R28:R29)</f>
        <v>47.294387064688131</v>
      </c>
      <c r="S32" s="1">
        <f>AVERAGE(S26:S27)</f>
        <v>82.693700049733408</v>
      </c>
    </row>
    <row r="33" spans="3:23" x14ac:dyDescent="0.3">
      <c r="P33" s="1"/>
      <c r="R33" s="1">
        <f>_xlfn.STDEV.P(R28:R29)</f>
        <v>0.50010987612912317</v>
      </c>
      <c r="S33" s="1">
        <f>_xlfn.STDEV.P(S26:S27)</f>
        <v>7.4880003701090772</v>
      </c>
      <c r="U33" s="1">
        <f>AVERAGE(U26:U27)</f>
        <v>619.30528507563236</v>
      </c>
      <c r="V33" s="2">
        <f>_xlfn.STDEV.P(U26:U27)</f>
        <v>94.754363402534935</v>
      </c>
      <c r="W33" s="1">
        <f>AVERAGE(W30:W31)</f>
        <v>101.11531630840835</v>
      </c>
    </row>
    <row r="34" spans="3:23" x14ac:dyDescent="0.3">
      <c r="C34" t="s">
        <v>17</v>
      </c>
      <c r="P34" t="s">
        <v>3</v>
      </c>
      <c r="Q34" t="s">
        <v>1</v>
      </c>
      <c r="U34" s="1">
        <f>AVERAGE(U28:U29)</f>
        <v>325.54522628452452</v>
      </c>
      <c r="V34" s="1">
        <f>_xlfn.STDEV.P(U28:U29)</f>
        <v>75.846653193704469</v>
      </c>
      <c r="W34" s="1">
        <f>_xlfn.STDEV.P(W30:W31)</f>
        <v>0.9644191316063484</v>
      </c>
    </row>
    <row r="35" spans="3:23" x14ac:dyDescent="0.3">
      <c r="C35" t="s">
        <v>3</v>
      </c>
      <c r="D35" t="s">
        <v>1</v>
      </c>
      <c r="P35">
        <v>100</v>
      </c>
      <c r="Q35">
        <v>14706.53</v>
      </c>
      <c r="U35" s="1">
        <f>AVERAGE(U30:U31)</f>
        <v>11.008634943964726</v>
      </c>
      <c r="V35">
        <f>_xlfn.STDEV.P(U30:U31)</f>
        <v>0</v>
      </c>
    </row>
    <row r="36" spans="3:23" x14ac:dyDescent="0.3">
      <c r="C36">
        <v>100</v>
      </c>
      <c r="D36">
        <v>2217.0010000000002</v>
      </c>
      <c r="P36">
        <v>50</v>
      </c>
      <c r="Q36">
        <v>9798.09</v>
      </c>
    </row>
    <row r="37" spans="3:23" x14ac:dyDescent="0.3">
      <c r="C37">
        <v>50</v>
      </c>
      <c r="D37">
        <v>856.83900000000006</v>
      </c>
      <c r="P37">
        <v>25</v>
      </c>
      <c r="Q37">
        <v>6046.02</v>
      </c>
    </row>
    <row r="38" spans="3:23" x14ac:dyDescent="0.3">
      <c r="C38">
        <v>25</v>
      </c>
      <c r="D38">
        <v>785.91099999999994</v>
      </c>
      <c r="P38">
        <v>12.5</v>
      </c>
      <c r="Q38">
        <v>3804.04</v>
      </c>
    </row>
    <row r="39" spans="3:23" x14ac:dyDescent="0.3">
      <c r="C39">
        <v>12.5</v>
      </c>
      <c r="D39">
        <f>151.643+133.592</f>
        <v>285.23500000000001</v>
      </c>
      <c r="P39">
        <v>6.25</v>
      </c>
      <c r="Q39">
        <v>2234.25</v>
      </c>
    </row>
    <row r="40" spans="3:23" x14ac:dyDescent="0.3">
      <c r="C40">
        <v>6.25</v>
      </c>
      <c r="D40">
        <v>103.52</v>
      </c>
      <c r="P40">
        <v>3.125</v>
      </c>
      <c r="Q40">
        <v>1096.69</v>
      </c>
    </row>
  </sheetData>
  <phoneticPr fontId="3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November 2020</vt:lpstr>
      <vt:lpstr>September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2020-12-03T08:08:36Z</dcterms:created>
  <dcterms:modified xsi:type="dcterms:W3CDTF">2022-08-04T12:55:38Z</dcterms:modified>
</cp:coreProperties>
</file>