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charts/chart1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3.xml" ContentType="application/vnd.openxmlformats-officedocument.themeOverride+xml"/>
  <Override PartName="/xl/charts/chart1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1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2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nmisaorg.sharepoint.com/sites/pr/Shared Documents/PROJECT PLANNING/Maintenance of NMS for RA SR/Spectral response/200 to 400 nm/1. ORW-005.RA_PtSi_Xe/"/>
    </mc:Choice>
  </mc:AlternateContent>
  <xr:revisionPtr revIDLastSave="4348" documentId="13_ncr:1_{ECD2804E-4D42-4F0E-92F8-B20B7DA16548}" xr6:coauthVersionLast="47" xr6:coauthVersionMax="47" xr10:uidLastSave="{BE9156AC-04F1-4CB3-A811-E90CA496372C}"/>
  <bookViews>
    <workbookView xWindow="28680" yWindow="-120" windowWidth="29040" windowHeight="15840" tabRatio="809" activeTab="1" xr2:uid="{00000000-000D-0000-FFFF-FFFF00000000}"/>
  </bookViews>
  <sheets>
    <sheet name="Response calculation" sheetId="1" r:id="rId1"/>
    <sheet name="Uncertainty calc" sheetId="2" r:id="rId2"/>
    <sheet name="Temp coeff" sheetId="8" r:id="rId3"/>
    <sheet name="Wavelength Uc" sheetId="3" r:id="rId4"/>
    <sheet name="Source stability" sheetId="4" r:id="rId5"/>
    <sheet name="DVM" sheetId="5" r:id="rId6"/>
    <sheet name="Drift is STD" sheetId="7" r:id="rId7"/>
    <sheet name="RAW" sheetId="6" r:id="rId8"/>
    <sheet name="S_N ratio" sheetId="9" r:id="rId9"/>
    <sheet name="Sheet1" sheetId="10" r:id="rId10"/>
    <sheet name="Uncertainty calcCOPYMSc" sheetId="11" r:id="rId11"/>
    <sheet name="MScTables" sheetId="12" r:id="rId12"/>
  </sheets>
  <externalReferences>
    <externalReference r:id="rId13"/>
    <externalReference r:id="rId14"/>
    <externalReference r:id="rId15"/>
  </externalReferences>
  <definedNames>
    <definedName name="_xlnm.Print_Area" localSheetId="1">'Uncertainty calc'!$A$1:$CC$40</definedName>
    <definedName name="_xlnm.Print_Area" localSheetId="10">'Uncertainty calcCOPYMSc'!$A$1:$CD$40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0" i="2" l="1"/>
  <c r="M42" i="2"/>
  <c r="M41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20" i="2"/>
  <c r="CA20" i="2"/>
  <c r="M38" i="2" l="1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9" i="2"/>
  <c r="M40" i="2"/>
  <c r="M20" i="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4" i="12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00" i="1"/>
  <c r="AA5" i="12" l="1"/>
  <c r="AA6" i="12"/>
  <c r="AA7" i="12"/>
  <c r="AA8" i="12"/>
  <c r="AA9" i="12"/>
  <c r="AA10" i="12"/>
  <c r="AA11" i="12"/>
  <c r="AA12" i="12"/>
  <c r="AA13" i="12"/>
  <c r="AA14" i="12"/>
  <c r="AA15" i="12"/>
  <c r="AA16" i="12"/>
  <c r="AA17" i="12"/>
  <c r="AA18" i="12"/>
  <c r="AA4" i="12"/>
  <c r="H5" i="12" l="1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4" i="12"/>
  <c r="O5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4" i="12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4" i="12"/>
  <c r="S20" i="11"/>
  <c r="T20" i="11"/>
  <c r="U20" i="11" s="1"/>
  <c r="AM20" i="11"/>
  <c r="AV20" i="11"/>
  <c r="AY20" i="11"/>
  <c r="BH20" i="11"/>
  <c r="BT20" i="11"/>
  <c r="S21" i="11"/>
  <c r="T21" i="11"/>
  <c r="U21" i="11" s="1"/>
  <c r="AM21" i="11"/>
  <c r="AV21" i="11"/>
  <c r="AY21" i="11"/>
  <c r="BH21" i="11"/>
  <c r="BT21" i="11"/>
  <c r="BU21" i="11" s="1"/>
  <c r="BV21" i="11" s="1"/>
  <c r="S22" i="11"/>
  <c r="T22" i="11"/>
  <c r="U22" i="11" s="1"/>
  <c r="AM22" i="11"/>
  <c r="AV22" i="11"/>
  <c r="AY22" i="11"/>
  <c r="BH22" i="11"/>
  <c r="BI22" i="11" s="1"/>
  <c r="L22" i="11" s="1"/>
  <c r="BT22" i="11"/>
  <c r="S23" i="11"/>
  <c r="T23" i="11"/>
  <c r="U23" i="11" s="1"/>
  <c r="AM23" i="11"/>
  <c r="AV23" i="11"/>
  <c r="AY23" i="11"/>
  <c r="BH23" i="11"/>
  <c r="BT23" i="11"/>
  <c r="S24" i="11"/>
  <c r="T24" i="11"/>
  <c r="U24" i="11" s="1"/>
  <c r="AM24" i="11"/>
  <c r="AV24" i="11"/>
  <c r="AY24" i="11"/>
  <c r="BH24" i="11"/>
  <c r="BT24" i="11"/>
  <c r="S25" i="11"/>
  <c r="T25" i="11"/>
  <c r="U25" i="11" s="1"/>
  <c r="AM25" i="11"/>
  <c r="AV25" i="11"/>
  <c r="AY25" i="11"/>
  <c r="BH25" i="11"/>
  <c r="BT25" i="11"/>
  <c r="BH14" i="11"/>
  <c r="AJ14" i="11"/>
  <c r="AK23" i="11" s="1"/>
  <c r="AU47" i="11"/>
  <c r="BT40" i="11"/>
  <c r="BH40" i="11"/>
  <c r="AY40" i="11"/>
  <c r="AV40" i="11"/>
  <c r="AM40" i="11"/>
  <c r="T40" i="11"/>
  <c r="U40" i="11" s="1"/>
  <c r="S40" i="11"/>
  <c r="BT39" i="11"/>
  <c r="BH39" i="11"/>
  <c r="AY39" i="11"/>
  <c r="AV39" i="11"/>
  <c r="AM39" i="11"/>
  <c r="T39" i="11"/>
  <c r="U39" i="11" s="1"/>
  <c r="S39" i="11"/>
  <c r="BT38" i="11"/>
  <c r="BH38" i="11"/>
  <c r="AY38" i="11"/>
  <c r="AV38" i="11"/>
  <c r="AM38" i="11"/>
  <c r="T38" i="11"/>
  <c r="U38" i="11" s="1"/>
  <c r="S38" i="11"/>
  <c r="BT37" i="11"/>
  <c r="BH37" i="11"/>
  <c r="AY37" i="11"/>
  <c r="AV37" i="11"/>
  <c r="AM37" i="11"/>
  <c r="T37" i="11"/>
  <c r="U37" i="11" s="1"/>
  <c r="S37" i="11"/>
  <c r="BT36" i="11"/>
  <c r="BH36" i="11"/>
  <c r="AY36" i="11"/>
  <c r="AV36" i="11"/>
  <c r="AM36" i="11"/>
  <c r="T36" i="11"/>
  <c r="U36" i="11" s="1"/>
  <c r="S36" i="11"/>
  <c r="BT35" i="11"/>
  <c r="BH35" i="11"/>
  <c r="AY35" i="11"/>
  <c r="AV35" i="11"/>
  <c r="AM35" i="11"/>
  <c r="T35" i="11"/>
  <c r="U35" i="11" s="1"/>
  <c r="S35" i="11"/>
  <c r="BT34" i="11"/>
  <c r="BH34" i="11"/>
  <c r="AY34" i="11"/>
  <c r="AV34" i="11"/>
  <c r="AM34" i="11"/>
  <c r="T34" i="11"/>
  <c r="U34" i="11" s="1"/>
  <c r="S34" i="11"/>
  <c r="BT33" i="11"/>
  <c r="BH33" i="11"/>
  <c r="AY33" i="11"/>
  <c r="AV33" i="11"/>
  <c r="AM33" i="11"/>
  <c r="T33" i="11"/>
  <c r="U33" i="11" s="1"/>
  <c r="S33" i="11"/>
  <c r="BT32" i="11"/>
  <c r="BH32" i="11"/>
  <c r="AY32" i="11"/>
  <c r="AV32" i="11"/>
  <c r="AM32" i="11"/>
  <c r="T32" i="11"/>
  <c r="U32" i="11" s="1"/>
  <c r="S32" i="11"/>
  <c r="BT31" i="11"/>
  <c r="BH31" i="11"/>
  <c r="AY31" i="11"/>
  <c r="AV31" i="11"/>
  <c r="AM31" i="11"/>
  <c r="T31" i="11"/>
  <c r="U31" i="11" s="1"/>
  <c r="S31" i="11"/>
  <c r="BT30" i="11"/>
  <c r="BH30" i="11"/>
  <c r="AY30" i="11"/>
  <c r="AV30" i="11"/>
  <c r="AM30" i="11"/>
  <c r="T30" i="11"/>
  <c r="U30" i="11" s="1"/>
  <c r="S30" i="11"/>
  <c r="BT29" i="11"/>
  <c r="BH29" i="11"/>
  <c r="AY29" i="11"/>
  <c r="AV29" i="11"/>
  <c r="AM29" i="11"/>
  <c r="T29" i="11"/>
  <c r="U29" i="11" s="1"/>
  <c r="S29" i="11"/>
  <c r="BT28" i="11"/>
  <c r="BH28" i="11"/>
  <c r="AY28" i="11"/>
  <c r="AV28" i="11"/>
  <c r="AM28" i="11"/>
  <c r="T28" i="11"/>
  <c r="U28" i="11" s="1"/>
  <c r="S28" i="11"/>
  <c r="BT27" i="11"/>
  <c r="BH27" i="11"/>
  <c r="AY27" i="11"/>
  <c r="AV27" i="11"/>
  <c r="AM27" i="11"/>
  <c r="T27" i="11"/>
  <c r="U27" i="11" s="1"/>
  <c r="S27" i="11"/>
  <c r="BT26" i="11"/>
  <c r="BH26" i="11"/>
  <c r="AY26" i="11"/>
  <c r="AV26" i="11"/>
  <c r="AM26" i="11"/>
  <c r="T26" i="11"/>
  <c r="U26" i="11" s="1"/>
  <c r="S26" i="11"/>
  <c r="BQ7" i="11"/>
  <c r="AU7" i="11"/>
  <c r="AT7" i="11"/>
  <c r="AS7" i="11"/>
  <c r="AR7" i="11"/>
  <c r="AH7" i="11"/>
  <c r="BO6" i="11"/>
  <c r="AP6" i="11"/>
  <c r="BV5" i="11"/>
  <c r="BU23" i="11" s="1"/>
  <c r="BV23" i="11" s="1"/>
  <c r="BO5" i="11"/>
  <c r="BK5" i="11"/>
  <c r="BK22" i="11" s="1"/>
  <c r="BF5" i="11"/>
  <c r="BF34" i="11" s="1"/>
  <c r="BA5" i="11"/>
  <c r="AZ22" i="11" s="1"/>
  <c r="BA22" i="11" s="1"/>
  <c r="AP5" i="11"/>
  <c r="AH5" i="11"/>
  <c r="BO4" i="11"/>
  <c r="AP4" i="11"/>
  <c r="BV1" i="11"/>
  <c r="BA1" i="11"/>
  <c r="AF1" i="11"/>
  <c r="T5" i="1"/>
  <c r="BR20" i="11" s="1"/>
  <c r="BP7" i="2"/>
  <c r="BN6" i="2"/>
  <c r="BN5" i="2"/>
  <c r="BN4" i="2"/>
  <c r="AW26" i="2"/>
  <c r="T4" i="12" s="1"/>
  <c r="AV47" i="2"/>
  <c r="AQ6" i="2"/>
  <c r="AQ5" i="2"/>
  <c r="AQ4" i="2"/>
  <c r="BU25" i="11" l="1"/>
  <c r="BV25" i="11" s="1"/>
  <c r="AK32" i="11"/>
  <c r="BI24" i="11"/>
  <c r="L24" i="11" s="1"/>
  <c r="BI25" i="11"/>
  <c r="L25" i="11" s="1"/>
  <c r="BI21" i="11"/>
  <c r="L21" i="11" s="1"/>
  <c r="BU24" i="11"/>
  <c r="BV24" i="11" s="1"/>
  <c r="BU20" i="11"/>
  <c r="BV20" i="11" s="1"/>
  <c r="AZ25" i="11"/>
  <c r="BA25" i="11" s="1"/>
  <c r="AZ21" i="11"/>
  <c r="BA21" i="11" s="1"/>
  <c r="AZ20" i="11"/>
  <c r="BA20" i="11" s="1"/>
  <c r="AZ24" i="11"/>
  <c r="BA24" i="11" s="1"/>
  <c r="BI23" i="11"/>
  <c r="L23" i="11" s="1"/>
  <c r="BU22" i="11"/>
  <c r="BV22" i="11" s="1"/>
  <c r="BI20" i="11"/>
  <c r="L20" i="11" s="1"/>
  <c r="BK25" i="11"/>
  <c r="AZ23" i="11"/>
  <c r="BA23" i="11" s="1"/>
  <c r="BK21" i="11"/>
  <c r="AK22" i="11"/>
  <c r="BF20" i="11"/>
  <c r="AK25" i="11"/>
  <c r="BK24" i="11"/>
  <c r="BF23" i="11"/>
  <c r="AK21" i="11"/>
  <c r="BK20" i="11"/>
  <c r="BF24" i="11"/>
  <c r="AK24" i="11"/>
  <c r="BK23" i="11"/>
  <c r="BF22" i="11"/>
  <c r="AK20" i="11"/>
  <c r="BF25" i="11"/>
  <c r="BF21" i="11"/>
  <c r="AV7" i="11"/>
  <c r="BI29" i="11"/>
  <c r="L29" i="11" s="1"/>
  <c r="BI28" i="11"/>
  <c r="L28" i="11" s="1"/>
  <c r="AZ29" i="11"/>
  <c r="BA29" i="11" s="1"/>
  <c r="BU36" i="11"/>
  <c r="BV36" i="11" s="1"/>
  <c r="BF26" i="11"/>
  <c r="AK27" i="11"/>
  <c r="BF30" i="11"/>
  <c r="AZ38" i="11"/>
  <c r="BA38" i="11" s="1"/>
  <c r="AZ34" i="11"/>
  <c r="BA34" i="11" s="1"/>
  <c r="AZ37" i="11"/>
  <c r="BA37" i="11" s="1"/>
  <c r="AZ40" i="11"/>
  <c r="BA40" i="11" s="1"/>
  <c r="AZ36" i="11"/>
  <c r="BA36" i="11" s="1"/>
  <c r="AZ31" i="11"/>
  <c r="BA31" i="11" s="1"/>
  <c r="AZ26" i="11"/>
  <c r="BA26" i="11" s="1"/>
  <c r="AZ39" i="11"/>
  <c r="BA39" i="11" s="1"/>
  <c r="AZ35" i="11"/>
  <c r="BA35" i="11" s="1"/>
  <c r="BU32" i="11"/>
  <c r="BV32" i="11" s="1"/>
  <c r="BU30" i="11"/>
  <c r="BV30" i="11" s="1"/>
  <c r="BU27" i="11"/>
  <c r="BV27" i="11" s="1"/>
  <c r="BK39" i="11"/>
  <c r="BK37" i="11"/>
  <c r="BK35" i="11"/>
  <c r="BK33" i="11"/>
  <c r="BK40" i="11"/>
  <c r="BK38" i="11"/>
  <c r="BK36" i="11"/>
  <c r="BK34" i="11"/>
  <c r="BK32" i="11"/>
  <c r="BK28" i="11"/>
  <c r="BK27" i="11"/>
  <c r="BK26" i="11"/>
  <c r="BK31" i="11"/>
  <c r="BK30" i="11"/>
  <c r="BK29" i="11"/>
  <c r="AK38" i="11"/>
  <c r="AK34" i="11"/>
  <c r="AK37" i="11"/>
  <c r="AK31" i="11"/>
  <c r="AK29" i="11"/>
  <c r="AK40" i="11"/>
  <c r="AK36" i="11"/>
  <c r="AK33" i="11"/>
  <c r="AK30" i="11"/>
  <c r="AK39" i="11"/>
  <c r="AK35" i="11"/>
  <c r="AK26" i="11"/>
  <c r="BU26" i="11"/>
  <c r="BV26" i="11" s="1"/>
  <c r="AZ28" i="11"/>
  <c r="BA28" i="11" s="1"/>
  <c r="BU40" i="11"/>
  <c r="BV40" i="11" s="1"/>
  <c r="BF37" i="11"/>
  <c r="BF33" i="11"/>
  <c r="BF40" i="11"/>
  <c r="BF36" i="11"/>
  <c r="BF31" i="11"/>
  <c r="BF29" i="11"/>
  <c r="BF32" i="11"/>
  <c r="BF39" i="11"/>
  <c r="BF35" i="11"/>
  <c r="BF28" i="11"/>
  <c r="BF27" i="11"/>
  <c r="BI39" i="11"/>
  <c r="L39" i="11" s="1"/>
  <c r="BI35" i="11"/>
  <c r="L35" i="11" s="1"/>
  <c r="BI38" i="11"/>
  <c r="L38" i="11" s="1"/>
  <c r="BI34" i="11"/>
  <c r="L34" i="11" s="1"/>
  <c r="BI37" i="11"/>
  <c r="L37" i="11" s="1"/>
  <c r="BI26" i="11"/>
  <c r="L26" i="11" s="1"/>
  <c r="BI40" i="11"/>
  <c r="L40" i="11" s="1"/>
  <c r="BI36" i="11"/>
  <c r="L36" i="11" s="1"/>
  <c r="BI31" i="11"/>
  <c r="L31" i="11" s="1"/>
  <c r="AK28" i="11"/>
  <c r="BU29" i="11"/>
  <c r="BV29" i="11" s="1"/>
  <c r="BU31" i="11"/>
  <c r="BV31" i="11" s="1"/>
  <c r="BI32" i="11"/>
  <c r="L32" i="11" s="1"/>
  <c r="BI33" i="11"/>
  <c r="L33" i="11" s="1"/>
  <c r="BF38" i="11"/>
  <c r="BI30" i="11"/>
  <c r="L30" i="11" s="1"/>
  <c r="BI27" i="11"/>
  <c r="L27" i="11" s="1"/>
  <c r="BU28" i="11"/>
  <c r="BV28" i="11" s="1"/>
  <c r="AZ30" i="11"/>
  <c r="BA30" i="11" s="1"/>
  <c r="AZ32" i="11"/>
  <c r="BA32" i="11" s="1"/>
  <c r="AZ33" i="11"/>
  <c r="BA33" i="11" s="1"/>
  <c r="AZ27" i="11"/>
  <c r="BA27" i="11" s="1"/>
  <c r="BU35" i="11"/>
  <c r="BV35" i="11" s="1"/>
  <c r="BU39" i="11"/>
  <c r="BV39" i="11" s="1"/>
  <c r="BU37" i="11"/>
  <c r="BV37" i="11" s="1"/>
  <c r="BU33" i="11"/>
  <c r="BV33" i="11" s="1"/>
  <c r="BU34" i="11"/>
  <c r="BV34" i="11" s="1"/>
  <c r="BU38" i="11"/>
  <c r="BV38" i="11" s="1"/>
  <c r="L6" i="1"/>
  <c r="L7" i="1"/>
  <c r="L8" i="1"/>
  <c r="L9" i="1"/>
  <c r="L10" i="1"/>
  <c r="M10" i="1" s="1"/>
  <c r="L11" i="1"/>
  <c r="L12" i="1"/>
  <c r="L13" i="1"/>
  <c r="L14" i="1"/>
  <c r="L15" i="1"/>
  <c r="L16" i="1"/>
  <c r="L17" i="1"/>
  <c r="L18" i="1"/>
  <c r="M18" i="1" s="1"/>
  <c r="L19" i="1"/>
  <c r="L20" i="1"/>
  <c r="L21" i="1"/>
  <c r="L22" i="1"/>
  <c r="L23" i="1"/>
  <c r="L24" i="1"/>
  <c r="M24" i="1" s="1"/>
  <c r="L25" i="1"/>
  <c r="M25" i="1" s="1"/>
  <c r="L5" i="1"/>
  <c r="M5" i="1" s="1"/>
  <c r="M23" i="1"/>
  <c r="M22" i="1"/>
  <c r="M21" i="1"/>
  <c r="M20" i="1"/>
  <c r="M19" i="1"/>
  <c r="M17" i="1"/>
  <c r="M16" i="1"/>
  <c r="M15" i="1"/>
  <c r="M14" i="1"/>
  <c r="M13" i="1"/>
  <c r="M12" i="1"/>
  <c r="M11" i="1"/>
  <c r="M9" i="1"/>
  <c r="M8" i="1"/>
  <c r="M7" i="1"/>
  <c r="M6" i="1"/>
  <c r="M42" i="1"/>
  <c r="M50" i="1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F25" i="10" s="1"/>
  <c r="B5" i="10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O43" i="1"/>
  <c r="L43" i="1" s="1"/>
  <c r="M43" i="1" s="1"/>
  <c r="O34" i="1"/>
  <c r="L34" i="1" s="1"/>
  <c r="M34" i="1" s="1"/>
  <c r="O31" i="1"/>
  <c r="L31" i="1" s="1"/>
  <c r="M31" i="1" s="1"/>
  <c r="O51" i="1"/>
  <c r="L51" i="1" s="1"/>
  <c r="M51" i="1" s="1"/>
  <c r="O50" i="1"/>
  <c r="L50" i="1" s="1"/>
  <c r="O49" i="1"/>
  <c r="L49" i="1" s="1"/>
  <c r="M49" i="1" s="1"/>
  <c r="O48" i="1"/>
  <c r="L48" i="1" s="1"/>
  <c r="M48" i="1" s="1"/>
  <c r="O47" i="1"/>
  <c r="L47" i="1" s="1"/>
  <c r="M47" i="1" s="1"/>
  <c r="O46" i="1"/>
  <c r="L46" i="1" s="1"/>
  <c r="M46" i="1" s="1"/>
  <c r="O45" i="1"/>
  <c r="L45" i="1" s="1"/>
  <c r="M45" i="1" s="1"/>
  <c r="O44" i="1"/>
  <c r="L44" i="1" s="1"/>
  <c r="M44" i="1" s="1"/>
  <c r="O42" i="1"/>
  <c r="L42" i="1" s="1"/>
  <c r="O41" i="1"/>
  <c r="L41" i="1" s="1"/>
  <c r="M41" i="1" s="1"/>
  <c r="O40" i="1"/>
  <c r="L40" i="1" s="1"/>
  <c r="M40" i="1" s="1"/>
  <c r="O39" i="1"/>
  <c r="L39" i="1" s="1"/>
  <c r="M39" i="1" s="1"/>
  <c r="O38" i="1"/>
  <c r="L38" i="1" s="1"/>
  <c r="M38" i="1" s="1"/>
  <c r="O37" i="1"/>
  <c r="L37" i="1" s="1"/>
  <c r="M37" i="1" s="1"/>
  <c r="O36" i="1"/>
  <c r="L36" i="1" s="1"/>
  <c r="M36" i="1" s="1"/>
  <c r="O35" i="1"/>
  <c r="L35" i="1" s="1"/>
  <c r="M35" i="1" s="1"/>
  <c r="O33" i="1"/>
  <c r="L33" i="1" s="1"/>
  <c r="M33" i="1" s="1"/>
  <c r="O32" i="1"/>
  <c r="L32" i="1" s="1"/>
  <c r="M32" i="1" s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31" i="1"/>
  <c r="B2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I50" i="1" s="1"/>
  <c r="H25" i="1"/>
  <c r="H5" i="1"/>
  <c r="G6" i="10" l="1"/>
  <c r="F24" i="10"/>
  <c r="F16" i="10"/>
  <c r="F8" i="10"/>
  <c r="G21" i="10"/>
  <c r="G13" i="10"/>
  <c r="L5" i="10"/>
  <c r="L18" i="10"/>
  <c r="L10" i="10"/>
  <c r="M23" i="10"/>
  <c r="M15" i="10"/>
  <c r="M7" i="10"/>
  <c r="L11" i="10"/>
  <c r="I42" i="1"/>
  <c r="I34" i="1"/>
  <c r="F23" i="10"/>
  <c r="F15" i="10"/>
  <c r="F7" i="10"/>
  <c r="G20" i="10"/>
  <c r="G12" i="10"/>
  <c r="L25" i="10"/>
  <c r="L17" i="10"/>
  <c r="L9" i="10"/>
  <c r="M22" i="10"/>
  <c r="M14" i="10"/>
  <c r="M6" i="10"/>
  <c r="F9" i="10"/>
  <c r="M24" i="10"/>
  <c r="F22" i="10"/>
  <c r="F14" i="10"/>
  <c r="F6" i="10"/>
  <c r="G19" i="10"/>
  <c r="G11" i="10"/>
  <c r="L24" i="10"/>
  <c r="L16" i="10"/>
  <c r="L8" i="10"/>
  <c r="M21" i="10"/>
  <c r="M13" i="10"/>
  <c r="F21" i="10"/>
  <c r="D13" i="10"/>
  <c r="F13" i="10"/>
  <c r="G5" i="10"/>
  <c r="G18" i="10"/>
  <c r="G10" i="10"/>
  <c r="L23" i="10"/>
  <c r="L15" i="10"/>
  <c r="L7" i="10"/>
  <c r="M20" i="10"/>
  <c r="M12" i="10"/>
  <c r="F17" i="10"/>
  <c r="L19" i="10"/>
  <c r="F20" i="10"/>
  <c r="F12" i="10"/>
  <c r="G25" i="10"/>
  <c r="G17" i="10"/>
  <c r="G9" i="10"/>
  <c r="L22" i="10"/>
  <c r="L14" i="10"/>
  <c r="L6" i="10"/>
  <c r="M19" i="10"/>
  <c r="M11" i="10"/>
  <c r="G22" i="10"/>
  <c r="M8" i="10"/>
  <c r="F19" i="10"/>
  <c r="F11" i="10"/>
  <c r="G24" i="10"/>
  <c r="G16" i="10"/>
  <c r="G8" i="10"/>
  <c r="L21" i="10"/>
  <c r="L13" i="10"/>
  <c r="M5" i="10"/>
  <c r="M18" i="10"/>
  <c r="M10" i="10"/>
  <c r="G14" i="10"/>
  <c r="M16" i="10"/>
  <c r="F5" i="10"/>
  <c r="D5" i="10"/>
  <c r="F18" i="10"/>
  <c r="F10" i="10"/>
  <c r="G23" i="10"/>
  <c r="G15" i="10"/>
  <c r="G7" i="10"/>
  <c r="L20" i="10"/>
  <c r="L12" i="10"/>
  <c r="M25" i="10"/>
  <c r="M17" i="10"/>
  <c r="M9" i="10"/>
  <c r="D9" i="10"/>
  <c r="E5" i="10"/>
  <c r="BA7" i="11"/>
  <c r="BV7" i="11"/>
  <c r="J7" i="10"/>
  <c r="I31" i="1"/>
  <c r="I48" i="1"/>
  <c r="I44" i="1"/>
  <c r="I40" i="1"/>
  <c r="I36" i="1"/>
  <c r="I32" i="1"/>
  <c r="E9" i="10"/>
  <c r="K8" i="10"/>
  <c r="I51" i="1"/>
  <c r="I47" i="1"/>
  <c r="I43" i="1"/>
  <c r="I39" i="1"/>
  <c r="I35" i="1"/>
  <c r="D11" i="10"/>
  <c r="D7" i="10"/>
  <c r="E12" i="10"/>
  <c r="E8" i="10"/>
  <c r="J13" i="10"/>
  <c r="O9" i="10"/>
  <c r="K5" i="10"/>
  <c r="K10" i="10"/>
  <c r="K6" i="10"/>
  <c r="K12" i="10"/>
  <c r="I46" i="1"/>
  <c r="I38" i="1"/>
  <c r="E11" i="10"/>
  <c r="E7" i="10"/>
  <c r="D10" i="10"/>
  <c r="N10" i="10" s="1"/>
  <c r="D6" i="10"/>
  <c r="E10" i="10"/>
  <c r="E6" i="10"/>
  <c r="J12" i="10"/>
  <c r="J8" i="10"/>
  <c r="K13" i="10"/>
  <c r="K9" i="10"/>
  <c r="O11" i="10"/>
  <c r="D12" i="10"/>
  <c r="D8" i="10"/>
  <c r="E13" i="10"/>
  <c r="J5" i="10"/>
  <c r="J10" i="10"/>
  <c r="J6" i="10"/>
  <c r="K11" i="10"/>
  <c r="K7" i="10"/>
  <c r="I49" i="1"/>
  <c r="I45" i="1"/>
  <c r="I41" i="1"/>
  <c r="I37" i="1"/>
  <c r="I33" i="1"/>
  <c r="O5" i="10"/>
  <c r="O10" i="10"/>
  <c r="O6" i="10"/>
  <c r="J9" i="10"/>
  <c r="J11" i="10"/>
  <c r="O7" i="10"/>
  <c r="N19" i="10"/>
  <c r="O13" i="10"/>
  <c r="O12" i="10"/>
  <c r="O8" i="10"/>
  <c r="N5" i="10"/>
  <c r="N16" i="10" l="1"/>
  <c r="N21" i="10"/>
  <c r="N18" i="10"/>
  <c r="N7" i="10"/>
  <c r="N23" i="10"/>
  <c r="N22" i="10"/>
  <c r="N14" i="10"/>
  <c r="N15" i="10"/>
  <c r="N20" i="10"/>
  <c r="N25" i="10"/>
  <c r="N6" i="10"/>
  <c r="N11" i="10"/>
  <c r="N8" i="10"/>
  <c r="N24" i="10"/>
  <c r="N13" i="10"/>
  <c r="N9" i="10"/>
  <c r="N12" i="10"/>
  <c r="N17" i="10"/>
  <c r="AM1" i="1" l="1"/>
  <c r="AJ2" i="6"/>
  <c r="C3" i="7" l="1"/>
  <c r="Z20" i="11" s="1"/>
  <c r="AA20" i="11" s="1"/>
  <c r="B3" i="7"/>
  <c r="Y20" i="11" s="1"/>
  <c r="AB20" i="11" s="1"/>
  <c r="D3" i="7"/>
  <c r="B23" i="4"/>
  <c r="B22" i="4"/>
  <c r="B11" i="9" l="1"/>
  <c r="B12" i="9" s="1"/>
  <c r="AG1" i="2" l="1"/>
  <c r="AC5" i="1"/>
  <c r="BG40" i="2" l="1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20" i="2"/>
  <c r="AW20" i="2" l="1"/>
  <c r="AA20" i="2"/>
  <c r="AB20" i="2" s="1"/>
  <c r="AT7" i="2" l="1"/>
  <c r="U20" i="2" l="1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 s="1"/>
  <c r="U35" i="2"/>
  <c r="V35" i="2" s="1"/>
  <c r="U36" i="2"/>
  <c r="V36" i="2" s="1"/>
  <c r="U37" i="2"/>
  <c r="V37" i="2" s="1"/>
  <c r="U38" i="2"/>
  <c r="V38" i="2" s="1"/>
  <c r="U39" i="2"/>
  <c r="V39" i="2" s="1"/>
  <c r="U40" i="2"/>
  <c r="V40" i="2" s="1"/>
  <c r="T20" i="2"/>
  <c r="BU1" i="2"/>
  <c r="BU5" i="2"/>
  <c r="AJ5" i="6"/>
  <c r="AK11" i="6" s="1"/>
  <c r="AK23" i="6"/>
  <c r="B6" i="8"/>
  <c r="B21" i="8"/>
  <c r="B20" i="8"/>
  <c r="B19" i="8"/>
  <c r="B18" i="8"/>
  <c r="B17" i="8"/>
  <c r="B16" i="8"/>
  <c r="B15" i="8"/>
  <c r="B14" i="8"/>
  <c r="B13" i="8"/>
  <c r="B12" i="8"/>
  <c r="B11" i="8"/>
  <c r="B10" i="8"/>
  <c r="B7" i="8"/>
  <c r="B11" i="5"/>
  <c r="B16" i="5" s="1"/>
  <c r="B17" i="5" s="1"/>
  <c r="B18" i="5" s="1"/>
  <c r="B6" i="5"/>
  <c r="B7" i="5" s="1"/>
  <c r="C36" i="11"/>
  <c r="C34" i="11"/>
  <c r="C40" i="11"/>
  <c r="C32" i="11"/>
  <c r="C35" i="11"/>
  <c r="C37" i="11"/>
  <c r="C33" i="11"/>
  <c r="C38" i="11"/>
  <c r="C31" i="11"/>
  <c r="C39" i="11"/>
  <c r="C30" i="11"/>
  <c r="D30" i="11" l="1"/>
  <c r="E30" i="11" s="1"/>
  <c r="D39" i="11"/>
  <c r="E39" i="11" s="1"/>
  <c r="D31" i="11"/>
  <c r="E31" i="11" s="1"/>
  <c r="D38" i="11"/>
  <c r="E38" i="11" s="1"/>
  <c r="D33" i="11"/>
  <c r="E33" i="11" s="1"/>
  <c r="D37" i="11"/>
  <c r="E37" i="11" s="1"/>
  <c r="D35" i="11"/>
  <c r="E35" i="11" s="1"/>
  <c r="D32" i="11"/>
  <c r="E32" i="11" s="1"/>
  <c r="D40" i="11"/>
  <c r="E40" i="11" s="1"/>
  <c r="D34" i="11"/>
  <c r="E34" i="11" s="1"/>
  <c r="D36" i="11"/>
  <c r="E36" i="11" s="1"/>
  <c r="AK19" i="6"/>
  <c r="AK15" i="6"/>
  <c r="AK27" i="6"/>
  <c r="AK8" i="6"/>
  <c r="AK26" i="6"/>
  <c r="AK22" i="6"/>
  <c r="AK18" i="6"/>
  <c r="AK14" i="6"/>
  <c r="AK10" i="6"/>
  <c r="AK25" i="6"/>
  <c r="AK21" i="6"/>
  <c r="AK17" i="6"/>
  <c r="AK13" i="6"/>
  <c r="AK9" i="6"/>
  <c r="AK7" i="6"/>
  <c r="AK24" i="6"/>
  <c r="AK20" i="6"/>
  <c r="AK16" i="6"/>
  <c r="AK12" i="6"/>
  <c r="BS20" i="2"/>
  <c r="BT20" i="2" s="1"/>
  <c r="BS40" i="2"/>
  <c r="BT40" i="2" s="1"/>
  <c r="BS39" i="2"/>
  <c r="BT39" i="2" s="1"/>
  <c r="BS38" i="2"/>
  <c r="BT38" i="2" s="1"/>
  <c r="BS37" i="2"/>
  <c r="BT37" i="2" s="1"/>
  <c r="BS36" i="2"/>
  <c r="BT36" i="2" s="1"/>
  <c r="BS35" i="2"/>
  <c r="BT35" i="2" s="1"/>
  <c r="BU35" i="2" s="1"/>
  <c r="AG13" i="12" s="1"/>
  <c r="BS34" i="2"/>
  <c r="BT34" i="2" s="1"/>
  <c r="BS33" i="2"/>
  <c r="BT33" i="2" s="1"/>
  <c r="BS32" i="2"/>
  <c r="BT32" i="2" s="1"/>
  <c r="BS31" i="2"/>
  <c r="BT31" i="2" s="1"/>
  <c r="BS30" i="2"/>
  <c r="BT30" i="2" s="1"/>
  <c r="BS29" i="2"/>
  <c r="BT29" i="2" s="1"/>
  <c r="BS28" i="2"/>
  <c r="BT28" i="2" s="1"/>
  <c r="BS27" i="2"/>
  <c r="BT27" i="2" s="1"/>
  <c r="BS26" i="2"/>
  <c r="BT26" i="2" s="1"/>
  <c r="BU26" i="2" s="1"/>
  <c r="AG4" i="12" s="1"/>
  <c r="BS25" i="2"/>
  <c r="BT25" i="2" s="1"/>
  <c r="BS24" i="2"/>
  <c r="BT24" i="2" s="1"/>
  <c r="BS23" i="2"/>
  <c r="BT23" i="2" s="1"/>
  <c r="BS22" i="2"/>
  <c r="BT22" i="2" s="1"/>
  <c r="BS21" i="2"/>
  <c r="BT21" i="2" s="1"/>
  <c r="BU22" i="2" l="1"/>
  <c r="BU30" i="2"/>
  <c r="AG8" i="12" s="1"/>
  <c r="BU34" i="2"/>
  <c r="AG12" i="12" s="1"/>
  <c r="BU27" i="2"/>
  <c r="AG5" i="12" s="1"/>
  <c r="BU23" i="2"/>
  <c r="BU31" i="2"/>
  <c r="AG9" i="12" s="1"/>
  <c r="BU39" i="2"/>
  <c r="AG17" i="12" s="1"/>
  <c r="BU24" i="2"/>
  <c r="BU28" i="2"/>
  <c r="AG6" i="12" s="1"/>
  <c r="BU32" i="2"/>
  <c r="AG10" i="12" s="1"/>
  <c r="BU36" i="2"/>
  <c r="AG14" i="12" s="1"/>
  <c r="BU40" i="2"/>
  <c r="AG18" i="12" s="1"/>
  <c r="BU38" i="2"/>
  <c r="AG16" i="12" s="1"/>
  <c r="BU21" i="2"/>
  <c r="BU25" i="2"/>
  <c r="BU29" i="2"/>
  <c r="AG7" i="12" s="1"/>
  <c r="BU33" i="2"/>
  <c r="AG11" i="12" s="1"/>
  <c r="BU37" i="2"/>
  <c r="AG15" i="12" s="1"/>
  <c r="BU20" i="2"/>
  <c r="BB5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BA36" i="2" s="1"/>
  <c r="BB36" i="2" s="1"/>
  <c r="N14" i="12" s="1"/>
  <c r="AZ37" i="2"/>
  <c r="AZ38" i="2"/>
  <c r="AZ39" i="2"/>
  <c r="AZ40" i="2"/>
  <c r="AZ20" i="2"/>
  <c r="BB1" i="2"/>
  <c r="BA40" i="2" l="1"/>
  <c r="BB40" i="2" s="1"/>
  <c r="N18" i="12" s="1"/>
  <c r="BA32" i="2"/>
  <c r="BB32" i="2" s="1"/>
  <c r="N10" i="12" s="1"/>
  <c r="BA28" i="2"/>
  <c r="BB28" i="2" s="1"/>
  <c r="N6" i="12" s="1"/>
  <c r="BA24" i="2"/>
  <c r="BB24" i="2" s="1"/>
  <c r="BU7" i="2"/>
  <c r="BA20" i="2"/>
  <c r="BB20" i="2" s="1"/>
  <c r="BA37" i="2"/>
  <c r="BB37" i="2" s="1"/>
  <c r="N15" i="12" s="1"/>
  <c r="BA33" i="2"/>
  <c r="BB33" i="2" s="1"/>
  <c r="N11" i="12" s="1"/>
  <c r="BA29" i="2"/>
  <c r="BB29" i="2" s="1"/>
  <c r="N7" i="12" s="1"/>
  <c r="BA25" i="2"/>
  <c r="BB25" i="2" s="1"/>
  <c r="BA21" i="2"/>
  <c r="BB21" i="2" s="1"/>
  <c r="BA23" i="2"/>
  <c r="BB23" i="2" s="1"/>
  <c r="BA39" i="2"/>
  <c r="BB39" i="2" s="1"/>
  <c r="N17" i="12" s="1"/>
  <c r="BA31" i="2"/>
  <c r="BB31" i="2" s="1"/>
  <c r="N9" i="12" s="1"/>
  <c r="BA35" i="2"/>
  <c r="BB35" i="2" s="1"/>
  <c r="N13" i="12" s="1"/>
  <c r="BA27" i="2"/>
  <c r="BB27" i="2" s="1"/>
  <c r="N5" i="12" s="1"/>
  <c r="BA38" i="2"/>
  <c r="BB38" i="2" s="1"/>
  <c r="N16" i="12" s="1"/>
  <c r="BA34" i="2"/>
  <c r="BB34" i="2" s="1"/>
  <c r="N12" i="12" s="1"/>
  <c r="BA30" i="2"/>
  <c r="BB30" i="2" s="1"/>
  <c r="N8" i="12" s="1"/>
  <c r="BA26" i="2"/>
  <c r="BB26" i="2" s="1"/>
  <c r="N4" i="12" s="1"/>
  <c r="BA22" i="2"/>
  <c r="BB22" i="2" s="1"/>
  <c r="AI13" i="2"/>
  <c r="BB7" i="2" l="1"/>
  <c r="AA26" i="2"/>
  <c r="AB26" i="2" s="1"/>
  <c r="AA30" i="2"/>
  <c r="AB30" i="2" s="1"/>
  <c r="AA34" i="2"/>
  <c r="AB34" i="2" s="1"/>
  <c r="B27" i="7"/>
  <c r="C27" i="7"/>
  <c r="D27" i="7" s="1"/>
  <c r="B26" i="7"/>
  <c r="C26" i="7"/>
  <c r="D26" i="7" s="1"/>
  <c r="D13" i="7"/>
  <c r="D25" i="7"/>
  <c r="B25" i="7"/>
  <c r="C25" i="7"/>
  <c r="B24" i="7"/>
  <c r="C24" i="7"/>
  <c r="D24" i="7" s="1"/>
  <c r="C4" i="7"/>
  <c r="C5" i="7"/>
  <c r="Z22" i="11" s="1"/>
  <c r="AA22" i="11" s="1"/>
  <c r="C6" i="7"/>
  <c r="C7" i="7"/>
  <c r="C8" i="7"/>
  <c r="C9" i="7"/>
  <c r="C10" i="7"/>
  <c r="C11" i="7"/>
  <c r="C12" i="7"/>
  <c r="C13" i="7"/>
  <c r="Z30" i="11" s="1"/>
  <c r="AA30" i="11" s="1"/>
  <c r="C14" i="7"/>
  <c r="C15" i="7"/>
  <c r="C16" i="7"/>
  <c r="C17" i="7"/>
  <c r="C18" i="7"/>
  <c r="C19" i="7"/>
  <c r="C20" i="7"/>
  <c r="C21" i="7"/>
  <c r="C22" i="7"/>
  <c r="C23" i="7"/>
  <c r="B2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Y34" i="11" s="1"/>
  <c r="B18" i="7"/>
  <c r="B19" i="7"/>
  <c r="B20" i="7"/>
  <c r="B21" i="7"/>
  <c r="B22" i="7"/>
  <c r="Z28" i="2" l="1"/>
  <c r="Y28" i="11"/>
  <c r="AA25" i="2"/>
  <c r="AB25" i="2" s="1"/>
  <c r="Z25" i="11"/>
  <c r="AA25" i="11" s="1"/>
  <c r="Z27" i="2"/>
  <c r="Y27" i="11"/>
  <c r="AA31" i="2"/>
  <c r="AB31" i="2" s="1"/>
  <c r="Z31" i="11"/>
  <c r="AA31" i="11" s="1"/>
  <c r="Z25" i="2"/>
  <c r="Y25" i="11"/>
  <c r="AA22" i="2"/>
  <c r="AB22" i="2" s="1"/>
  <c r="Z24" i="2"/>
  <c r="Y24" i="11"/>
  <c r="AA29" i="2"/>
  <c r="AB29" i="2" s="1"/>
  <c r="Z29" i="11"/>
  <c r="AA29" i="11" s="1"/>
  <c r="AA21" i="2"/>
  <c r="AB21" i="2" s="1"/>
  <c r="Z21" i="11"/>
  <c r="AA21" i="11" s="1"/>
  <c r="Z39" i="2"/>
  <c r="Y39" i="11"/>
  <c r="AB39" i="11" s="1"/>
  <c r="Z31" i="2"/>
  <c r="Y31" i="11"/>
  <c r="Z23" i="2"/>
  <c r="Y23" i="11"/>
  <c r="D19" i="7"/>
  <c r="Z36" i="11"/>
  <c r="AA36" i="11" s="1"/>
  <c r="AA28" i="2"/>
  <c r="AB28" i="2" s="1"/>
  <c r="Z28" i="11"/>
  <c r="AA28" i="11" s="1"/>
  <c r="Z36" i="2"/>
  <c r="Y36" i="11"/>
  <c r="Z40" i="2"/>
  <c r="Y40" i="11"/>
  <c r="AA33" i="2"/>
  <c r="AB33" i="2" s="1"/>
  <c r="Z33" i="11"/>
  <c r="AA33" i="11" s="1"/>
  <c r="Z35" i="2"/>
  <c r="Y35" i="11"/>
  <c r="AB35" i="11" s="1"/>
  <c r="D23" i="7"/>
  <c r="F23" i="7" s="1"/>
  <c r="Z40" i="11"/>
  <c r="AA40" i="11" s="1"/>
  <c r="AA32" i="2"/>
  <c r="AB32" i="2" s="1"/>
  <c r="Z32" i="11"/>
  <c r="AA32" i="11" s="1"/>
  <c r="AA24" i="2"/>
  <c r="AB24" i="2" s="1"/>
  <c r="Z24" i="11"/>
  <c r="AA24" i="11" s="1"/>
  <c r="Z26" i="2"/>
  <c r="AC26" i="2" s="1"/>
  <c r="C4" i="12" s="1"/>
  <c r="Y26" i="11"/>
  <c r="D22" i="7"/>
  <c r="F22" i="7" s="1"/>
  <c r="Z39" i="11"/>
  <c r="AA39" i="11" s="1"/>
  <c r="AA23" i="2"/>
  <c r="AB23" i="2" s="1"/>
  <c r="Z23" i="11"/>
  <c r="AA23" i="11" s="1"/>
  <c r="Z33" i="2"/>
  <c r="AC33" i="2" s="1"/>
  <c r="C11" i="12" s="1"/>
  <c r="Y33" i="11"/>
  <c r="AB33" i="11" s="1"/>
  <c r="D21" i="7"/>
  <c r="E21" i="7" s="1"/>
  <c r="Z38" i="11"/>
  <c r="AA38" i="11" s="1"/>
  <c r="Z32" i="2"/>
  <c r="AC32" i="2" s="1"/>
  <c r="C10" i="12" s="1"/>
  <c r="Y32" i="11"/>
  <c r="AB32" i="11" s="1"/>
  <c r="AA37" i="2"/>
  <c r="AB37" i="2" s="1"/>
  <c r="Z37" i="11"/>
  <c r="AA37" i="11" s="1"/>
  <c r="Z38" i="2"/>
  <c r="Y38" i="11"/>
  <c r="E13" i="7"/>
  <c r="Y30" i="11"/>
  <c r="AB30" i="11" s="1"/>
  <c r="Z22" i="2"/>
  <c r="AC22" i="2" s="1"/>
  <c r="Y22" i="11"/>
  <c r="AB22" i="11" s="1"/>
  <c r="AA35" i="2"/>
  <c r="AB35" i="2" s="1"/>
  <c r="Z35" i="11"/>
  <c r="AA35" i="11" s="1"/>
  <c r="AA27" i="2"/>
  <c r="AB27" i="2" s="1"/>
  <c r="Z27" i="11"/>
  <c r="AA27" i="11" s="1"/>
  <c r="Z37" i="2"/>
  <c r="AC37" i="2" s="1"/>
  <c r="C15" i="12" s="1"/>
  <c r="Y37" i="11"/>
  <c r="AB37" i="11" s="1"/>
  <c r="Z29" i="2"/>
  <c r="AC29" i="2" s="1"/>
  <c r="C7" i="12" s="1"/>
  <c r="Y29" i="11"/>
  <c r="AB29" i="11" s="1"/>
  <c r="Z21" i="2"/>
  <c r="Y21" i="11"/>
  <c r="D17" i="7"/>
  <c r="E17" i="7" s="1"/>
  <c r="Z34" i="11"/>
  <c r="AA34" i="11" s="1"/>
  <c r="D9" i="7"/>
  <c r="E9" i="7" s="1"/>
  <c r="Z26" i="11"/>
  <c r="AA26" i="11" s="1"/>
  <c r="AA38" i="2"/>
  <c r="AB38" i="2" s="1"/>
  <c r="F17" i="7"/>
  <c r="Z34" i="2"/>
  <c r="AC34" i="2" s="1"/>
  <c r="C12" i="12" s="1"/>
  <c r="D18" i="7"/>
  <c r="Z30" i="2"/>
  <c r="AC30" i="2" s="1"/>
  <c r="C8" i="12" s="1"/>
  <c r="AA40" i="2"/>
  <c r="AB40" i="2" s="1"/>
  <c r="AA36" i="2"/>
  <c r="AB36" i="2" s="1"/>
  <c r="F3" i="7"/>
  <c r="D14" i="7"/>
  <c r="F14" i="7" s="1"/>
  <c r="AA39" i="2"/>
  <c r="AB39" i="2" s="1"/>
  <c r="D20" i="7"/>
  <c r="D4" i="7"/>
  <c r="E4" i="7" s="1"/>
  <c r="D8" i="7"/>
  <c r="F8" i="7" s="1"/>
  <c r="E20" i="7"/>
  <c r="E8" i="7"/>
  <c r="F25" i="7"/>
  <c r="D12" i="7"/>
  <c r="F12" i="7" s="1"/>
  <c r="D6" i="7"/>
  <c r="E6" i="7" s="1"/>
  <c r="E3" i="7"/>
  <c r="D16" i="7"/>
  <c r="E16" i="7" s="1"/>
  <c r="D10" i="7"/>
  <c r="F10" i="7" s="1"/>
  <c r="D5" i="7"/>
  <c r="E5" i="7" s="1"/>
  <c r="Z20" i="2"/>
  <c r="AC20" i="2" s="1"/>
  <c r="E23" i="7"/>
  <c r="E24" i="7"/>
  <c r="E19" i="7"/>
  <c r="E18" i="7"/>
  <c r="E10" i="7"/>
  <c r="E25" i="7"/>
  <c r="D15" i="7"/>
  <c r="F15" i="7" s="1"/>
  <c r="D11" i="7"/>
  <c r="F11" i="7" s="1"/>
  <c r="D7" i="7"/>
  <c r="E7" i="7" s="1"/>
  <c r="F21" i="7"/>
  <c r="F13" i="7"/>
  <c r="F27" i="7"/>
  <c r="E27" i="7"/>
  <c r="F26" i="7"/>
  <c r="E26" i="7"/>
  <c r="F20" i="7"/>
  <c r="F24" i="7"/>
  <c r="F19" i="7"/>
  <c r="F18" i="7"/>
  <c r="F16" i="7"/>
  <c r="AC21" i="2" l="1"/>
  <c r="AC23" i="2"/>
  <c r="AC27" i="2"/>
  <c r="C5" i="12" s="1"/>
  <c r="AC31" i="2"/>
  <c r="C9" i="12" s="1"/>
  <c r="AC24" i="2"/>
  <c r="AC35" i="2"/>
  <c r="C13" i="12" s="1"/>
  <c r="AB25" i="11"/>
  <c r="F9" i="7"/>
  <c r="AC25" i="2"/>
  <c r="E22" i="7"/>
  <c r="AC38" i="2"/>
  <c r="C16" i="12" s="1"/>
  <c r="F5" i="7"/>
  <c r="AB21" i="11"/>
  <c r="AB40" i="11"/>
  <c r="AB23" i="11"/>
  <c r="AB26" i="11"/>
  <c r="AB38" i="11"/>
  <c r="AB28" i="11"/>
  <c r="AC28" i="2"/>
  <c r="C6" i="12" s="1"/>
  <c r="AB34" i="11"/>
  <c r="AB36" i="11"/>
  <c r="AB31" i="11"/>
  <c r="AB24" i="11"/>
  <c r="AB27" i="11"/>
  <c r="AC39" i="2"/>
  <c r="C17" i="12" s="1"/>
  <c r="AC40" i="2"/>
  <c r="C18" i="12" s="1"/>
  <c r="AC36" i="2"/>
  <c r="C14" i="12" s="1"/>
  <c r="E14" i="7"/>
  <c r="F6" i="7"/>
  <c r="E15" i="7"/>
  <c r="E12" i="7"/>
  <c r="F4" i="7"/>
  <c r="F7" i="7"/>
  <c r="E11" i="7"/>
  <c r="AV7" i="2" l="1"/>
  <c r="AU7" i="2"/>
  <c r="AL18" i="2"/>
  <c r="BH19" i="2"/>
  <c r="AN20" i="2"/>
  <c r="AN21" i="2"/>
  <c r="AN22" i="2"/>
  <c r="AN23" i="2"/>
  <c r="AN24" i="2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5" i="1"/>
  <c r="AN25" i="2"/>
  <c r="AN26" i="2"/>
  <c r="G4" i="12" s="1"/>
  <c r="AN27" i="2"/>
  <c r="G5" i="12" s="1"/>
  <c r="AN28" i="2"/>
  <c r="G6" i="12" s="1"/>
  <c r="AN29" i="2"/>
  <c r="G7" i="12" s="1"/>
  <c r="AN30" i="2"/>
  <c r="G8" i="12" s="1"/>
  <c r="AN31" i="2"/>
  <c r="G9" i="12" s="1"/>
  <c r="AN32" i="2"/>
  <c r="G10" i="12" s="1"/>
  <c r="AN33" i="2"/>
  <c r="G11" i="12" s="1"/>
  <c r="AN34" i="2"/>
  <c r="G12" i="12" s="1"/>
  <c r="AN35" i="2"/>
  <c r="G13" i="12" s="1"/>
  <c r="AN36" i="2"/>
  <c r="G14" i="12" s="1"/>
  <c r="AN37" i="2"/>
  <c r="G15" i="12" s="1"/>
  <c r="AN38" i="2"/>
  <c r="G16" i="12" s="1"/>
  <c r="AN39" i="2"/>
  <c r="G17" i="12" s="1"/>
  <c r="AN40" i="2"/>
  <c r="G18" i="12" s="1"/>
  <c r="BJ5" i="2"/>
  <c r="BJ21" i="2" s="1"/>
  <c r="C37" i="2"/>
  <c r="C39" i="2"/>
  <c r="C34" i="2"/>
  <c r="C33" i="2"/>
  <c r="C31" i="2"/>
  <c r="C35" i="2"/>
  <c r="C32" i="2"/>
  <c r="C30" i="2"/>
  <c r="C38" i="2"/>
  <c r="C40" i="2"/>
  <c r="C36" i="2"/>
  <c r="BH26" i="2" l="1"/>
  <c r="AB4" i="12" s="1"/>
  <c r="L20" i="2"/>
  <c r="BJ38" i="2"/>
  <c r="AC16" i="12" s="1"/>
  <c r="BH22" i="2"/>
  <c r="L22" i="2" s="1"/>
  <c r="AL22" i="2"/>
  <c r="AL30" i="2"/>
  <c r="F8" i="12" s="1"/>
  <c r="AL37" i="2"/>
  <c r="F15" i="12" s="1"/>
  <c r="AL31" i="2"/>
  <c r="F9" i="12" s="1"/>
  <c r="AL25" i="2"/>
  <c r="BH35" i="2"/>
  <c r="AB13" i="12" s="1"/>
  <c r="BJ36" i="2"/>
  <c r="AC14" i="12" s="1"/>
  <c r="BH27" i="2"/>
  <c r="AB5" i="12" s="1"/>
  <c r="AL39" i="2"/>
  <c r="F17" i="12" s="1"/>
  <c r="AL34" i="2"/>
  <c r="F12" i="12" s="1"/>
  <c r="AL28" i="2"/>
  <c r="F6" i="12" s="1"/>
  <c r="AL21" i="2"/>
  <c r="BH30" i="2"/>
  <c r="AB8" i="12" s="1"/>
  <c r="AL20" i="2"/>
  <c r="AL35" i="2"/>
  <c r="F13" i="12" s="1"/>
  <c r="AL24" i="2"/>
  <c r="BH38" i="2"/>
  <c r="AB16" i="12" s="1"/>
  <c r="AL38" i="2"/>
  <c r="F16" i="12" s="1"/>
  <c r="AL33" i="2"/>
  <c r="F11" i="12" s="1"/>
  <c r="AL26" i="2"/>
  <c r="F4" i="12" s="1"/>
  <c r="AL29" i="2"/>
  <c r="F7" i="12" s="1"/>
  <c r="BJ32" i="2"/>
  <c r="AC10" i="12" s="1"/>
  <c r="BJ24" i="2"/>
  <c r="BJ20" i="2"/>
  <c r="BJ40" i="2"/>
  <c r="AC18" i="12" s="1"/>
  <c r="BH34" i="2"/>
  <c r="AB12" i="12" s="1"/>
  <c r="BJ28" i="2"/>
  <c r="AC6" i="12" s="1"/>
  <c r="BH39" i="2"/>
  <c r="AB17" i="12" s="1"/>
  <c r="BH31" i="2"/>
  <c r="AB9" i="12" s="1"/>
  <c r="BH23" i="2"/>
  <c r="L23" i="2" s="1"/>
  <c r="AL40" i="2"/>
  <c r="F18" i="12" s="1"/>
  <c r="AL36" i="2"/>
  <c r="F14" i="12" s="1"/>
  <c r="AL32" i="2"/>
  <c r="F10" i="12" s="1"/>
  <c r="AL27" i="2"/>
  <c r="F5" i="12" s="1"/>
  <c r="AL23" i="2"/>
  <c r="D30" i="2"/>
  <c r="E30" i="2" s="1"/>
  <c r="D31" i="2"/>
  <c r="E31" i="2" s="1"/>
  <c r="D34" i="2"/>
  <c r="E34" i="2" s="1"/>
  <c r="D37" i="2"/>
  <c r="E37" i="2" s="1"/>
  <c r="D33" i="2"/>
  <c r="E33" i="2" s="1"/>
  <c r="D39" i="2"/>
  <c r="E39" i="2" s="1"/>
  <c r="D35" i="2"/>
  <c r="E35" i="2" s="1"/>
  <c r="D38" i="2"/>
  <c r="E38" i="2" s="1"/>
  <c r="D40" i="2"/>
  <c r="E40" i="2" s="1"/>
  <c r="D36" i="2"/>
  <c r="E36" i="2" s="1"/>
  <c r="D32" i="2"/>
  <c r="E32" i="2" s="1"/>
  <c r="BJ39" i="2"/>
  <c r="AC17" i="12" s="1"/>
  <c r="BJ35" i="2"/>
  <c r="AC13" i="12" s="1"/>
  <c r="BJ31" i="2"/>
  <c r="AC9" i="12" s="1"/>
  <c r="BJ27" i="2"/>
  <c r="AC5" i="12" s="1"/>
  <c r="BJ23" i="2"/>
  <c r="BH37" i="2"/>
  <c r="AB15" i="12" s="1"/>
  <c r="BH33" i="2"/>
  <c r="AB11" i="12" s="1"/>
  <c r="BH29" i="2"/>
  <c r="AB7" i="12" s="1"/>
  <c r="BH25" i="2"/>
  <c r="L25" i="2" s="1"/>
  <c r="BH21" i="2"/>
  <c r="L21" i="2" s="1"/>
  <c r="BJ34" i="2"/>
  <c r="AC12" i="12" s="1"/>
  <c r="BJ30" i="2"/>
  <c r="AC8" i="12" s="1"/>
  <c r="BJ26" i="2"/>
  <c r="AC4" i="12" s="1"/>
  <c r="BJ22" i="2"/>
  <c r="BH40" i="2"/>
  <c r="AB18" i="12" s="1"/>
  <c r="BH36" i="2"/>
  <c r="AB14" i="12" s="1"/>
  <c r="BH32" i="2"/>
  <c r="AB10" i="12" s="1"/>
  <c r="BH28" i="2"/>
  <c r="AB6" i="12" s="1"/>
  <c r="BH24" i="2"/>
  <c r="L24" i="2" s="1"/>
  <c r="BJ37" i="2"/>
  <c r="AC15" i="12" s="1"/>
  <c r="BJ33" i="2"/>
  <c r="AC11" i="12" s="1"/>
  <c r="BJ29" i="2"/>
  <c r="AC7" i="12" s="1"/>
  <c r="BJ25" i="2"/>
  <c r="L32" i="2" l="1"/>
  <c r="L26" i="2"/>
  <c r="L40" i="2"/>
  <c r="L33" i="2"/>
  <c r="L31" i="2"/>
  <c r="L34" i="2"/>
  <c r="L35" i="2"/>
  <c r="L27" i="2"/>
  <c r="L36" i="2"/>
  <c r="L29" i="2"/>
  <c r="L28" i="2"/>
  <c r="L37" i="2"/>
  <c r="L39" i="2"/>
  <c r="L38" i="2"/>
  <c r="L30" i="2"/>
  <c r="N42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33" i="6"/>
  <c r="N34" i="6"/>
  <c r="N35" i="6"/>
  <c r="N36" i="6"/>
  <c r="N37" i="6"/>
  <c r="N38" i="6"/>
  <c r="N39" i="6"/>
  <c r="N40" i="6"/>
  <c r="N41" i="6"/>
  <c r="N43" i="6"/>
  <c r="N44" i="6"/>
  <c r="N45" i="6"/>
  <c r="N46" i="6"/>
  <c r="N47" i="6"/>
  <c r="N48" i="6"/>
  <c r="N49" i="6"/>
  <c r="N50" i="6"/>
  <c r="N51" i="6"/>
  <c r="N52" i="6"/>
  <c r="N53" i="6"/>
  <c r="N33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G8" i="6"/>
  <c r="G9" i="6"/>
  <c r="G10" i="6"/>
  <c r="G11" i="6"/>
  <c r="G12" i="6"/>
  <c r="G13" i="6"/>
  <c r="G14" i="6"/>
  <c r="G15" i="6"/>
  <c r="N15" i="6" s="1"/>
  <c r="G16" i="6"/>
  <c r="G17" i="6"/>
  <c r="G18" i="6"/>
  <c r="N18" i="6" s="1"/>
  <c r="G19" i="6"/>
  <c r="G20" i="6"/>
  <c r="G21" i="6"/>
  <c r="G22" i="6"/>
  <c r="G23" i="6"/>
  <c r="G24" i="6"/>
  <c r="G25" i="6"/>
  <c r="G26" i="6"/>
  <c r="G27" i="6"/>
  <c r="G7" i="6"/>
  <c r="K63" i="6"/>
  <c r="O63" i="6" s="1"/>
  <c r="K62" i="6"/>
  <c r="O62" i="6" s="1"/>
  <c r="O61" i="6"/>
  <c r="O60" i="6"/>
  <c r="O59" i="6"/>
  <c r="J59" i="6"/>
  <c r="O58" i="6"/>
  <c r="J58" i="6"/>
  <c r="S56" i="6"/>
  <c r="P56" i="6"/>
  <c r="AC53" i="6"/>
  <c r="AE53" i="6" s="1"/>
  <c r="W53" i="6"/>
  <c r="S53" i="6"/>
  <c r="P53" i="6"/>
  <c r="J53" i="6"/>
  <c r="B53" i="6"/>
  <c r="AC52" i="6"/>
  <c r="AE52" i="6" s="1"/>
  <c r="W52" i="6"/>
  <c r="S52" i="6"/>
  <c r="P52" i="6"/>
  <c r="J52" i="6"/>
  <c r="B52" i="6"/>
  <c r="AC51" i="6"/>
  <c r="AE51" i="6" s="1"/>
  <c r="W51" i="6"/>
  <c r="S51" i="6"/>
  <c r="P51" i="6"/>
  <c r="J51" i="6"/>
  <c r="B51" i="6"/>
  <c r="AC50" i="6"/>
  <c r="AE50" i="6" s="1"/>
  <c r="W50" i="6"/>
  <c r="S50" i="6"/>
  <c r="P50" i="6"/>
  <c r="J50" i="6"/>
  <c r="B50" i="6"/>
  <c r="AC49" i="6"/>
  <c r="AE49" i="6" s="1"/>
  <c r="W49" i="6"/>
  <c r="S49" i="6"/>
  <c r="P49" i="6"/>
  <c r="J49" i="6"/>
  <c r="B49" i="6"/>
  <c r="AC48" i="6"/>
  <c r="AE48" i="6" s="1"/>
  <c r="W48" i="6"/>
  <c r="S48" i="6"/>
  <c r="P48" i="6"/>
  <c r="J48" i="6"/>
  <c r="B48" i="6"/>
  <c r="AC47" i="6"/>
  <c r="AE47" i="6" s="1"/>
  <c r="W47" i="6"/>
  <c r="S47" i="6"/>
  <c r="P47" i="6"/>
  <c r="J47" i="6"/>
  <c r="B47" i="6"/>
  <c r="AC46" i="6"/>
  <c r="AE46" i="6" s="1"/>
  <c r="W46" i="6"/>
  <c r="S46" i="6"/>
  <c r="P46" i="6"/>
  <c r="J46" i="6"/>
  <c r="B46" i="6"/>
  <c r="AC45" i="6"/>
  <c r="AE45" i="6" s="1"/>
  <c r="W45" i="6"/>
  <c r="S45" i="6"/>
  <c r="P45" i="6"/>
  <c r="J45" i="6"/>
  <c r="B45" i="6"/>
  <c r="AC44" i="6"/>
  <c r="AE44" i="6" s="1"/>
  <c r="W44" i="6"/>
  <c r="S44" i="6"/>
  <c r="P44" i="6"/>
  <c r="J44" i="6"/>
  <c r="B44" i="6"/>
  <c r="AC43" i="6"/>
  <c r="AE43" i="6" s="1"/>
  <c r="W43" i="6"/>
  <c r="S43" i="6"/>
  <c r="P43" i="6"/>
  <c r="J43" i="6"/>
  <c r="B43" i="6"/>
  <c r="AC42" i="6"/>
  <c r="AE42" i="6" s="1"/>
  <c r="W42" i="6"/>
  <c r="S42" i="6"/>
  <c r="P42" i="6"/>
  <c r="J42" i="6"/>
  <c r="B42" i="6"/>
  <c r="AC41" i="6"/>
  <c r="AE41" i="6" s="1"/>
  <c r="W41" i="6"/>
  <c r="S41" i="6"/>
  <c r="P41" i="6"/>
  <c r="J41" i="6"/>
  <c r="B41" i="6"/>
  <c r="AC40" i="6"/>
  <c r="AE40" i="6" s="1"/>
  <c r="W40" i="6"/>
  <c r="S40" i="6"/>
  <c r="P40" i="6"/>
  <c r="J40" i="6"/>
  <c r="B40" i="6"/>
  <c r="AC39" i="6"/>
  <c r="AE39" i="6" s="1"/>
  <c r="W39" i="6"/>
  <c r="S39" i="6"/>
  <c r="P39" i="6"/>
  <c r="J39" i="6"/>
  <c r="B39" i="6"/>
  <c r="AC38" i="6"/>
  <c r="AE38" i="6" s="1"/>
  <c r="W38" i="6"/>
  <c r="S38" i="6"/>
  <c r="P38" i="6"/>
  <c r="J38" i="6"/>
  <c r="B38" i="6"/>
  <c r="AC37" i="6"/>
  <c r="AE37" i="6" s="1"/>
  <c r="W37" i="6"/>
  <c r="S37" i="6"/>
  <c r="P37" i="6"/>
  <c r="J37" i="6"/>
  <c r="B37" i="6"/>
  <c r="AE36" i="6"/>
  <c r="AC36" i="6"/>
  <c r="W36" i="6"/>
  <c r="S36" i="6"/>
  <c r="P36" i="6"/>
  <c r="J36" i="6"/>
  <c r="B36" i="6"/>
  <c r="AC35" i="6"/>
  <c r="AE35" i="6" s="1"/>
  <c r="W35" i="6"/>
  <c r="S35" i="6"/>
  <c r="P35" i="6"/>
  <c r="J35" i="6"/>
  <c r="B35" i="6"/>
  <c r="AC34" i="6"/>
  <c r="AE34" i="6" s="1"/>
  <c r="W34" i="6"/>
  <c r="S34" i="6"/>
  <c r="P34" i="6"/>
  <c r="J34" i="6"/>
  <c r="B34" i="6"/>
  <c r="AC33" i="6"/>
  <c r="AE33" i="6" s="1"/>
  <c r="W33" i="6"/>
  <c r="S33" i="6"/>
  <c r="P33" i="6"/>
  <c r="J33" i="6"/>
  <c r="B33" i="6"/>
  <c r="AC27" i="6"/>
  <c r="AE27" i="6" s="1"/>
  <c r="W27" i="6"/>
  <c r="S27" i="6"/>
  <c r="P27" i="6"/>
  <c r="AL27" i="6" s="1"/>
  <c r="AM27" i="6" s="1"/>
  <c r="J27" i="6"/>
  <c r="B27" i="6"/>
  <c r="C27" i="6" s="1"/>
  <c r="AC26" i="6"/>
  <c r="AE26" i="6" s="1"/>
  <c r="W26" i="6"/>
  <c r="S26" i="6"/>
  <c r="P26" i="6"/>
  <c r="AL26" i="6" s="1"/>
  <c r="AM26" i="6" s="1"/>
  <c r="J26" i="6"/>
  <c r="B26" i="6"/>
  <c r="AC25" i="6"/>
  <c r="AE25" i="6" s="1"/>
  <c r="W25" i="6"/>
  <c r="S25" i="6"/>
  <c r="P25" i="6"/>
  <c r="AL25" i="6" s="1"/>
  <c r="AM25" i="6" s="1"/>
  <c r="J25" i="6"/>
  <c r="B25" i="6"/>
  <c r="AC24" i="6"/>
  <c r="AE24" i="6" s="1"/>
  <c r="W24" i="6"/>
  <c r="S24" i="6"/>
  <c r="P24" i="6"/>
  <c r="AL24" i="6" s="1"/>
  <c r="AM24" i="6" s="1"/>
  <c r="J24" i="6"/>
  <c r="B24" i="6"/>
  <c r="AC23" i="6"/>
  <c r="AE23" i="6" s="1"/>
  <c r="W23" i="6"/>
  <c r="S23" i="6"/>
  <c r="P23" i="6"/>
  <c r="AL23" i="6" s="1"/>
  <c r="AM23" i="6" s="1"/>
  <c r="J23" i="6"/>
  <c r="B23" i="6"/>
  <c r="AC22" i="6"/>
  <c r="AE22" i="6" s="1"/>
  <c r="W22" i="6"/>
  <c r="S22" i="6"/>
  <c r="P22" i="6"/>
  <c r="AL22" i="6" s="1"/>
  <c r="AM22" i="6" s="1"/>
  <c r="J22" i="6"/>
  <c r="B22" i="6"/>
  <c r="AC21" i="6"/>
  <c r="AE21" i="6" s="1"/>
  <c r="W21" i="6"/>
  <c r="S21" i="6"/>
  <c r="P21" i="6"/>
  <c r="AL21" i="6" s="1"/>
  <c r="AM21" i="6" s="1"/>
  <c r="J21" i="6"/>
  <c r="B21" i="6"/>
  <c r="AC20" i="6"/>
  <c r="AE20" i="6" s="1"/>
  <c r="W20" i="6"/>
  <c r="S20" i="6"/>
  <c r="P20" i="6"/>
  <c r="AL20" i="6" s="1"/>
  <c r="AM20" i="6" s="1"/>
  <c r="J20" i="6"/>
  <c r="B20" i="6"/>
  <c r="AC19" i="6"/>
  <c r="AE19" i="6" s="1"/>
  <c r="W19" i="6"/>
  <c r="S19" i="6"/>
  <c r="P19" i="6"/>
  <c r="AL19" i="6" s="1"/>
  <c r="AM19" i="6" s="1"/>
  <c r="J19" i="6"/>
  <c r="B19" i="6"/>
  <c r="AC18" i="6"/>
  <c r="AE18" i="6" s="1"/>
  <c r="W18" i="6"/>
  <c r="S18" i="6"/>
  <c r="P18" i="6"/>
  <c r="AL18" i="6" s="1"/>
  <c r="AM18" i="6" s="1"/>
  <c r="J18" i="6"/>
  <c r="B18" i="6"/>
  <c r="AC17" i="6"/>
  <c r="AE17" i="6" s="1"/>
  <c r="W17" i="6"/>
  <c r="S17" i="6"/>
  <c r="P17" i="6"/>
  <c r="AL17" i="6" s="1"/>
  <c r="AM17" i="6" s="1"/>
  <c r="J17" i="6"/>
  <c r="B17" i="6"/>
  <c r="AC16" i="6"/>
  <c r="AE16" i="6" s="1"/>
  <c r="W16" i="6"/>
  <c r="S16" i="6"/>
  <c r="P16" i="6"/>
  <c r="AL16" i="6" s="1"/>
  <c r="AM16" i="6" s="1"/>
  <c r="J16" i="6"/>
  <c r="B16" i="6"/>
  <c r="AC15" i="6"/>
  <c r="AE15" i="6" s="1"/>
  <c r="W15" i="6"/>
  <c r="S15" i="6"/>
  <c r="P15" i="6"/>
  <c r="AL15" i="6" s="1"/>
  <c r="AM15" i="6" s="1"/>
  <c r="J15" i="6"/>
  <c r="B15" i="6"/>
  <c r="AC14" i="6"/>
  <c r="AE14" i="6" s="1"/>
  <c r="W14" i="6"/>
  <c r="S14" i="6"/>
  <c r="P14" i="6"/>
  <c r="AL14" i="6" s="1"/>
  <c r="AM14" i="6" s="1"/>
  <c r="J14" i="6"/>
  <c r="B14" i="6"/>
  <c r="AC13" i="6"/>
  <c r="AE13" i="6" s="1"/>
  <c r="W13" i="6"/>
  <c r="S13" i="6"/>
  <c r="P13" i="6"/>
  <c r="AL13" i="6" s="1"/>
  <c r="AM13" i="6" s="1"/>
  <c r="J13" i="6"/>
  <c r="B13" i="6"/>
  <c r="C12" i="6" s="1"/>
  <c r="AC12" i="6"/>
  <c r="AE12" i="6" s="1"/>
  <c r="W12" i="6"/>
  <c r="S12" i="6"/>
  <c r="P12" i="6"/>
  <c r="AL12" i="6" s="1"/>
  <c r="AM12" i="6" s="1"/>
  <c r="J12" i="6"/>
  <c r="B12" i="6"/>
  <c r="AC11" i="6"/>
  <c r="AE11" i="6" s="1"/>
  <c r="W11" i="6"/>
  <c r="S11" i="6"/>
  <c r="P11" i="6"/>
  <c r="AL11" i="6" s="1"/>
  <c r="AM11" i="6" s="1"/>
  <c r="J11" i="6"/>
  <c r="B11" i="6"/>
  <c r="AC10" i="6"/>
  <c r="AE10" i="6" s="1"/>
  <c r="W10" i="6"/>
  <c r="S10" i="6"/>
  <c r="P10" i="6"/>
  <c r="AL10" i="6" s="1"/>
  <c r="AM10" i="6" s="1"/>
  <c r="J10" i="6"/>
  <c r="B10" i="6"/>
  <c r="AC9" i="6"/>
  <c r="AE9" i="6" s="1"/>
  <c r="W9" i="6"/>
  <c r="S9" i="6"/>
  <c r="P9" i="6"/>
  <c r="AL9" i="6" s="1"/>
  <c r="AM9" i="6" s="1"/>
  <c r="J9" i="6"/>
  <c r="B9" i="6"/>
  <c r="AC8" i="6"/>
  <c r="AE8" i="6" s="1"/>
  <c r="W8" i="6"/>
  <c r="S8" i="6"/>
  <c r="P8" i="6"/>
  <c r="AL8" i="6" s="1"/>
  <c r="AM8" i="6" s="1"/>
  <c r="J8" i="6"/>
  <c r="B8" i="6"/>
  <c r="AC7" i="6"/>
  <c r="AE7" i="6" s="1"/>
  <c r="W7" i="6"/>
  <c r="S7" i="6"/>
  <c r="P7" i="6"/>
  <c r="AL7" i="6" s="1"/>
  <c r="AM7" i="6" s="1"/>
  <c r="J7" i="6"/>
  <c r="B7" i="6"/>
  <c r="AW21" i="2"/>
  <c r="AW22" i="2"/>
  <c r="AW23" i="2"/>
  <c r="AW24" i="2"/>
  <c r="AW25" i="2"/>
  <c r="AW27" i="2"/>
  <c r="T5" i="12" s="1"/>
  <c r="AW28" i="2"/>
  <c r="T6" i="12" s="1"/>
  <c r="AW29" i="2"/>
  <c r="T7" i="12" s="1"/>
  <c r="AW30" i="2"/>
  <c r="T8" i="12" s="1"/>
  <c r="AW31" i="2"/>
  <c r="T9" i="12" s="1"/>
  <c r="AW32" i="2"/>
  <c r="T10" i="12" s="1"/>
  <c r="AW33" i="2"/>
  <c r="T11" i="12" s="1"/>
  <c r="AW34" i="2"/>
  <c r="T12" i="12" s="1"/>
  <c r="AW35" i="2"/>
  <c r="T13" i="12" s="1"/>
  <c r="AW36" i="2"/>
  <c r="T14" i="12" s="1"/>
  <c r="AW37" i="2"/>
  <c r="T15" i="12" s="1"/>
  <c r="AW38" i="2"/>
  <c r="T16" i="12" s="1"/>
  <c r="AW39" i="2"/>
  <c r="T17" i="12" s="1"/>
  <c r="AW40" i="2"/>
  <c r="T18" i="12" s="1"/>
  <c r="C7" i="6" l="1"/>
  <c r="AW7" i="2"/>
  <c r="C15" i="6"/>
  <c r="Z16" i="6"/>
  <c r="AD16" i="6" s="1"/>
  <c r="C8" i="6"/>
  <c r="C36" i="6"/>
  <c r="Z37" i="6"/>
  <c r="AD37" i="6" s="1"/>
  <c r="H25" i="6"/>
  <c r="H17" i="6"/>
  <c r="M25" i="6"/>
  <c r="C33" i="6"/>
  <c r="Z53" i="6"/>
  <c r="AD53" i="6" s="1"/>
  <c r="H15" i="6"/>
  <c r="N10" i="6"/>
  <c r="N26" i="6"/>
  <c r="H21" i="6"/>
  <c r="H9" i="6"/>
  <c r="Z8" i="6"/>
  <c r="AD8" i="6" s="1"/>
  <c r="C49" i="6"/>
  <c r="N23" i="6"/>
  <c r="M9" i="6"/>
  <c r="M10" i="6"/>
  <c r="H13" i="6"/>
  <c r="M17" i="6"/>
  <c r="H20" i="6"/>
  <c r="Z7" i="6"/>
  <c r="AD7" i="6" s="1"/>
  <c r="Z9" i="6"/>
  <c r="AD9" i="6" s="1"/>
  <c r="Z10" i="6"/>
  <c r="AD10" i="6" s="1"/>
  <c r="P58" i="6"/>
  <c r="H23" i="6"/>
  <c r="H19" i="6"/>
  <c r="N7" i="6"/>
  <c r="M26" i="6"/>
  <c r="M18" i="6"/>
  <c r="C20" i="6"/>
  <c r="C23" i="6"/>
  <c r="Z24" i="6"/>
  <c r="AD24" i="6" s="1"/>
  <c r="C41" i="6"/>
  <c r="C44" i="6"/>
  <c r="Z45" i="6"/>
  <c r="AD45" i="6" s="1"/>
  <c r="N22" i="6"/>
  <c r="N14" i="6"/>
  <c r="N24" i="6"/>
  <c r="AF16" i="6"/>
  <c r="AF24" i="6"/>
  <c r="AF53" i="6"/>
  <c r="M11" i="6"/>
  <c r="M15" i="6"/>
  <c r="M19" i="6"/>
  <c r="M23" i="6"/>
  <c r="M27" i="6"/>
  <c r="H24" i="6"/>
  <c r="H8" i="6"/>
  <c r="M24" i="6"/>
  <c r="C53" i="6"/>
  <c r="C52" i="6"/>
  <c r="AF10" i="6"/>
  <c r="C11" i="6"/>
  <c r="Z12" i="6"/>
  <c r="AD12" i="6" s="1"/>
  <c r="C16" i="6"/>
  <c r="C19" i="6"/>
  <c r="Z20" i="6"/>
  <c r="AD20" i="6" s="1"/>
  <c r="C24" i="6"/>
  <c r="Z33" i="6"/>
  <c r="AD33" i="6" s="1"/>
  <c r="C37" i="6"/>
  <c r="C40" i="6"/>
  <c r="Z41" i="6"/>
  <c r="AD41" i="6" s="1"/>
  <c r="C45" i="6"/>
  <c r="C48" i="6"/>
  <c r="Z49" i="6"/>
  <c r="AD49" i="6" s="1"/>
  <c r="H26" i="6"/>
  <c r="H22" i="6"/>
  <c r="H18" i="6"/>
  <c r="H14" i="6"/>
  <c r="H10" i="6"/>
  <c r="N8" i="6"/>
  <c r="M8" i="6"/>
  <c r="N12" i="6"/>
  <c r="M12" i="6"/>
  <c r="N16" i="6"/>
  <c r="M16" i="6"/>
  <c r="N20" i="6"/>
  <c r="M20" i="6"/>
  <c r="H7" i="6"/>
  <c r="H12" i="6"/>
  <c r="M7" i="6"/>
  <c r="M22" i="6"/>
  <c r="M14" i="6"/>
  <c r="N27" i="6"/>
  <c r="N19" i="6"/>
  <c r="N11" i="6"/>
  <c r="N9" i="6"/>
  <c r="N13" i="6"/>
  <c r="N17" i="6"/>
  <c r="N21" i="6"/>
  <c r="N25" i="6"/>
  <c r="H27" i="6"/>
  <c r="H16" i="6"/>
  <c r="H11" i="6"/>
  <c r="M21" i="6"/>
  <c r="M13" i="6"/>
  <c r="Z11" i="6"/>
  <c r="AD11" i="6" s="1"/>
  <c r="Z13" i="6"/>
  <c r="AD13" i="6" s="1"/>
  <c r="C13" i="6"/>
  <c r="Z14" i="6"/>
  <c r="AD14" i="6" s="1"/>
  <c r="Z15" i="6"/>
  <c r="AD15" i="6" s="1"/>
  <c r="Z17" i="6"/>
  <c r="AD17" i="6" s="1"/>
  <c r="C17" i="6"/>
  <c r="Z18" i="6"/>
  <c r="AD18" i="6" s="1"/>
  <c r="Z19" i="6"/>
  <c r="AD19" i="6" s="1"/>
  <c r="Z21" i="6"/>
  <c r="AD21" i="6" s="1"/>
  <c r="C21" i="6"/>
  <c r="Z22" i="6"/>
  <c r="AD22" i="6" s="1"/>
  <c r="Z23" i="6"/>
  <c r="AD23" i="6" s="1"/>
  <c r="Z25" i="6"/>
  <c r="AD25" i="6" s="1"/>
  <c r="C25" i="6"/>
  <c r="Z26" i="6"/>
  <c r="AD26" i="6" s="1"/>
  <c r="Z27" i="6"/>
  <c r="AD27" i="6" s="1"/>
  <c r="Z34" i="6"/>
  <c r="AD34" i="6" s="1"/>
  <c r="C34" i="6"/>
  <c r="Z35" i="6"/>
  <c r="AD35" i="6" s="1"/>
  <c r="Z36" i="6"/>
  <c r="AD36" i="6" s="1"/>
  <c r="Z38" i="6"/>
  <c r="AD38" i="6" s="1"/>
  <c r="C38" i="6"/>
  <c r="Z39" i="6"/>
  <c r="AD39" i="6" s="1"/>
  <c r="Z40" i="6"/>
  <c r="AD40" i="6" s="1"/>
  <c r="Z42" i="6"/>
  <c r="AD42" i="6" s="1"/>
  <c r="C42" i="6"/>
  <c r="Z43" i="6"/>
  <c r="AD43" i="6" s="1"/>
  <c r="Z44" i="6"/>
  <c r="AD44" i="6" s="1"/>
  <c r="Z46" i="6"/>
  <c r="AD46" i="6" s="1"/>
  <c r="C46" i="6"/>
  <c r="Z47" i="6"/>
  <c r="AD47" i="6" s="1"/>
  <c r="Z48" i="6"/>
  <c r="AD48" i="6" s="1"/>
  <c r="Z50" i="6"/>
  <c r="AD50" i="6" s="1"/>
  <c r="C50" i="6"/>
  <c r="Z51" i="6"/>
  <c r="AD51" i="6" s="1"/>
  <c r="Z52" i="6"/>
  <c r="AD52" i="6" s="1"/>
  <c r="I62" i="6"/>
  <c r="P60" i="6"/>
  <c r="C10" i="6"/>
  <c r="C9" i="6"/>
  <c r="AF21" i="6"/>
  <c r="AF25" i="6"/>
  <c r="AF42" i="6"/>
  <c r="AF46" i="6"/>
  <c r="C18" i="6"/>
  <c r="C14" i="6"/>
  <c r="C22" i="6"/>
  <c r="C26" i="6"/>
  <c r="C35" i="6"/>
  <c r="C39" i="6"/>
  <c r="C43" i="6"/>
  <c r="C47" i="6"/>
  <c r="C51" i="6"/>
  <c r="AF8" i="6" l="1"/>
  <c r="AF38" i="6"/>
  <c r="AF41" i="6"/>
  <c r="AF37" i="6"/>
  <c r="AF7" i="6"/>
  <c r="AF17" i="6"/>
  <c r="AF33" i="6"/>
  <c r="AF39" i="6"/>
  <c r="AF52" i="6"/>
  <c r="AF9" i="6"/>
  <c r="AF23" i="6"/>
  <c r="AF36" i="6"/>
  <c r="AF45" i="6"/>
  <c r="AF44" i="6"/>
  <c r="AF27" i="6"/>
  <c r="AF18" i="6"/>
  <c r="AF48" i="6"/>
  <c r="AF19" i="6"/>
  <c r="AF40" i="6"/>
  <c r="AF26" i="6"/>
  <c r="AF15" i="6"/>
  <c r="AF47" i="6"/>
  <c r="AF51" i="6"/>
  <c r="AF43" i="6"/>
  <c r="AF35" i="6"/>
  <c r="AF22" i="6"/>
  <c r="AF14" i="6"/>
  <c r="AF20" i="6"/>
  <c r="AF50" i="6"/>
  <c r="AF34" i="6"/>
  <c r="AF13" i="6"/>
  <c r="AF49" i="6"/>
  <c r="AF12" i="6"/>
  <c r="AF11" i="6"/>
  <c r="AS7" i="2" l="1"/>
  <c r="B48" i="5"/>
  <c r="B53" i="5" s="1"/>
  <c r="B55" i="5" s="1"/>
  <c r="B43" i="5"/>
  <c r="B30" i="5"/>
  <c r="B35" i="5" s="1"/>
  <c r="B36" i="5" s="1"/>
  <c r="B25" i="5"/>
  <c r="B26" i="5" s="1"/>
  <c r="BE5" i="2"/>
  <c r="BE20" i="2" s="1"/>
  <c r="B21" i="4"/>
  <c r="B10" i="4"/>
  <c r="B9" i="4"/>
  <c r="BE21" i="2" l="1"/>
  <c r="BE25" i="2"/>
  <c r="BE29" i="2"/>
  <c r="W7" i="12" s="1"/>
  <c r="BE33" i="2"/>
  <c r="W11" i="12" s="1"/>
  <c r="BE37" i="2"/>
  <c r="W15" i="12" s="1"/>
  <c r="BE22" i="2"/>
  <c r="BE26" i="2"/>
  <c r="W4" i="12" s="1"/>
  <c r="BE30" i="2"/>
  <c r="W8" i="12" s="1"/>
  <c r="BE34" i="2"/>
  <c r="W12" i="12" s="1"/>
  <c r="BE38" i="2"/>
  <c r="W16" i="12" s="1"/>
  <c r="BE32" i="2"/>
  <c r="W10" i="12" s="1"/>
  <c r="BE36" i="2"/>
  <c r="W14" i="12" s="1"/>
  <c r="BE23" i="2"/>
  <c r="BE27" i="2"/>
  <c r="W5" i="12" s="1"/>
  <c r="BE31" i="2"/>
  <c r="W9" i="12" s="1"/>
  <c r="BE35" i="2"/>
  <c r="W13" i="12" s="1"/>
  <c r="BE39" i="2"/>
  <c r="W17" i="12" s="1"/>
  <c r="BE28" i="2"/>
  <c r="W6" i="12" s="1"/>
  <c r="BE40" i="2"/>
  <c r="W18" i="12" s="1"/>
  <c r="BE24" i="2"/>
  <c r="B37" i="5"/>
  <c r="T21" i="2"/>
  <c r="T22" i="2"/>
  <c r="T23" i="2"/>
  <c r="T24" i="2"/>
  <c r="T25" i="2"/>
  <c r="T26" i="2"/>
  <c r="B4" i="12" s="1"/>
  <c r="T27" i="2"/>
  <c r="B5" i="12" s="1"/>
  <c r="T28" i="2"/>
  <c r="B6" i="12" s="1"/>
  <c r="T29" i="2"/>
  <c r="B7" i="12" s="1"/>
  <c r="T30" i="2"/>
  <c r="B8" i="12" s="1"/>
  <c r="T31" i="2"/>
  <c r="B9" i="12" s="1"/>
  <c r="T32" i="2"/>
  <c r="B10" i="12" s="1"/>
  <c r="T33" i="2"/>
  <c r="B11" i="12" s="1"/>
  <c r="T34" i="2"/>
  <c r="B12" i="12" s="1"/>
  <c r="T35" i="2"/>
  <c r="B13" i="12" s="1"/>
  <c r="T36" i="2"/>
  <c r="B14" i="12" s="1"/>
  <c r="T37" i="2"/>
  <c r="B15" i="12" s="1"/>
  <c r="T38" i="2"/>
  <c r="B16" i="12" s="1"/>
  <c r="T39" i="2"/>
  <c r="B17" i="12" s="1"/>
  <c r="T40" i="2"/>
  <c r="B18" i="12" s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4" i="3"/>
  <c r="E14" i="3"/>
  <c r="G14" i="3"/>
  <c r="E8" i="3"/>
  <c r="G10" i="3"/>
  <c r="G24" i="3"/>
  <c r="E16" i="3"/>
  <c r="G7" i="3"/>
  <c r="G17" i="3"/>
  <c r="G16" i="3"/>
  <c r="G9" i="3"/>
  <c r="E12" i="3"/>
  <c r="G6" i="3"/>
  <c r="G5" i="3"/>
  <c r="G13" i="3"/>
  <c r="G15" i="3"/>
  <c r="G21" i="3"/>
  <c r="E18" i="3"/>
  <c r="G19" i="3"/>
  <c r="E4" i="3"/>
  <c r="E11" i="3"/>
  <c r="E5" i="3"/>
  <c r="E24" i="3"/>
  <c r="E10" i="3"/>
  <c r="E20" i="3"/>
  <c r="G22" i="3"/>
  <c r="G18" i="3"/>
  <c r="E23" i="3"/>
  <c r="G4" i="3"/>
  <c r="G20" i="3"/>
  <c r="G8" i="3"/>
  <c r="E7" i="3"/>
  <c r="E19" i="3"/>
  <c r="E22" i="3"/>
  <c r="G23" i="3"/>
  <c r="G12" i="3"/>
  <c r="E15" i="3"/>
  <c r="E21" i="3"/>
  <c r="E6" i="3"/>
  <c r="E17" i="3"/>
  <c r="E9" i="3"/>
  <c r="E13" i="3"/>
  <c r="G11" i="3"/>
  <c r="H4" i="3" l="1"/>
  <c r="K4" i="3" s="1"/>
  <c r="L4" i="3"/>
  <c r="H5" i="3"/>
  <c r="K5" i="3" s="1"/>
  <c r="L5" i="3" s="1"/>
  <c r="H8" i="3"/>
  <c r="K8" i="3" s="1"/>
  <c r="H9" i="3"/>
  <c r="K9" i="3" s="1"/>
  <c r="H6" i="3"/>
  <c r="K6" i="3" s="1"/>
  <c r="H7" i="3"/>
  <c r="K7" i="3" s="1"/>
  <c r="H10" i="3"/>
  <c r="K10" i="3" s="1"/>
  <c r="H11" i="3"/>
  <c r="K11" i="3" s="1"/>
  <c r="H12" i="3"/>
  <c r="K12" i="3" s="1"/>
  <c r="H13" i="3"/>
  <c r="K13" i="3" s="1"/>
  <c r="H14" i="3"/>
  <c r="K14" i="3" s="1"/>
  <c r="H15" i="3"/>
  <c r="K15" i="3" s="1"/>
  <c r="H16" i="3"/>
  <c r="H17" i="3"/>
  <c r="K17" i="3" s="1"/>
  <c r="H18" i="3"/>
  <c r="K18" i="3" s="1"/>
  <c r="H19" i="3"/>
  <c r="K19" i="3" s="1"/>
  <c r="H20" i="3"/>
  <c r="K20" i="3" s="1"/>
  <c r="H21" i="3"/>
  <c r="K21" i="3" s="1"/>
  <c r="H22" i="3"/>
  <c r="K22" i="3" s="1"/>
  <c r="H23" i="3"/>
  <c r="K23" i="3" s="1"/>
  <c r="H24" i="3"/>
  <c r="K24" i="3" s="1"/>
  <c r="M24" i="3" l="1"/>
  <c r="L24" i="3"/>
  <c r="M20" i="3"/>
  <c r="L20" i="3"/>
  <c r="M12" i="3"/>
  <c r="L12" i="3"/>
  <c r="M6" i="3"/>
  <c r="L6" i="3"/>
  <c r="M4" i="3"/>
  <c r="M23" i="3"/>
  <c r="L23" i="3"/>
  <c r="M19" i="3"/>
  <c r="L19" i="3"/>
  <c r="M15" i="3"/>
  <c r="L15" i="3"/>
  <c r="M11" i="3"/>
  <c r="L11" i="3"/>
  <c r="M9" i="3"/>
  <c r="L9" i="3"/>
  <c r="M22" i="3"/>
  <c r="L22" i="3"/>
  <c r="M18" i="3"/>
  <c r="L18" i="3"/>
  <c r="M14" i="3"/>
  <c r="L14" i="3"/>
  <c r="M10" i="3"/>
  <c r="L10" i="3"/>
  <c r="M8" i="3"/>
  <c r="L8" i="3"/>
  <c r="M21" i="3"/>
  <c r="L21" i="3"/>
  <c r="M17" i="3"/>
  <c r="L17" i="3"/>
  <c r="M13" i="3"/>
  <c r="L13" i="3"/>
  <c r="M7" i="3"/>
  <c r="L7" i="3"/>
  <c r="K16" i="3"/>
  <c r="M5" i="3"/>
  <c r="M16" i="3" l="1"/>
  <c r="L16" i="3"/>
  <c r="AI5" i="2"/>
  <c r="AI7" i="2" l="1"/>
  <c r="N61" i="1" l="1"/>
  <c r="P61" i="1" s="1"/>
  <c r="N60" i="1"/>
  <c r="P60" i="1" s="1"/>
  <c r="P59" i="1"/>
  <c r="P58" i="1"/>
  <c r="Q58" i="1" s="1"/>
  <c r="P57" i="1"/>
  <c r="K57" i="1"/>
  <c r="P56" i="1"/>
  <c r="K56" i="1"/>
  <c r="J60" i="1" s="1"/>
  <c r="T54" i="1"/>
  <c r="Q54" i="1"/>
  <c r="AC51" i="1"/>
  <c r="AE51" i="1" s="1"/>
  <c r="W51" i="1"/>
  <c r="Z51" i="1" s="1"/>
  <c r="AD51" i="1" s="1"/>
  <c r="T51" i="1"/>
  <c r="Q51" i="1"/>
  <c r="AL51" i="1" s="1"/>
  <c r="AM51" i="1" s="1"/>
  <c r="K51" i="1"/>
  <c r="C51" i="1"/>
  <c r="D51" i="1" s="1"/>
  <c r="AC50" i="1"/>
  <c r="AE50" i="1" s="1"/>
  <c r="W50" i="1"/>
  <c r="T50" i="1"/>
  <c r="Q50" i="1"/>
  <c r="AL50" i="1" s="1"/>
  <c r="AM50" i="1" s="1"/>
  <c r="K50" i="1"/>
  <c r="C50" i="1"/>
  <c r="AC49" i="1"/>
  <c r="AE49" i="1" s="1"/>
  <c r="W49" i="1"/>
  <c r="T49" i="1"/>
  <c r="Q49" i="1"/>
  <c r="AL49" i="1" s="1"/>
  <c r="AM49" i="1" s="1"/>
  <c r="K49" i="1"/>
  <c r="C49" i="1"/>
  <c r="AC48" i="1"/>
  <c r="AE48" i="1" s="1"/>
  <c r="W48" i="1"/>
  <c r="T48" i="1"/>
  <c r="Q48" i="1"/>
  <c r="AL48" i="1" s="1"/>
  <c r="AM48" i="1" s="1"/>
  <c r="K48" i="1"/>
  <c r="C48" i="1"/>
  <c r="AC47" i="1"/>
  <c r="AE47" i="1" s="1"/>
  <c r="W47" i="1"/>
  <c r="T47" i="1"/>
  <c r="Q47" i="1"/>
  <c r="AL47" i="1" s="1"/>
  <c r="AM47" i="1" s="1"/>
  <c r="K47" i="1"/>
  <c r="C47" i="1"/>
  <c r="AC46" i="1"/>
  <c r="AE46" i="1" s="1"/>
  <c r="W46" i="1"/>
  <c r="T46" i="1"/>
  <c r="Q46" i="1"/>
  <c r="AL46" i="1" s="1"/>
  <c r="AM46" i="1" s="1"/>
  <c r="K46" i="1"/>
  <c r="C46" i="1"/>
  <c r="AC45" i="1"/>
  <c r="AE45" i="1" s="1"/>
  <c r="W45" i="1"/>
  <c r="T45" i="1"/>
  <c r="Q45" i="1"/>
  <c r="AL45" i="1" s="1"/>
  <c r="AM45" i="1" s="1"/>
  <c r="K45" i="1"/>
  <c r="C45" i="1"/>
  <c r="AC44" i="1"/>
  <c r="AE44" i="1" s="1"/>
  <c r="W44" i="1"/>
  <c r="T44" i="1"/>
  <c r="Q44" i="1"/>
  <c r="AL44" i="1" s="1"/>
  <c r="AM44" i="1" s="1"/>
  <c r="K44" i="1"/>
  <c r="C44" i="1"/>
  <c r="AC43" i="1"/>
  <c r="AE43" i="1" s="1"/>
  <c r="W43" i="1"/>
  <c r="T43" i="1"/>
  <c r="Q43" i="1"/>
  <c r="K43" i="1"/>
  <c r="C43" i="1"/>
  <c r="AC42" i="1"/>
  <c r="AE42" i="1" s="1"/>
  <c r="W42" i="1"/>
  <c r="T42" i="1"/>
  <c r="Q42" i="1"/>
  <c r="AL42" i="1" s="1"/>
  <c r="AM42" i="1" s="1"/>
  <c r="K42" i="1"/>
  <c r="C42" i="1"/>
  <c r="AC41" i="1"/>
  <c r="AE41" i="1" s="1"/>
  <c r="W41" i="1"/>
  <c r="T41" i="1"/>
  <c r="Q41" i="1"/>
  <c r="AL41" i="1" s="1"/>
  <c r="AM41" i="1" s="1"/>
  <c r="K41" i="1"/>
  <c r="C41" i="1"/>
  <c r="AC40" i="1"/>
  <c r="AE40" i="1" s="1"/>
  <c r="W40" i="1"/>
  <c r="T40" i="1"/>
  <c r="Q40" i="1"/>
  <c r="AL40" i="1" s="1"/>
  <c r="AM40" i="1" s="1"/>
  <c r="K40" i="1"/>
  <c r="C40" i="1"/>
  <c r="AC39" i="1"/>
  <c r="AE39" i="1" s="1"/>
  <c r="W39" i="1"/>
  <c r="T39" i="1"/>
  <c r="Q39" i="1"/>
  <c r="AL39" i="1" s="1"/>
  <c r="AM39" i="1" s="1"/>
  <c r="K39" i="1"/>
  <c r="C39" i="1"/>
  <c r="AC38" i="1"/>
  <c r="AE38" i="1" s="1"/>
  <c r="W38" i="1"/>
  <c r="T38" i="1"/>
  <c r="Q38" i="1"/>
  <c r="AL38" i="1" s="1"/>
  <c r="AM38" i="1" s="1"/>
  <c r="K38" i="1"/>
  <c r="C38" i="1"/>
  <c r="AC37" i="1"/>
  <c r="AE37" i="1" s="1"/>
  <c r="W37" i="1"/>
  <c r="T37" i="1"/>
  <c r="Q37" i="1"/>
  <c r="AL37" i="1" s="1"/>
  <c r="AM37" i="1" s="1"/>
  <c r="K37" i="1"/>
  <c r="C37" i="1"/>
  <c r="AC36" i="1"/>
  <c r="AE36" i="1" s="1"/>
  <c r="W36" i="1"/>
  <c r="T36" i="1"/>
  <c r="Q36" i="1"/>
  <c r="AL36" i="1" s="1"/>
  <c r="AM36" i="1" s="1"/>
  <c r="K36" i="1"/>
  <c r="C36" i="1"/>
  <c r="AC35" i="1"/>
  <c r="AE35" i="1" s="1"/>
  <c r="W35" i="1"/>
  <c r="T35" i="1"/>
  <c r="Q35" i="1"/>
  <c r="AL35" i="1" s="1"/>
  <c r="AM35" i="1" s="1"/>
  <c r="K35" i="1"/>
  <c r="C35" i="1"/>
  <c r="AC34" i="1"/>
  <c r="AE34" i="1" s="1"/>
  <c r="W34" i="1"/>
  <c r="T34" i="1"/>
  <c r="Q34" i="1"/>
  <c r="AL34" i="1" s="1"/>
  <c r="AM34" i="1" s="1"/>
  <c r="K34" i="1"/>
  <c r="C34" i="1"/>
  <c r="AC33" i="1"/>
  <c r="AE33" i="1" s="1"/>
  <c r="W33" i="1"/>
  <c r="T33" i="1"/>
  <c r="Q33" i="1"/>
  <c r="AL33" i="1" s="1"/>
  <c r="AM33" i="1" s="1"/>
  <c r="K33" i="1"/>
  <c r="C33" i="1"/>
  <c r="AC32" i="1"/>
  <c r="AE32" i="1" s="1"/>
  <c r="W32" i="1"/>
  <c r="T32" i="1"/>
  <c r="Q32" i="1"/>
  <c r="AL32" i="1" s="1"/>
  <c r="AM32" i="1" s="1"/>
  <c r="K32" i="1"/>
  <c r="C32" i="1"/>
  <c r="AC31" i="1"/>
  <c r="AE31" i="1" s="1"/>
  <c r="W31" i="1"/>
  <c r="T31" i="1"/>
  <c r="Q31" i="1"/>
  <c r="AL31" i="1" s="1"/>
  <c r="AM31" i="1" s="1"/>
  <c r="K31" i="1"/>
  <c r="C31" i="1"/>
  <c r="AC25" i="1"/>
  <c r="AE25" i="1" s="1"/>
  <c r="W25" i="1"/>
  <c r="M40" i="11" s="1"/>
  <c r="T25" i="1"/>
  <c r="Q25" i="1"/>
  <c r="F40" i="11" s="1"/>
  <c r="K25" i="1"/>
  <c r="C25" i="1"/>
  <c r="D25" i="1" s="1"/>
  <c r="AC24" i="1"/>
  <c r="AE24" i="1" s="1"/>
  <c r="W24" i="1"/>
  <c r="M39" i="11" s="1"/>
  <c r="T24" i="1"/>
  <c r="Q24" i="1"/>
  <c r="F39" i="11" s="1"/>
  <c r="K24" i="1"/>
  <c r="C24" i="1"/>
  <c r="AC23" i="1"/>
  <c r="AE23" i="1" s="1"/>
  <c r="W23" i="1"/>
  <c r="M38" i="11" s="1"/>
  <c r="T23" i="1"/>
  <c r="Q23" i="1"/>
  <c r="F38" i="11" s="1"/>
  <c r="K23" i="1"/>
  <c r="C23" i="1"/>
  <c r="AC22" i="1"/>
  <c r="AE22" i="1" s="1"/>
  <c r="W22" i="1"/>
  <c r="M37" i="11" s="1"/>
  <c r="T22" i="1"/>
  <c r="Q22" i="1"/>
  <c r="K22" i="1"/>
  <c r="C22" i="1"/>
  <c r="AC21" i="1"/>
  <c r="AE21" i="1" s="1"/>
  <c r="W21" i="1"/>
  <c r="M36" i="11" s="1"/>
  <c r="T21" i="1"/>
  <c r="Q21" i="1"/>
  <c r="F36" i="11" s="1"/>
  <c r="K21" i="1"/>
  <c r="C21" i="1"/>
  <c r="AC20" i="1"/>
  <c r="AE20" i="1" s="1"/>
  <c r="W20" i="1"/>
  <c r="M35" i="11" s="1"/>
  <c r="T20" i="1"/>
  <c r="Q20" i="1"/>
  <c r="F35" i="11" s="1"/>
  <c r="K20" i="1"/>
  <c r="C20" i="1"/>
  <c r="AC19" i="1"/>
  <c r="AE19" i="1" s="1"/>
  <c r="W19" i="1"/>
  <c r="M34" i="11" s="1"/>
  <c r="T19" i="1"/>
  <c r="Q19" i="1"/>
  <c r="F34" i="11" s="1"/>
  <c r="K19" i="1"/>
  <c r="C19" i="1"/>
  <c r="AC18" i="1"/>
  <c r="AE18" i="1" s="1"/>
  <c r="W18" i="1"/>
  <c r="M33" i="11" s="1"/>
  <c r="T18" i="1"/>
  <c r="Q18" i="1"/>
  <c r="F33" i="11" s="1"/>
  <c r="K18" i="1"/>
  <c r="C18" i="1"/>
  <c r="AC17" i="1"/>
  <c r="AE17" i="1" s="1"/>
  <c r="W17" i="1"/>
  <c r="M32" i="11" s="1"/>
  <c r="T17" i="1"/>
  <c r="Q17" i="1"/>
  <c r="F32" i="11" s="1"/>
  <c r="K17" i="1"/>
  <c r="C17" i="1"/>
  <c r="AC16" i="1"/>
  <c r="AE16" i="1" s="1"/>
  <c r="W16" i="1"/>
  <c r="M31" i="11" s="1"/>
  <c r="T16" i="1"/>
  <c r="Q16" i="1"/>
  <c r="F31" i="11" s="1"/>
  <c r="K16" i="1"/>
  <c r="C16" i="1"/>
  <c r="AC15" i="1"/>
  <c r="AE15" i="1" s="1"/>
  <c r="W15" i="1"/>
  <c r="M30" i="11" s="1"/>
  <c r="T15" i="1"/>
  <c r="Q15" i="1"/>
  <c r="F30" i="11" s="1"/>
  <c r="K15" i="1"/>
  <c r="C15" i="1"/>
  <c r="AC14" i="1"/>
  <c r="AE14" i="1" s="1"/>
  <c r="W14" i="1"/>
  <c r="M29" i="11" s="1"/>
  <c r="T14" i="1"/>
  <c r="Q14" i="1"/>
  <c r="F29" i="11" s="1"/>
  <c r="K14" i="1"/>
  <c r="C14" i="1"/>
  <c r="AC13" i="1"/>
  <c r="AE13" i="1" s="1"/>
  <c r="W13" i="1"/>
  <c r="M28" i="11" s="1"/>
  <c r="T13" i="1"/>
  <c r="Q13" i="1"/>
  <c r="F28" i="11" s="1"/>
  <c r="K13" i="1"/>
  <c r="C13" i="1"/>
  <c r="AC12" i="1"/>
  <c r="AE12" i="1" s="1"/>
  <c r="W12" i="1"/>
  <c r="M27" i="11" s="1"/>
  <c r="T12" i="1"/>
  <c r="Q12" i="1"/>
  <c r="F27" i="11" s="1"/>
  <c r="K12" i="1"/>
  <c r="C12" i="1"/>
  <c r="AC11" i="1"/>
  <c r="AE11" i="1" s="1"/>
  <c r="W11" i="1"/>
  <c r="M26" i="11" s="1"/>
  <c r="T11" i="1"/>
  <c r="Q11" i="1"/>
  <c r="F26" i="11" s="1"/>
  <c r="K11" i="1"/>
  <c r="C11" i="1"/>
  <c r="AC10" i="1"/>
  <c r="AE10" i="1" s="1"/>
  <c r="W10" i="1"/>
  <c r="M25" i="11" s="1"/>
  <c r="T10" i="1"/>
  <c r="Q10" i="1"/>
  <c r="F25" i="11" s="1"/>
  <c r="K10" i="1"/>
  <c r="C10" i="1"/>
  <c r="AC9" i="1"/>
  <c r="AE9" i="1" s="1"/>
  <c r="W9" i="1"/>
  <c r="M24" i="11" s="1"/>
  <c r="T9" i="1"/>
  <c r="Q9" i="1"/>
  <c r="F24" i="11" s="1"/>
  <c r="K9" i="1"/>
  <c r="C9" i="1"/>
  <c r="AC8" i="1"/>
  <c r="AE8" i="1" s="1"/>
  <c r="W8" i="1"/>
  <c r="M23" i="11" s="1"/>
  <c r="T8" i="1"/>
  <c r="Q8" i="1"/>
  <c r="F23" i="11" s="1"/>
  <c r="K8" i="1"/>
  <c r="C8" i="1"/>
  <c r="AC7" i="1"/>
  <c r="AE7" i="1" s="1"/>
  <c r="W7" i="1"/>
  <c r="M22" i="11" s="1"/>
  <c r="T7" i="1"/>
  <c r="Q7" i="1"/>
  <c r="F22" i="11" s="1"/>
  <c r="K7" i="1"/>
  <c r="C7" i="1"/>
  <c r="AC6" i="1"/>
  <c r="AE6" i="1" s="1"/>
  <c r="W6" i="1"/>
  <c r="M21" i="11" s="1"/>
  <c r="T6" i="1"/>
  <c r="Q6" i="1"/>
  <c r="K6" i="1"/>
  <c r="C6" i="1"/>
  <c r="AE5" i="1"/>
  <c r="W5" i="1"/>
  <c r="M20" i="11" s="1"/>
  <c r="BQ20" i="2"/>
  <c r="Q5" i="1"/>
  <c r="F20" i="11" s="1"/>
  <c r="K5" i="1"/>
  <c r="C5" i="1"/>
  <c r="AN31" i="11" l="1"/>
  <c r="AO31" i="11" s="1"/>
  <c r="AR31" i="11" s="1"/>
  <c r="AP31" i="11"/>
  <c r="AQ31" i="11" s="1"/>
  <c r="H31" i="11"/>
  <c r="I31" i="11" s="1"/>
  <c r="AI31" i="11"/>
  <c r="BO36" i="11"/>
  <c r="BP36" i="11" s="1"/>
  <c r="BQ36" i="11" s="1"/>
  <c r="BM36" i="11"/>
  <c r="BN36" i="11" s="1"/>
  <c r="V36" i="11"/>
  <c r="W36" i="11" s="1"/>
  <c r="X36" i="11" s="1"/>
  <c r="J36" i="11"/>
  <c r="CB36" i="11" s="1"/>
  <c r="O36" i="11"/>
  <c r="AI22" i="11"/>
  <c r="H22" i="11"/>
  <c r="I22" i="11" s="1"/>
  <c r="AN22" i="11"/>
  <c r="AO22" i="11" s="1"/>
  <c r="AP22" i="11"/>
  <c r="AQ22" i="11" s="1"/>
  <c r="O23" i="11"/>
  <c r="BO23" i="11"/>
  <c r="BP23" i="11" s="1"/>
  <c r="J23" i="11"/>
  <c r="CB23" i="11" s="1"/>
  <c r="BM23" i="11"/>
  <c r="BN23" i="11" s="1"/>
  <c r="BQ23" i="11" s="1"/>
  <c r="V23" i="11"/>
  <c r="W23" i="11" s="1"/>
  <c r="X23" i="11" s="1"/>
  <c r="AN26" i="11"/>
  <c r="AO26" i="11" s="1"/>
  <c r="H26" i="11"/>
  <c r="I26" i="11" s="1"/>
  <c r="AI26" i="11"/>
  <c r="AP26" i="11"/>
  <c r="AQ26" i="11" s="1"/>
  <c r="BM27" i="11"/>
  <c r="BN27" i="11" s="1"/>
  <c r="V27" i="11"/>
  <c r="W27" i="11" s="1"/>
  <c r="X27" i="11" s="1"/>
  <c r="BO27" i="11"/>
  <c r="BP27" i="11" s="1"/>
  <c r="BQ27" i="11" s="1"/>
  <c r="J27" i="11"/>
  <c r="CB27" i="11" s="1"/>
  <c r="O27" i="11"/>
  <c r="AN30" i="11"/>
  <c r="AO30" i="11" s="1"/>
  <c r="AI30" i="11"/>
  <c r="AP30" i="11"/>
  <c r="AQ30" i="11" s="1"/>
  <c r="H30" i="11"/>
  <c r="I30" i="11" s="1"/>
  <c r="BM31" i="11"/>
  <c r="BN31" i="11" s="1"/>
  <c r="O31" i="11"/>
  <c r="BO31" i="11"/>
  <c r="BP31" i="11" s="1"/>
  <c r="BQ31" i="11" s="1"/>
  <c r="J31" i="11"/>
  <c r="CB31" i="11" s="1"/>
  <c r="V31" i="11"/>
  <c r="W31" i="11" s="1"/>
  <c r="X31" i="11" s="1"/>
  <c r="AI34" i="11"/>
  <c r="H34" i="11"/>
  <c r="I34" i="11" s="1"/>
  <c r="AN34" i="11"/>
  <c r="AO34" i="11" s="1"/>
  <c r="AP34" i="11"/>
  <c r="AQ34" i="11" s="1"/>
  <c r="BO35" i="11"/>
  <c r="BP35" i="11" s="1"/>
  <c r="J35" i="11"/>
  <c r="CB35" i="11" s="1"/>
  <c r="BM35" i="11"/>
  <c r="BN35" i="11" s="1"/>
  <c r="V35" i="11"/>
  <c r="W35" i="11" s="1"/>
  <c r="X35" i="11" s="1"/>
  <c r="O35" i="11"/>
  <c r="AI38" i="11"/>
  <c r="AN38" i="11"/>
  <c r="AO38" i="11" s="1"/>
  <c r="AR38" i="11" s="1"/>
  <c r="AP38" i="11"/>
  <c r="AQ38" i="11" s="1"/>
  <c r="H38" i="11"/>
  <c r="I38" i="11" s="1"/>
  <c r="BO39" i="11"/>
  <c r="BP39" i="11" s="1"/>
  <c r="BQ39" i="11" s="1"/>
  <c r="J39" i="11"/>
  <c r="CB39" i="11" s="1"/>
  <c r="V39" i="11"/>
  <c r="W39" i="11" s="1"/>
  <c r="X39" i="11" s="1"/>
  <c r="O39" i="11"/>
  <c r="BM39" i="11"/>
  <c r="BN39" i="11" s="1"/>
  <c r="BQ30" i="2"/>
  <c r="AH8" i="12" s="1"/>
  <c r="BR30" i="11"/>
  <c r="BQ38" i="2"/>
  <c r="AH16" i="12" s="1"/>
  <c r="BR38" i="11"/>
  <c r="AN27" i="11"/>
  <c r="AO27" i="11" s="1"/>
  <c r="AI27" i="11"/>
  <c r="AP27" i="11"/>
  <c r="AQ27" i="11" s="1"/>
  <c r="H27" i="11"/>
  <c r="I27" i="11" s="1"/>
  <c r="AX25" i="2"/>
  <c r="AW25" i="11"/>
  <c r="AL6" i="1"/>
  <c r="AM6" i="1" s="1"/>
  <c r="F21" i="11"/>
  <c r="J21" i="11" s="1"/>
  <c r="CB21" i="11" s="1"/>
  <c r="O22" i="11"/>
  <c r="BO22" i="11"/>
  <c r="BP22" i="11" s="1"/>
  <c r="J22" i="11"/>
  <c r="CB22" i="11" s="1"/>
  <c r="V22" i="11"/>
  <c r="W22" i="11" s="1"/>
  <c r="X22" i="11" s="1"/>
  <c r="BM22" i="11"/>
  <c r="BN22" i="11" s="1"/>
  <c r="BQ22" i="11" s="1"/>
  <c r="AN25" i="11"/>
  <c r="AO25" i="11" s="1"/>
  <c r="AI25" i="11"/>
  <c r="AP25" i="11"/>
  <c r="AQ25" i="11" s="1"/>
  <c r="AR25" i="11" s="1"/>
  <c r="H25" i="11"/>
  <c r="I25" i="11" s="1"/>
  <c r="BO26" i="11"/>
  <c r="BP26" i="11" s="1"/>
  <c r="BM26" i="11"/>
  <c r="BN26" i="11" s="1"/>
  <c r="BQ26" i="11" s="1"/>
  <c r="O26" i="11"/>
  <c r="V26" i="11"/>
  <c r="W26" i="11" s="1"/>
  <c r="X26" i="11" s="1"/>
  <c r="J26" i="11"/>
  <c r="CB26" i="11" s="1"/>
  <c r="AI29" i="11"/>
  <c r="AP29" i="11"/>
  <c r="AQ29" i="11" s="1"/>
  <c r="AN29" i="11"/>
  <c r="AO29" i="11" s="1"/>
  <c r="AR29" i="11" s="1"/>
  <c r="H29" i="11"/>
  <c r="I29" i="11" s="1"/>
  <c r="BM30" i="11"/>
  <c r="BN30" i="11" s="1"/>
  <c r="BQ30" i="11" s="1"/>
  <c r="BO30" i="11"/>
  <c r="BP30" i="11" s="1"/>
  <c r="J30" i="11"/>
  <c r="CB30" i="11" s="1"/>
  <c r="O30" i="11"/>
  <c r="V30" i="11"/>
  <c r="W30" i="11" s="1"/>
  <c r="X30" i="11" s="1"/>
  <c r="AI33" i="11"/>
  <c r="H33" i="11"/>
  <c r="I33" i="11" s="1"/>
  <c r="AN33" i="11"/>
  <c r="AO33" i="11" s="1"/>
  <c r="AP33" i="11"/>
  <c r="AQ33" i="11" s="1"/>
  <c r="O34" i="11"/>
  <c r="V34" i="11"/>
  <c r="W34" i="11" s="1"/>
  <c r="X34" i="11" s="1"/>
  <c r="BM34" i="11"/>
  <c r="BN34" i="11" s="1"/>
  <c r="J34" i="11"/>
  <c r="CB34" i="11" s="1"/>
  <c r="BO34" i="11"/>
  <c r="BP34" i="11" s="1"/>
  <c r="AL22" i="1"/>
  <c r="AM22" i="1" s="1"/>
  <c r="F37" i="11"/>
  <c r="O38" i="11"/>
  <c r="V38" i="11"/>
  <c r="W38" i="11" s="1"/>
  <c r="X38" i="11" s="1"/>
  <c r="BM38" i="11"/>
  <c r="BN38" i="11" s="1"/>
  <c r="J38" i="11"/>
  <c r="CB38" i="11" s="1"/>
  <c r="BO38" i="11"/>
  <c r="BP38" i="11" s="1"/>
  <c r="BQ34" i="2"/>
  <c r="AH12" i="12" s="1"/>
  <c r="BR34" i="11"/>
  <c r="AX37" i="2"/>
  <c r="V15" i="12" s="1"/>
  <c r="AW37" i="11"/>
  <c r="AW20" i="11"/>
  <c r="AX20" i="2"/>
  <c r="BQ21" i="2"/>
  <c r="BR21" i="11"/>
  <c r="AX24" i="2"/>
  <c r="AW24" i="11"/>
  <c r="BQ25" i="2"/>
  <c r="BR25" i="11"/>
  <c r="AX28" i="2"/>
  <c r="V6" i="12" s="1"/>
  <c r="AW28" i="11"/>
  <c r="BQ29" i="2"/>
  <c r="AH7" i="12" s="1"/>
  <c r="BR29" i="11"/>
  <c r="AX32" i="2"/>
  <c r="V10" i="12" s="1"/>
  <c r="AW32" i="11"/>
  <c r="BQ33" i="2"/>
  <c r="AH11" i="12" s="1"/>
  <c r="BR33" i="11"/>
  <c r="AX36" i="2"/>
  <c r="V14" i="12" s="1"/>
  <c r="AW36" i="11"/>
  <c r="BQ37" i="2"/>
  <c r="AH15" i="12" s="1"/>
  <c r="BR37" i="11"/>
  <c r="AX40" i="2"/>
  <c r="V18" i="12" s="1"/>
  <c r="AW40" i="11"/>
  <c r="V20" i="11"/>
  <c r="W20" i="11" s="1"/>
  <c r="BM20" i="11"/>
  <c r="BN20" i="11" s="1"/>
  <c r="BQ20" i="11" s="1"/>
  <c r="O20" i="11"/>
  <c r="BO20" i="11"/>
  <c r="BP20" i="11" s="1"/>
  <c r="J20" i="11"/>
  <c r="CB20" i="11" s="1"/>
  <c r="O28" i="11"/>
  <c r="BM28" i="11"/>
  <c r="BN28" i="11" s="1"/>
  <c r="V28" i="11"/>
  <c r="W28" i="11" s="1"/>
  <c r="X28" i="11" s="1"/>
  <c r="BO28" i="11"/>
  <c r="BP28" i="11" s="1"/>
  <c r="J28" i="11"/>
  <c r="CB28" i="11" s="1"/>
  <c r="AX21" i="2"/>
  <c r="AW21" i="11"/>
  <c r="BQ26" i="2"/>
  <c r="AH4" i="12" s="1"/>
  <c r="BR26" i="11"/>
  <c r="H20" i="11"/>
  <c r="I20" i="11" s="1"/>
  <c r="AI20" i="11"/>
  <c r="AN20" i="11"/>
  <c r="AO20" i="11" s="1"/>
  <c r="AP20" i="11"/>
  <c r="AQ20" i="11" s="1"/>
  <c r="O21" i="11"/>
  <c r="BM21" i="11"/>
  <c r="BN21" i="11" s="1"/>
  <c r="BO21" i="11"/>
  <c r="BP21" i="11" s="1"/>
  <c r="H24" i="11"/>
  <c r="I24" i="11" s="1"/>
  <c r="AP24" i="11"/>
  <c r="AQ24" i="11" s="1"/>
  <c r="AN24" i="11"/>
  <c r="AO24" i="11" s="1"/>
  <c r="AR24" i="11" s="1"/>
  <c r="AI24" i="11"/>
  <c r="O25" i="11"/>
  <c r="BM25" i="11"/>
  <c r="BN25" i="11" s="1"/>
  <c r="BO25" i="11"/>
  <c r="BP25" i="11" s="1"/>
  <c r="V25" i="11"/>
  <c r="W25" i="11" s="1"/>
  <c r="X25" i="11" s="1"/>
  <c r="J25" i="11"/>
  <c r="CB25" i="11" s="1"/>
  <c r="AI28" i="11"/>
  <c r="AP28" i="11"/>
  <c r="AQ28" i="11" s="1"/>
  <c r="AN28" i="11"/>
  <c r="AO28" i="11" s="1"/>
  <c r="H28" i="11"/>
  <c r="I28" i="11" s="1"/>
  <c r="BM29" i="11"/>
  <c r="BN29" i="11" s="1"/>
  <c r="BO29" i="11"/>
  <c r="BP29" i="11" s="1"/>
  <c r="BQ29" i="11" s="1"/>
  <c r="J29" i="11"/>
  <c r="CB29" i="11" s="1"/>
  <c r="O29" i="11"/>
  <c r="V29" i="11"/>
  <c r="W29" i="11" s="1"/>
  <c r="X29" i="11" s="1"/>
  <c r="AI32" i="11"/>
  <c r="AP32" i="11"/>
  <c r="AQ32" i="11" s="1"/>
  <c r="AN32" i="11"/>
  <c r="AO32" i="11" s="1"/>
  <c r="AR32" i="11" s="1"/>
  <c r="H32" i="11"/>
  <c r="I32" i="11" s="1"/>
  <c r="BO33" i="11"/>
  <c r="BP33" i="11" s="1"/>
  <c r="O33" i="11"/>
  <c r="BM33" i="11"/>
  <c r="BN33" i="11" s="1"/>
  <c r="BQ33" i="11" s="1"/>
  <c r="V33" i="11"/>
  <c r="W33" i="11" s="1"/>
  <c r="X33" i="11" s="1"/>
  <c r="J33" i="11"/>
  <c r="CB33" i="11" s="1"/>
  <c r="AI36" i="11"/>
  <c r="H36" i="11"/>
  <c r="I36" i="11" s="1"/>
  <c r="AP36" i="11"/>
  <c r="AQ36" i="11" s="1"/>
  <c r="AN36" i="11"/>
  <c r="AO36" i="11" s="1"/>
  <c r="AR36" i="11" s="1"/>
  <c r="J37" i="11"/>
  <c r="CB37" i="11" s="1"/>
  <c r="BM37" i="11"/>
  <c r="BN37" i="11" s="1"/>
  <c r="BO37" i="11"/>
  <c r="BP37" i="11" s="1"/>
  <c r="V37" i="11"/>
  <c r="W37" i="11" s="1"/>
  <c r="X37" i="11" s="1"/>
  <c r="O37" i="11"/>
  <c r="AI40" i="11"/>
  <c r="H40" i="11"/>
  <c r="I40" i="11" s="1"/>
  <c r="AP40" i="11"/>
  <c r="AQ40" i="11" s="1"/>
  <c r="AN40" i="11"/>
  <c r="AO40" i="11" s="1"/>
  <c r="AR40" i="11" s="1"/>
  <c r="H23" i="11"/>
  <c r="I23" i="11" s="1"/>
  <c r="AN23" i="11"/>
  <c r="AO23" i="11" s="1"/>
  <c r="AR23" i="11" s="1"/>
  <c r="AI23" i="11"/>
  <c r="AP23" i="11"/>
  <c r="AQ23" i="11" s="1"/>
  <c r="BQ22" i="2"/>
  <c r="BR22" i="11"/>
  <c r="AX29" i="2"/>
  <c r="V7" i="12" s="1"/>
  <c r="AW29" i="11"/>
  <c r="AX33" i="2"/>
  <c r="V11" i="12" s="1"/>
  <c r="AW33" i="11"/>
  <c r="AX23" i="2"/>
  <c r="AW23" i="11"/>
  <c r="BQ24" i="2"/>
  <c r="BR24" i="11"/>
  <c r="AX27" i="2"/>
  <c r="V5" i="12" s="1"/>
  <c r="AW27" i="11"/>
  <c r="BQ28" i="2"/>
  <c r="AH6" i="12" s="1"/>
  <c r="BR28" i="11"/>
  <c r="AX31" i="2"/>
  <c r="V9" i="12" s="1"/>
  <c r="AW31" i="11"/>
  <c r="BQ32" i="2"/>
  <c r="AH10" i="12" s="1"/>
  <c r="BR32" i="11"/>
  <c r="AX35" i="2"/>
  <c r="V13" i="12" s="1"/>
  <c r="AW35" i="11"/>
  <c r="BQ36" i="2"/>
  <c r="AH14" i="12" s="1"/>
  <c r="BR36" i="11"/>
  <c r="AX39" i="2"/>
  <c r="V17" i="12" s="1"/>
  <c r="AW39" i="11"/>
  <c r="BQ40" i="2"/>
  <c r="AH18" i="12" s="1"/>
  <c r="BR40" i="11"/>
  <c r="J24" i="11"/>
  <c r="CB24" i="11" s="1"/>
  <c r="V24" i="11"/>
  <c r="W24" i="11" s="1"/>
  <c r="X24" i="11" s="1"/>
  <c r="BO24" i="11"/>
  <c r="BP24" i="11" s="1"/>
  <c r="BM24" i="11"/>
  <c r="BN24" i="11" s="1"/>
  <c r="O24" i="11"/>
  <c r="AI35" i="11"/>
  <c r="AN35" i="11"/>
  <c r="AO35" i="11" s="1"/>
  <c r="H35" i="11"/>
  <c r="I35" i="11" s="1"/>
  <c r="AP35" i="11"/>
  <c r="AQ35" i="11" s="1"/>
  <c r="BO40" i="11"/>
  <c r="BP40" i="11" s="1"/>
  <c r="O40" i="11"/>
  <c r="BM40" i="11"/>
  <c r="BN40" i="11" s="1"/>
  <c r="V40" i="11"/>
  <c r="W40" i="11" s="1"/>
  <c r="X40" i="11" s="1"/>
  <c r="J40" i="11"/>
  <c r="CB40" i="11" s="1"/>
  <c r="V32" i="11"/>
  <c r="W32" i="11" s="1"/>
  <c r="X32" i="11" s="1"/>
  <c r="BO32" i="11"/>
  <c r="BP32" i="11" s="1"/>
  <c r="J32" i="11"/>
  <c r="CB32" i="11" s="1"/>
  <c r="BM32" i="11"/>
  <c r="BN32" i="11" s="1"/>
  <c r="BQ32" i="11" s="1"/>
  <c r="O32" i="11"/>
  <c r="AI39" i="11"/>
  <c r="AP39" i="11"/>
  <c r="AQ39" i="11" s="1"/>
  <c r="AN39" i="11"/>
  <c r="AO39" i="11" s="1"/>
  <c r="H39" i="11"/>
  <c r="I39" i="11" s="1"/>
  <c r="AX22" i="2"/>
  <c r="AW22" i="11"/>
  <c r="BQ23" i="2"/>
  <c r="BR23" i="11"/>
  <c r="AX26" i="2"/>
  <c r="V4" i="12" s="1"/>
  <c r="AW26" i="11"/>
  <c r="BQ27" i="2"/>
  <c r="AH5" i="12" s="1"/>
  <c r="BR27" i="11"/>
  <c r="AX30" i="2"/>
  <c r="V8" i="12" s="1"/>
  <c r="AW30" i="11"/>
  <c r="BQ31" i="2"/>
  <c r="AH9" i="12" s="1"/>
  <c r="BR31" i="11"/>
  <c r="AX34" i="2"/>
  <c r="V12" i="12" s="1"/>
  <c r="AW34" i="11"/>
  <c r="BQ35" i="2"/>
  <c r="AH13" i="12" s="1"/>
  <c r="BR35" i="11"/>
  <c r="AX38" i="2"/>
  <c r="V16" i="12" s="1"/>
  <c r="AW38" i="11"/>
  <c r="BQ39" i="2"/>
  <c r="AH17" i="12" s="1"/>
  <c r="BR39" i="11"/>
  <c r="D20" i="1"/>
  <c r="Z40" i="1"/>
  <c r="AD40" i="1" s="1"/>
  <c r="D7" i="1"/>
  <c r="D9" i="1"/>
  <c r="D21" i="1"/>
  <c r="Z31" i="1"/>
  <c r="AD31" i="1" s="1"/>
  <c r="Z50" i="1"/>
  <c r="AD50" i="1" s="1"/>
  <c r="D12" i="1"/>
  <c r="D17" i="1"/>
  <c r="D18" i="1"/>
  <c r="D34" i="1"/>
  <c r="Z35" i="1"/>
  <c r="AD35" i="1" s="1"/>
  <c r="D36" i="1"/>
  <c r="Z37" i="1"/>
  <c r="AD37" i="1" s="1"/>
  <c r="D42" i="1"/>
  <c r="D46" i="1"/>
  <c r="Z47" i="1"/>
  <c r="AD47" i="1" s="1"/>
  <c r="F24" i="2"/>
  <c r="AL9" i="1"/>
  <c r="AM9" i="1" s="1"/>
  <c r="F33" i="2"/>
  <c r="AJ33" i="2" s="1"/>
  <c r="AL18" i="1"/>
  <c r="AM18" i="1" s="1"/>
  <c r="F38" i="2"/>
  <c r="AL23" i="1"/>
  <c r="AM23" i="1" s="1"/>
  <c r="F22" i="2"/>
  <c r="AL7" i="1"/>
  <c r="AM7" i="1" s="1"/>
  <c r="F29" i="2"/>
  <c r="AJ29" i="2" s="1"/>
  <c r="AL14" i="1"/>
  <c r="AM14" i="1" s="1"/>
  <c r="F31" i="2"/>
  <c r="AJ31" i="2" s="1"/>
  <c r="AL16" i="1"/>
  <c r="AM16" i="1" s="1"/>
  <c r="AF31" i="1"/>
  <c r="F26" i="2"/>
  <c r="AJ26" i="2" s="1"/>
  <c r="AL11" i="1"/>
  <c r="AM11" i="1" s="1"/>
  <c r="Z17" i="1"/>
  <c r="AD17" i="1" s="1"/>
  <c r="F36" i="2"/>
  <c r="AL21" i="1"/>
  <c r="AM21" i="1" s="1"/>
  <c r="F23" i="2"/>
  <c r="AL8" i="1"/>
  <c r="AM8" i="1" s="1"/>
  <c r="F28" i="2"/>
  <c r="AL13" i="1"/>
  <c r="AM13" i="1" s="1"/>
  <c r="D13" i="1"/>
  <c r="F30" i="2"/>
  <c r="AJ30" i="2" s="1"/>
  <c r="AL15" i="1"/>
  <c r="AM15" i="1" s="1"/>
  <c r="D16" i="1"/>
  <c r="F35" i="2"/>
  <c r="AL20" i="1"/>
  <c r="AM20" i="1" s="1"/>
  <c r="F40" i="2"/>
  <c r="AL25" i="1"/>
  <c r="AM25" i="1" s="1"/>
  <c r="Z34" i="1"/>
  <c r="AD34" i="1" s="1"/>
  <c r="Z43" i="1"/>
  <c r="AD43" i="1" s="1"/>
  <c r="AL43" i="1"/>
  <c r="AM43" i="1" s="1"/>
  <c r="D43" i="1"/>
  <c r="D48" i="1"/>
  <c r="Z49" i="1"/>
  <c r="AD49" i="1" s="1"/>
  <c r="F20" i="2"/>
  <c r="AQ20" i="2" s="1"/>
  <c r="AL5" i="1"/>
  <c r="AM5" i="1" s="1"/>
  <c r="D5" i="1"/>
  <c r="F25" i="2"/>
  <c r="AL10" i="1"/>
  <c r="AM10" i="1" s="1"/>
  <c r="F27" i="2"/>
  <c r="AJ27" i="2" s="1"/>
  <c r="AL12" i="1"/>
  <c r="AM12" i="1" s="1"/>
  <c r="F32" i="2"/>
  <c r="AJ32" i="2" s="1"/>
  <c r="AL17" i="1"/>
  <c r="AM17" i="1" s="1"/>
  <c r="F34" i="2"/>
  <c r="AJ34" i="2" s="1"/>
  <c r="AL19" i="1"/>
  <c r="AM19" i="1" s="1"/>
  <c r="F39" i="2"/>
  <c r="AL24" i="1"/>
  <c r="AM24" i="1" s="1"/>
  <c r="D32" i="1"/>
  <c r="Z33" i="1"/>
  <c r="AD33" i="1" s="1"/>
  <c r="D38" i="1"/>
  <c r="Z39" i="1"/>
  <c r="AD39" i="1" s="1"/>
  <c r="Z46" i="1"/>
  <c r="AD46" i="1" s="1"/>
  <c r="AF47" i="1"/>
  <c r="BQ7" i="2"/>
  <c r="Z6" i="1"/>
  <c r="AD6" i="1" s="1"/>
  <c r="N21" i="2"/>
  <c r="BN21" i="2" s="1"/>
  <c r="BO21" i="2" s="1"/>
  <c r="Z7" i="1"/>
  <c r="AD7" i="1" s="1"/>
  <c r="N22" i="2"/>
  <c r="BN22" i="2" s="1"/>
  <c r="BO22" i="2" s="1"/>
  <c r="AO24" i="2"/>
  <c r="AP24" i="2" s="1"/>
  <c r="Z10" i="1"/>
  <c r="AD10" i="1" s="1"/>
  <c r="N25" i="2"/>
  <c r="BN25" i="2" s="1"/>
  <c r="BO25" i="2" s="1"/>
  <c r="Z11" i="1"/>
  <c r="AD11" i="1" s="1"/>
  <c r="N26" i="2"/>
  <c r="Z16" i="1"/>
  <c r="AD16" i="1" s="1"/>
  <c r="N31" i="2"/>
  <c r="BN31" i="2" s="1"/>
  <c r="BO31" i="2" s="1"/>
  <c r="AE9" i="12" s="1"/>
  <c r="Z22" i="1"/>
  <c r="AN22" i="1" s="1"/>
  <c r="AO22" i="1" s="1"/>
  <c r="N37" i="2"/>
  <c r="BN37" i="2" s="1"/>
  <c r="BO37" i="2" s="1"/>
  <c r="AE15" i="12" s="1"/>
  <c r="D23" i="1"/>
  <c r="Z24" i="1"/>
  <c r="AD24" i="1" s="1"/>
  <c r="N39" i="2"/>
  <c r="BN39" i="2" s="1"/>
  <c r="BO39" i="2" s="1"/>
  <c r="AE17" i="12" s="1"/>
  <c r="D31" i="1"/>
  <c r="Z32" i="1"/>
  <c r="AD32" i="1" s="1"/>
  <c r="AF33" i="1"/>
  <c r="D35" i="1"/>
  <c r="D40" i="1"/>
  <c r="Z41" i="1"/>
  <c r="AD41" i="1" s="1"/>
  <c r="Z42" i="1"/>
  <c r="AD42" i="1" s="1"/>
  <c r="D44" i="1"/>
  <c r="Z45" i="1"/>
  <c r="AD45" i="1" s="1"/>
  <c r="D47" i="1"/>
  <c r="Z48" i="1"/>
  <c r="AD48" i="1" s="1"/>
  <c r="Z20" i="1"/>
  <c r="AF20" i="1" s="1"/>
  <c r="N35" i="2"/>
  <c r="BN35" i="2" s="1"/>
  <c r="BO35" i="2" s="1"/>
  <c r="AE13" i="12" s="1"/>
  <c r="Z25" i="1"/>
  <c r="AF25" i="1" s="1"/>
  <c r="N40" i="2"/>
  <c r="BN40" i="2" s="1"/>
  <c r="BO40" i="2" s="1"/>
  <c r="AE18" i="12" s="1"/>
  <c r="Z8" i="1"/>
  <c r="AF8" i="1" s="1"/>
  <c r="N23" i="2"/>
  <c r="BN23" i="2" s="1"/>
  <c r="BO23" i="2" s="1"/>
  <c r="Z9" i="1"/>
  <c r="AN9" i="1" s="1"/>
  <c r="AO9" i="1" s="1"/>
  <c r="N24" i="2"/>
  <c r="BN24" i="2" s="1"/>
  <c r="BO24" i="2" s="1"/>
  <c r="Z19" i="1"/>
  <c r="AF19" i="1" s="1"/>
  <c r="N34" i="2"/>
  <c r="BN34" i="2" s="1"/>
  <c r="BO34" i="2" s="1"/>
  <c r="AE12" i="12" s="1"/>
  <c r="F37" i="2"/>
  <c r="Z23" i="1"/>
  <c r="AN23" i="1" s="1"/>
  <c r="AO23" i="1" s="1"/>
  <c r="N38" i="2"/>
  <c r="BN38" i="2" s="1"/>
  <c r="BO38" i="2" s="1"/>
  <c r="AE16" i="12" s="1"/>
  <c r="D39" i="1"/>
  <c r="D50" i="1"/>
  <c r="Z14" i="1"/>
  <c r="AN14" i="1" s="1"/>
  <c r="AO14" i="1" s="1"/>
  <c r="N29" i="2"/>
  <c r="BN29" i="2" s="1"/>
  <c r="BO29" i="2" s="1"/>
  <c r="AE7" i="12" s="1"/>
  <c r="Z15" i="1"/>
  <c r="AN15" i="1" s="1"/>
  <c r="AO15" i="1" s="1"/>
  <c r="N30" i="2"/>
  <c r="BN30" i="2" s="1"/>
  <c r="BO30" i="2" s="1"/>
  <c r="AE8" i="12" s="1"/>
  <c r="N32" i="2"/>
  <c r="BN32" i="2" s="1"/>
  <c r="BO32" i="2" s="1"/>
  <c r="AE10" i="12" s="1"/>
  <c r="Z21" i="1"/>
  <c r="AD21" i="1" s="1"/>
  <c r="N36" i="2"/>
  <c r="BN36" i="2" s="1"/>
  <c r="BO36" i="2" s="1"/>
  <c r="AE14" i="12" s="1"/>
  <c r="Z5" i="1"/>
  <c r="AD5" i="1" s="1"/>
  <c r="N20" i="2"/>
  <c r="J20" i="2" s="1"/>
  <c r="D8" i="1"/>
  <c r="AO25" i="2"/>
  <c r="AP25" i="2" s="1"/>
  <c r="Z13" i="1"/>
  <c r="AD13" i="1" s="1"/>
  <c r="N28" i="2"/>
  <c r="BN28" i="2" s="1"/>
  <c r="BO28" i="2" s="1"/>
  <c r="AE6" i="12" s="1"/>
  <c r="F21" i="2"/>
  <c r="Z12" i="1"/>
  <c r="AN12" i="1" s="1"/>
  <c r="AO12" i="1" s="1"/>
  <c r="N27" i="2"/>
  <c r="BN27" i="2" s="1"/>
  <c r="BO27" i="2" s="1"/>
  <c r="AE5" i="12" s="1"/>
  <c r="AQ29" i="2"/>
  <c r="AR29" i="2" s="1"/>
  <c r="J7" i="12" s="1"/>
  <c r="AQ30" i="2"/>
  <c r="AR30" i="2" s="1"/>
  <c r="J8" i="12" s="1"/>
  <c r="Z18" i="1"/>
  <c r="AD18" i="1" s="1"/>
  <c r="N33" i="2"/>
  <c r="BN33" i="2" s="1"/>
  <c r="BO33" i="2" s="1"/>
  <c r="AE11" i="12" s="1"/>
  <c r="Z38" i="1"/>
  <c r="AD38" i="1" s="1"/>
  <c r="AF51" i="1"/>
  <c r="Q56" i="1"/>
  <c r="AF50" i="1"/>
  <c r="D14" i="1"/>
  <c r="D19" i="1"/>
  <c r="D33" i="1"/>
  <c r="D41" i="1"/>
  <c r="D49" i="1"/>
  <c r="D10" i="1"/>
  <c r="D15" i="1"/>
  <c r="AF40" i="1"/>
  <c r="D6" i="1"/>
  <c r="D11" i="1"/>
  <c r="D22" i="1"/>
  <c r="D24" i="1"/>
  <c r="Z36" i="1"/>
  <c r="AD36" i="1" s="1"/>
  <c r="D37" i="1"/>
  <c r="Z44" i="1"/>
  <c r="AD44" i="1" s="1"/>
  <c r="D45" i="1"/>
  <c r="AX7" i="2" l="1"/>
  <c r="BQ21" i="11"/>
  <c r="P28" i="11"/>
  <c r="Q28" i="11"/>
  <c r="BQ25" i="11"/>
  <c r="V21" i="11"/>
  <c r="W21" i="11" s="1"/>
  <c r="X21" i="11" s="1"/>
  <c r="BQ34" i="11"/>
  <c r="P30" i="11"/>
  <c r="Q30" i="11"/>
  <c r="AR34" i="11"/>
  <c r="P25" i="11"/>
  <c r="Q25" i="11"/>
  <c r="BQ38" i="11"/>
  <c r="AF43" i="1"/>
  <c r="AR35" i="11"/>
  <c r="P21" i="11"/>
  <c r="Q21" i="11"/>
  <c r="AR39" i="11"/>
  <c r="P37" i="11"/>
  <c r="Q37" i="11"/>
  <c r="AR28" i="11"/>
  <c r="P20" i="11"/>
  <c r="Q20" i="11"/>
  <c r="AW7" i="11"/>
  <c r="Q34" i="11"/>
  <c r="P34" i="11"/>
  <c r="Q26" i="11"/>
  <c r="P26" i="11"/>
  <c r="AR30" i="11"/>
  <c r="AR26" i="11"/>
  <c r="Q23" i="11"/>
  <c r="P23" i="11"/>
  <c r="Q24" i="11"/>
  <c r="P24" i="11"/>
  <c r="P38" i="11"/>
  <c r="Q38" i="11"/>
  <c r="AR27" i="11"/>
  <c r="Q39" i="11"/>
  <c r="P39" i="11"/>
  <c r="P35" i="11"/>
  <c r="Q35" i="11"/>
  <c r="BQ40" i="11"/>
  <c r="BQ24" i="11"/>
  <c r="BQ9" i="11" s="1"/>
  <c r="AR20" i="11"/>
  <c r="X20" i="11"/>
  <c r="S7" i="11"/>
  <c r="AI37" i="11"/>
  <c r="H37" i="11"/>
  <c r="I37" i="11" s="1"/>
  <c r="AP37" i="11"/>
  <c r="AQ37" i="11" s="1"/>
  <c r="AN37" i="11"/>
  <c r="AO37" i="11" s="1"/>
  <c r="AR37" i="11" s="1"/>
  <c r="AR33" i="11"/>
  <c r="AR22" i="11"/>
  <c r="AF37" i="1"/>
  <c r="Q32" i="11"/>
  <c r="P32" i="11"/>
  <c r="Q40" i="11"/>
  <c r="P40" i="11"/>
  <c r="BQ37" i="11"/>
  <c r="Q29" i="11"/>
  <c r="P29" i="11"/>
  <c r="P22" i="11"/>
  <c r="Q22" i="11"/>
  <c r="BQ35" i="11"/>
  <c r="P27" i="11"/>
  <c r="Q27" i="11"/>
  <c r="Q33" i="11"/>
  <c r="P33" i="11"/>
  <c r="BQ28" i="11"/>
  <c r="AN21" i="11"/>
  <c r="AO21" i="11" s="1"/>
  <c r="AI21" i="11"/>
  <c r="AP21" i="11"/>
  <c r="AQ21" i="11" s="1"/>
  <c r="AR21" i="11" s="1"/>
  <c r="H21" i="11"/>
  <c r="I21" i="11" s="1"/>
  <c r="BR7" i="11"/>
  <c r="P31" i="11"/>
  <c r="Q31" i="11"/>
  <c r="P36" i="11"/>
  <c r="Q36" i="11"/>
  <c r="AJ37" i="2"/>
  <c r="AQ37" i="2"/>
  <c r="AR37" i="2" s="1"/>
  <c r="J15" i="12" s="1"/>
  <c r="P26" i="2"/>
  <c r="Q26" i="2" s="1"/>
  <c r="BN26" i="2"/>
  <c r="BO26" i="2" s="1"/>
  <c r="AE4" i="12" s="1"/>
  <c r="AJ36" i="2"/>
  <c r="AQ36" i="2"/>
  <c r="AR36" i="2" s="1"/>
  <c r="AJ38" i="2"/>
  <c r="AQ38" i="2"/>
  <c r="AR38" i="2" s="1"/>
  <c r="J16" i="12" s="1"/>
  <c r="AJ24" i="2"/>
  <c r="AQ24" i="2"/>
  <c r="AR24" i="2" s="1"/>
  <c r="AS24" i="2" s="1"/>
  <c r="P20" i="2"/>
  <c r="Q20" i="2" s="1"/>
  <c r="BN20" i="2"/>
  <c r="BO20" i="2" s="1"/>
  <c r="AJ39" i="2"/>
  <c r="AQ39" i="2"/>
  <c r="AJ25" i="2"/>
  <c r="AQ25" i="2"/>
  <c r="AR25" i="2" s="1"/>
  <c r="AS25" i="2" s="1"/>
  <c r="AJ21" i="2"/>
  <c r="AQ21" i="2"/>
  <c r="AJ40" i="2"/>
  <c r="AQ40" i="2"/>
  <c r="AR40" i="2" s="1"/>
  <c r="J18" i="12" s="1"/>
  <c r="AJ35" i="2"/>
  <c r="AQ35" i="2"/>
  <c r="AJ23" i="2"/>
  <c r="AQ23" i="2"/>
  <c r="AR23" i="2" s="1"/>
  <c r="AJ22" i="2"/>
  <c r="AQ22" i="2"/>
  <c r="AR22" i="2" s="1"/>
  <c r="AO22" i="2"/>
  <c r="AP22" i="2" s="1"/>
  <c r="AO30" i="2"/>
  <c r="AP30" i="2" s="1"/>
  <c r="AD19" i="1"/>
  <c r="AD25" i="1"/>
  <c r="H40" i="2"/>
  <c r="I40" i="2" s="1"/>
  <c r="AO38" i="2"/>
  <c r="AP38" i="2" s="1"/>
  <c r="I16" i="12" s="1"/>
  <c r="AD23" i="1"/>
  <c r="AF23" i="1"/>
  <c r="AO40" i="2"/>
  <c r="AP40" i="2" s="1"/>
  <c r="I18" i="12" s="1"/>
  <c r="AF16" i="1"/>
  <c r="AO36" i="2"/>
  <c r="AP36" i="2" s="1"/>
  <c r="I14" i="12" s="1"/>
  <c r="H26" i="2"/>
  <c r="I26" i="2" s="1"/>
  <c r="AJ20" i="2"/>
  <c r="AO20" i="2"/>
  <c r="AP20" i="2" s="1"/>
  <c r="AD12" i="1"/>
  <c r="AQ27" i="2"/>
  <c r="AR27" i="2" s="1"/>
  <c r="J5" i="12" s="1"/>
  <c r="AJ28" i="2"/>
  <c r="AO28" i="2"/>
  <c r="AF12" i="1"/>
  <c r="AF9" i="1"/>
  <c r="H27" i="2"/>
  <c r="I27" i="2" s="1"/>
  <c r="AQ34" i="2"/>
  <c r="AR34" i="2" s="1"/>
  <c r="J12" i="12" s="1"/>
  <c r="H28" i="2"/>
  <c r="I28" i="2" s="1"/>
  <c r="H20" i="2"/>
  <c r="I20" i="2" s="1"/>
  <c r="AO27" i="2"/>
  <c r="AP27" i="2" s="1"/>
  <c r="I5" i="12" s="1"/>
  <c r="H34" i="2"/>
  <c r="I34" i="2" s="1"/>
  <c r="AN11" i="1"/>
  <c r="AO11" i="1" s="1"/>
  <c r="AF34" i="1"/>
  <c r="AN17" i="1"/>
  <c r="AO17" i="1" s="1"/>
  <c r="AO32" i="2"/>
  <c r="AP32" i="2" s="1"/>
  <c r="I10" i="12" s="1"/>
  <c r="AO26" i="2"/>
  <c r="AP26" i="2" s="1"/>
  <c r="I4" i="12" s="1"/>
  <c r="AF7" i="1"/>
  <c r="H22" i="2"/>
  <c r="I22" i="2" s="1"/>
  <c r="AQ33" i="2"/>
  <c r="AR33" i="2" s="1"/>
  <c r="J11" i="12" s="1"/>
  <c r="AF35" i="1"/>
  <c r="AR39" i="2"/>
  <c r="J17" i="12" s="1"/>
  <c r="H31" i="2"/>
  <c r="I31" i="2" s="1"/>
  <c r="AO33" i="2"/>
  <c r="AP33" i="2" s="1"/>
  <c r="I11" i="12" s="1"/>
  <c r="AN21" i="1"/>
  <c r="AO21" i="1" s="1"/>
  <c r="AN5" i="1"/>
  <c r="AO5" i="1" s="1"/>
  <c r="AF32" i="1"/>
  <c r="AF15" i="1"/>
  <c r="AO35" i="2"/>
  <c r="AP35" i="2" s="1"/>
  <c r="I13" i="12" s="1"/>
  <c r="AO39" i="2"/>
  <c r="AP39" i="2" s="1"/>
  <c r="I17" i="12" s="1"/>
  <c r="K17" i="12" s="1"/>
  <c r="AO23" i="2"/>
  <c r="AP23" i="2" s="1"/>
  <c r="AD15" i="1"/>
  <c r="AR35" i="2"/>
  <c r="J13" i="12" s="1"/>
  <c r="AQ26" i="2"/>
  <c r="AR26" i="2" s="1"/>
  <c r="J4" i="12" s="1"/>
  <c r="H33" i="2"/>
  <c r="I33" i="2" s="1"/>
  <c r="H24" i="2"/>
  <c r="I24" i="2" s="1"/>
  <c r="H23" i="2"/>
  <c r="I23" i="2" s="1"/>
  <c r="AR20" i="2"/>
  <c r="AN6" i="1"/>
  <c r="AO6" i="1" s="1"/>
  <c r="AN19" i="1"/>
  <c r="AO19" i="1" s="1"/>
  <c r="AN7" i="1"/>
  <c r="AO7" i="1" s="1"/>
  <c r="AD22" i="1"/>
  <c r="AF49" i="1"/>
  <c r="AN10" i="1"/>
  <c r="AO10" i="1" s="1"/>
  <c r="AF46" i="1"/>
  <c r="AF22" i="1"/>
  <c r="AO29" i="2"/>
  <c r="AP29" i="2" s="1"/>
  <c r="AD8" i="1"/>
  <c r="AD20" i="1"/>
  <c r="AN8" i="1"/>
  <c r="AO8" i="1" s="1"/>
  <c r="H36" i="2"/>
  <c r="I36" i="2" s="1"/>
  <c r="H35" i="2"/>
  <c r="I35" i="2" s="1"/>
  <c r="AQ32" i="2"/>
  <c r="AR32" i="2" s="1"/>
  <c r="J10" i="12" s="1"/>
  <c r="H30" i="2"/>
  <c r="I30" i="2" s="1"/>
  <c r="AO31" i="2"/>
  <c r="AP31" i="2" s="1"/>
  <c r="I9" i="12" s="1"/>
  <c r="AD9" i="1"/>
  <c r="H38" i="2"/>
  <c r="I38" i="2" s="1"/>
  <c r="AQ28" i="2"/>
  <c r="AR28" i="2" s="1"/>
  <c r="J6" i="12" s="1"/>
  <c r="AF39" i="1"/>
  <c r="AN16" i="1"/>
  <c r="AO16" i="1" s="1"/>
  <c r="AN24" i="1"/>
  <c r="AO24" i="1" s="1"/>
  <c r="AN25" i="1"/>
  <c r="AO25" i="1" s="1"/>
  <c r="AF48" i="1"/>
  <c r="AF6" i="1"/>
  <c r="H32" i="2"/>
  <c r="I32" i="2" s="1"/>
  <c r="H29" i="2"/>
  <c r="I29" i="2" s="1"/>
  <c r="H25" i="2"/>
  <c r="I25" i="2" s="1"/>
  <c r="H39" i="2"/>
  <c r="I39" i="2" s="1"/>
  <c r="AQ31" i="2"/>
  <c r="AR31" i="2" s="1"/>
  <c r="J9" i="12" s="1"/>
  <c r="AO34" i="2"/>
  <c r="AP34" i="2" s="1"/>
  <c r="I12" i="12" s="1"/>
  <c r="AP28" i="2"/>
  <c r="I6" i="12" s="1"/>
  <c r="AN18" i="1"/>
  <c r="AO18" i="1" s="1"/>
  <c r="AN20" i="1"/>
  <c r="AO20" i="1" s="1"/>
  <c r="AN13" i="1"/>
  <c r="AO13" i="1" s="1"/>
  <c r="AF44" i="1"/>
  <c r="AF18" i="1"/>
  <c r="H37" i="2"/>
  <c r="I37" i="2" s="1"/>
  <c r="AO37" i="2"/>
  <c r="AP37" i="2" s="1"/>
  <c r="I15" i="12" s="1"/>
  <c r="J24" i="2"/>
  <c r="O8" i="3"/>
  <c r="P24" i="2"/>
  <c r="W24" i="2"/>
  <c r="X24" i="2" s="1"/>
  <c r="Y24" i="2" s="1"/>
  <c r="BL24" i="2"/>
  <c r="BM24" i="2" s="1"/>
  <c r="AF45" i="1"/>
  <c r="J33" i="2"/>
  <c r="O17" i="3"/>
  <c r="W33" i="2"/>
  <c r="X33" i="2" s="1"/>
  <c r="Y33" i="2" s="1"/>
  <c r="BL33" i="2"/>
  <c r="BM33" i="2" s="1"/>
  <c r="AD11" i="12" s="1"/>
  <c r="AF11" i="12" s="1"/>
  <c r="P33" i="2"/>
  <c r="W20" i="2"/>
  <c r="X20" i="2" s="1"/>
  <c r="BL20" i="2"/>
  <c r="BM20" i="2" s="1"/>
  <c r="O4" i="3"/>
  <c r="J36" i="2"/>
  <c r="W36" i="2"/>
  <c r="X36" i="2" s="1"/>
  <c r="Y36" i="2" s="1"/>
  <c r="BL36" i="2"/>
  <c r="BM36" i="2" s="1"/>
  <c r="AD14" i="12" s="1"/>
  <c r="AF14" i="12" s="1"/>
  <c r="O20" i="3"/>
  <c r="P36" i="2"/>
  <c r="J32" i="2"/>
  <c r="W32" i="2"/>
  <c r="X32" i="2" s="1"/>
  <c r="Y32" i="2" s="1"/>
  <c r="BL32" i="2"/>
  <c r="BM32" i="2" s="1"/>
  <c r="AD10" i="12" s="1"/>
  <c r="AF10" i="12" s="1"/>
  <c r="O16" i="3"/>
  <c r="P32" i="2"/>
  <c r="J29" i="2"/>
  <c r="BL29" i="2"/>
  <c r="BM29" i="2" s="1"/>
  <c r="AD7" i="12" s="1"/>
  <c r="AF7" i="12" s="1"/>
  <c r="W29" i="2"/>
  <c r="X29" i="2" s="1"/>
  <c r="Y29" i="2" s="1"/>
  <c r="O13" i="3"/>
  <c r="P29" i="2"/>
  <c r="J40" i="2"/>
  <c r="P40" i="2"/>
  <c r="O24" i="3"/>
  <c r="BL40" i="2"/>
  <c r="BM40" i="2" s="1"/>
  <c r="AD18" i="12" s="1"/>
  <c r="AF18" i="12" s="1"/>
  <c r="W40" i="2"/>
  <c r="X40" i="2" s="1"/>
  <c r="Y40" i="2" s="1"/>
  <c r="J39" i="2"/>
  <c r="O23" i="3"/>
  <c r="P39" i="2"/>
  <c r="W39" i="2"/>
  <c r="X39" i="2" s="1"/>
  <c r="Y39" i="2" s="1"/>
  <c r="BL39" i="2"/>
  <c r="BM39" i="2" s="1"/>
  <c r="AF13" i="1"/>
  <c r="J25" i="2"/>
  <c r="P25" i="2"/>
  <c r="W25" i="2"/>
  <c r="X25" i="2" s="1"/>
  <c r="Y25" i="2" s="1"/>
  <c r="O9" i="3"/>
  <c r="BL25" i="2"/>
  <c r="BM25" i="2" s="1"/>
  <c r="AF5" i="1"/>
  <c r="J21" i="2"/>
  <c r="P21" i="2"/>
  <c r="BL21" i="2"/>
  <c r="BM21" i="2" s="1"/>
  <c r="W21" i="2"/>
  <c r="X21" i="2" s="1"/>
  <c r="Y21" i="2" s="1"/>
  <c r="O5" i="3"/>
  <c r="J27" i="2"/>
  <c r="O11" i="3"/>
  <c r="BL27" i="2"/>
  <c r="BM27" i="2" s="1"/>
  <c r="AD5" i="12" s="1"/>
  <c r="AF5" i="12" s="1"/>
  <c r="W27" i="2"/>
  <c r="X27" i="2" s="1"/>
  <c r="Y27" i="2" s="1"/>
  <c r="P27" i="2"/>
  <c r="H21" i="2"/>
  <c r="I21" i="2" s="1"/>
  <c r="AR21" i="2"/>
  <c r="AO21" i="2"/>
  <c r="AP21" i="2" s="1"/>
  <c r="J28" i="2"/>
  <c r="BL28" i="2"/>
  <c r="BM28" i="2" s="1"/>
  <c r="AD6" i="12" s="1"/>
  <c r="AF6" i="12" s="1"/>
  <c r="W28" i="2"/>
  <c r="X28" i="2" s="1"/>
  <c r="Y28" i="2" s="1"/>
  <c r="P28" i="2"/>
  <c r="O12" i="3"/>
  <c r="AD14" i="1"/>
  <c r="AF14" i="1"/>
  <c r="W38" i="2"/>
  <c r="X38" i="2" s="1"/>
  <c r="Y38" i="2" s="1"/>
  <c r="J38" i="2"/>
  <c r="P38" i="2"/>
  <c r="BL38" i="2"/>
  <c r="BM38" i="2" s="1"/>
  <c r="AD16" i="12" s="1"/>
  <c r="AF16" i="12" s="1"/>
  <c r="O22" i="3"/>
  <c r="W34" i="2"/>
  <c r="X34" i="2" s="1"/>
  <c r="Y34" i="2" s="1"/>
  <c r="J34" i="2"/>
  <c r="BL34" i="2"/>
  <c r="BM34" i="2" s="1"/>
  <c r="AD12" i="12" s="1"/>
  <c r="AF12" i="12" s="1"/>
  <c r="O18" i="3"/>
  <c r="P34" i="2"/>
  <c r="W22" i="2"/>
  <c r="X22" i="2" s="1"/>
  <c r="Y22" i="2" s="1"/>
  <c r="J22" i="2"/>
  <c r="P22" i="2"/>
  <c r="O6" i="3"/>
  <c r="BL22" i="2"/>
  <c r="BM22" i="2" s="1"/>
  <c r="AF10" i="1"/>
  <c r="AF21" i="1"/>
  <c r="AF38" i="1"/>
  <c r="AF17" i="1"/>
  <c r="W30" i="2"/>
  <c r="X30" i="2" s="1"/>
  <c r="Y30" i="2" s="1"/>
  <c r="J30" i="2"/>
  <c r="BL30" i="2"/>
  <c r="BM30" i="2" s="1"/>
  <c r="AD8" i="12" s="1"/>
  <c r="AF8" i="12" s="1"/>
  <c r="O14" i="3"/>
  <c r="P30" i="2"/>
  <c r="J23" i="2"/>
  <c r="BL23" i="2"/>
  <c r="BM23" i="2" s="1"/>
  <c r="O7" i="3"/>
  <c r="P23" i="2"/>
  <c r="W23" i="2"/>
  <c r="X23" i="2" s="1"/>
  <c r="Y23" i="2" s="1"/>
  <c r="J35" i="2"/>
  <c r="W35" i="2"/>
  <c r="X35" i="2" s="1"/>
  <c r="Y35" i="2" s="1"/>
  <c r="P35" i="2"/>
  <c r="BL35" i="2"/>
  <c r="BM35" i="2" s="1"/>
  <c r="AD13" i="12" s="1"/>
  <c r="AF13" i="12" s="1"/>
  <c r="O19" i="3"/>
  <c r="J37" i="2"/>
  <c r="W37" i="2"/>
  <c r="X37" i="2" s="1"/>
  <c r="Y37" i="2" s="1"/>
  <c r="P37" i="2"/>
  <c r="BL37" i="2"/>
  <c r="BM37" i="2" s="1"/>
  <c r="AD15" i="12" s="1"/>
  <c r="AF15" i="12" s="1"/>
  <c r="O21" i="3"/>
  <c r="J31" i="2"/>
  <c r="P31" i="2"/>
  <c r="W31" i="2"/>
  <c r="X31" i="2" s="1"/>
  <c r="Y31" i="2" s="1"/>
  <c r="BL31" i="2"/>
  <c r="BM31" i="2" s="1"/>
  <c r="AD9" i="12" s="1"/>
  <c r="AF9" i="12" s="1"/>
  <c r="O15" i="3"/>
  <c r="W26" i="2"/>
  <c r="X26" i="2" s="1"/>
  <c r="Y26" i="2" s="1"/>
  <c r="J26" i="2"/>
  <c r="BL26" i="2"/>
  <c r="BM26" i="2" s="1"/>
  <c r="AD4" i="12" s="1"/>
  <c r="O10" i="3"/>
  <c r="AF42" i="1"/>
  <c r="AF24" i="1"/>
  <c r="AF41" i="1"/>
  <c r="AF36" i="1"/>
  <c r="AF11" i="1"/>
  <c r="Q8" i="3"/>
  <c r="Q19" i="3"/>
  <c r="P17" i="3"/>
  <c r="P5" i="3"/>
  <c r="P20" i="3"/>
  <c r="Q16" i="3"/>
  <c r="Q22" i="3"/>
  <c r="P24" i="3"/>
  <c r="P18" i="3"/>
  <c r="P19" i="3"/>
  <c r="Q12" i="3"/>
  <c r="P12" i="3"/>
  <c r="P16" i="3"/>
  <c r="Q13" i="3"/>
  <c r="Q5" i="3"/>
  <c r="P7" i="3"/>
  <c r="Q21" i="3"/>
  <c r="P14" i="3"/>
  <c r="P9" i="3"/>
  <c r="Q11" i="3"/>
  <c r="P4" i="3"/>
  <c r="P13" i="3"/>
  <c r="Q4" i="3"/>
  <c r="Q20" i="3"/>
  <c r="Q17" i="3"/>
  <c r="Q15" i="3"/>
  <c r="P10" i="3"/>
  <c r="Q9" i="3"/>
  <c r="Q18" i="3"/>
  <c r="P6" i="3"/>
  <c r="Q23" i="3"/>
  <c r="Q24" i="3"/>
  <c r="Q10" i="3"/>
  <c r="P21" i="3"/>
  <c r="Q7" i="3"/>
  <c r="Q6" i="3"/>
  <c r="P11" i="3"/>
  <c r="P23" i="3"/>
  <c r="P15" i="3"/>
  <c r="P8" i="3"/>
  <c r="P22" i="3"/>
  <c r="Q14" i="3"/>
  <c r="R26" i="2" l="1"/>
  <c r="R20" i="2"/>
  <c r="K5" i="12"/>
  <c r="K18" i="12"/>
  <c r="K6" i="12"/>
  <c r="K16" i="12"/>
  <c r="K12" i="12"/>
  <c r="AS36" i="2"/>
  <c r="J14" i="12"/>
  <c r="K14" i="12" s="1"/>
  <c r="BP39" i="2"/>
  <c r="AD17" i="12"/>
  <c r="AF17" i="12" s="1"/>
  <c r="K9" i="12"/>
  <c r="AS29" i="2"/>
  <c r="I7" i="12"/>
  <c r="K7" i="12" s="1"/>
  <c r="K11" i="12"/>
  <c r="K10" i="12"/>
  <c r="AR9" i="11"/>
  <c r="K13" i="12"/>
  <c r="AS30" i="2"/>
  <c r="I8" i="12"/>
  <c r="K8" i="12" s="1"/>
  <c r="K15" i="12"/>
  <c r="AF4" i="12"/>
  <c r="K4" i="12"/>
  <c r="AS22" i="2"/>
  <c r="BP21" i="2"/>
  <c r="R35" i="2"/>
  <c r="Q35" i="2"/>
  <c r="R23" i="2"/>
  <c r="Q23" i="2"/>
  <c r="R27" i="2"/>
  <c r="Q27" i="2"/>
  <c r="R36" i="2"/>
  <c r="Q36" i="2"/>
  <c r="AS34" i="2"/>
  <c r="R37" i="2"/>
  <c r="Q37" i="2"/>
  <c r="R30" i="2"/>
  <c r="Q30" i="2"/>
  <c r="R34" i="2"/>
  <c r="Q34" i="2"/>
  <c r="R28" i="2"/>
  <c r="Q28" i="2"/>
  <c r="R25" i="2"/>
  <c r="Q25" i="2"/>
  <c r="R29" i="2"/>
  <c r="Q29" i="2"/>
  <c r="R31" i="2"/>
  <c r="Q31" i="2"/>
  <c r="R24" i="2"/>
  <c r="Q24" i="2"/>
  <c r="R22" i="2"/>
  <c r="Q22" i="2"/>
  <c r="R38" i="2"/>
  <c r="Q38" i="2"/>
  <c r="R21" i="2"/>
  <c r="Q21" i="2"/>
  <c r="R39" i="2"/>
  <c r="Q39" i="2"/>
  <c r="R40" i="2"/>
  <c r="Q40" i="2"/>
  <c r="R32" i="2"/>
  <c r="Q32" i="2"/>
  <c r="R33" i="2"/>
  <c r="Q33" i="2"/>
  <c r="AS38" i="2"/>
  <c r="AS20" i="2"/>
  <c r="AS40" i="2"/>
  <c r="AS27" i="2"/>
  <c r="AS31" i="2"/>
  <c r="CA23" i="2"/>
  <c r="CA25" i="2"/>
  <c r="CA24" i="2"/>
  <c r="AS26" i="2"/>
  <c r="AS23" i="2"/>
  <c r="AS32" i="2"/>
  <c r="CA22" i="2"/>
  <c r="CA21" i="2"/>
  <c r="AS35" i="2"/>
  <c r="AS39" i="2"/>
  <c r="AS28" i="2"/>
  <c r="AS33" i="2"/>
  <c r="R4" i="3"/>
  <c r="S4" i="3" s="1"/>
  <c r="T4" i="3" s="1"/>
  <c r="Y4" i="3" s="1"/>
  <c r="AG20" i="11" s="1"/>
  <c r="AS21" i="2"/>
  <c r="BP25" i="2"/>
  <c r="CA27" i="2"/>
  <c r="CA26" i="2"/>
  <c r="CA31" i="2"/>
  <c r="CA35" i="2"/>
  <c r="CA40" i="2"/>
  <c r="CA32" i="2"/>
  <c r="CA38" i="2"/>
  <c r="CA37" i="2"/>
  <c r="CA28" i="2"/>
  <c r="CA33" i="2"/>
  <c r="AS37" i="2"/>
  <c r="CA30" i="2"/>
  <c r="CA34" i="2"/>
  <c r="CA39" i="2"/>
  <c r="CA29" i="2"/>
  <c r="CA36" i="2"/>
  <c r="BP34" i="2"/>
  <c r="BP32" i="2"/>
  <c r="BP33" i="2"/>
  <c r="BP26" i="2"/>
  <c r="BP36" i="2"/>
  <c r="R10" i="3"/>
  <c r="S10" i="3" s="1"/>
  <c r="T10" i="3" s="1"/>
  <c r="Y10" i="3" s="1"/>
  <c r="AG26" i="11" s="1"/>
  <c r="R9" i="3"/>
  <c r="S9" i="3" s="1"/>
  <c r="T9" i="3" s="1"/>
  <c r="Y9" i="3" s="1"/>
  <c r="AG25" i="11" s="1"/>
  <c r="R7" i="3"/>
  <c r="S7" i="3" s="1"/>
  <c r="T7" i="3" s="1"/>
  <c r="Y7" i="3" s="1"/>
  <c r="AG23" i="11" s="1"/>
  <c r="R8" i="3"/>
  <c r="S8" i="3" s="1"/>
  <c r="T8" i="3" s="1"/>
  <c r="Y8" i="3" s="1"/>
  <c r="AG24" i="11" s="1"/>
  <c r="R6" i="3"/>
  <c r="S6" i="3" s="1"/>
  <c r="T6" i="3" s="1"/>
  <c r="Y6" i="3" s="1"/>
  <c r="AG22" i="11" s="1"/>
  <c r="R17" i="3"/>
  <c r="S17" i="3" s="1"/>
  <c r="T17" i="3" s="1"/>
  <c r="Y17" i="3" s="1"/>
  <c r="AG33" i="11" s="1"/>
  <c r="R20" i="3"/>
  <c r="S20" i="3" s="1"/>
  <c r="T20" i="3" s="1"/>
  <c r="Y20" i="3" s="1"/>
  <c r="AG36" i="11" s="1"/>
  <c r="R11" i="3"/>
  <c r="S11" i="3" s="1"/>
  <c r="T11" i="3" s="1"/>
  <c r="Y11" i="3" s="1"/>
  <c r="AG27" i="11" s="1"/>
  <c r="R23" i="3"/>
  <c r="S23" i="3" s="1"/>
  <c r="T23" i="3" s="1"/>
  <c r="Y23" i="3" s="1"/>
  <c r="AG39" i="11" s="1"/>
  <c r="R13" i="3"/>
  <c r="S13" i="3" s="1"/>
  <c r="T13" i="3" s="1"/>
  <c r="Y13" i="3" s="1"/>
  <c r="AG29" i="11" s="1"/>
  <c r="R18" i="3"/>
  <c r="S18" i="3" s="1"/>
  <c r="T18" i="3" s="1"/>
  <c r="Y18" i="3" s="1"/>
  <c r="AG34" i="11" s="1"/>
  <c r="R21" i="3"/>
  <c r="S21" i="3" s="1"/>
  <c r="T21" i="3" s="1"/>
  <c r="Y21" i="3" s="1"/>
  <c r="AG37" i="11" s="1"/>
  <c r="R5" i="3"/>
  <c r="S5" i="3" s="1"/>
  <c r="T5" i="3" s="1"/>
  <c r="Y5" i="3" s="1"/>
  <c r="AG21" i="11" s="1"/>
  <c r="R16" i="3"/>
  <c r="S16" i="3" s="1"/>
  <c r="T16" i="3" s="1"/>
  <c r="Y16" i="3" s="1"/>
  <c r="AG32" i="11" s="1"/>
  <c r="R14" i="3"/>
  <c r="S14" i="3" s="1"/>
  <c r="T14" i="3" s="1"/>
  <c r="Y14" i="3" s="1"/>
  <c r="AG30" i="11" s="1"/>
  <c r="R24" i="3"/>
  <c r="S24" i="3" s="1"/>
  <c r="T24" i="3" s="1"/>
  <c r="Y24" i="3" s="1"/>
  <c r="AG40" i="11" s="1"/>
  <c r="R22" i="3"/>
  <c r="S22" i="3" s="1"/>
  <c r="T22" i="3" s="1"/>
  <c r="Y22" i="3" s="1"/>
  <c r="AG38" i="11" s="1"/>
  <c r="R15" i="3"/>
  <c r="S15" i="3" s="1"/>
  <c r="T15" i="3" s="1"/>
  <c r="Y15" i="3" s="1"/>
  <c r="AG31" i="11" s="1"/>
  <c r="R19" i="3"/>
  <c r="S19" i="3" s="1"/>
  <c r="T19" i="3" s="1"/>
  <c r="Y19" i="3" s="1"/>
  <c r="AG35" i="11" s="1"/>
  <c r="R12" i="3"/>
  <c r="S12" i="3" s="1"/>
  <c r="T12" i="3" s="1"/>
  <c r="Y12" i="3" s="1"/>
  <c r="AG28" i="11" s="1"/>
  <c r="BP29" i="2"/>
  <c r="BP38" i="2"/>
  <c r="BP31" i="2"/>
  <c r="BP35" i="2"/>
  <c r="BP23" i="2"/>
  <c r="BP27" i="2"/>
  <c r="BP20" i="2"/>
  <c r="Y20" i="2"/>
  <c r="T7" i="2"/>
  <c r="BP24" i="2"/>
  <c r="BP37" i="2"/>
  <c r="BP30" i="2"/>
  <c r="BP22" i="2"/>
  <c r="BP28" i="2"/>
  <c r="BP40" i="2"/>
  <c r="BW28" i="11" l="1"/>
  <c r="BX28" i="11" s="1"/>
  <c r="BB28" i="11"/>
  <c r="BC28" i="11" s="1"/>
  <c r="BY28" i="11"/>
  <c r="BZ28" i="11" s="1"/>
  <c r="CA28" i="11" s="1"/>
  <c r="BB35" i="11"/>
  <c r="BC35" i="11" s="1"/>
  <c r="BW35" i="11"/>
  <c r="BX35" i="11" s="1"/>
  <c r="BY35" i="11"/>
  <c r="BZ35" i="11" s="1"/>
  <c r="CA35" i="11" s="1"/>
  <c r="BY31" i="11"/>
  <c r="BZ31" i="11" s="1"/>
  <c r="CA31" i="11" s="1"/>
  <c r="BB31" i="11"/>
  <c r="BC31" i="11" s="1"/>
  <c r="BW31" i="11"/>
  <c r="BX31" i="11" s="1"/>
  <c r="BW38" i="11"/>
  <c r="BX38" i="11" s="1"/>
  <c r="BY38" i="11"/>
  <c r="BZ38" i="11" s="1"/>
  <c r="CA38" i="11" s="1"/>
  <c r="BB38" i="11"/>
  <c r="BC38" i="11" s="1"/>
  <c r="BY40" i="11"/>
  <c r="BZ40" i="11" s="1"/>
  <c r="CA40" i="11" s="1"/>
  <c r="BW40" i="11"/>
  <c r="BX40" i="11" s="1"/>
  <c r="BB40" i="11"/>
  <c r="BC40" i="11" s="1"/>
  <c r="BW30" i="11"/>
  <c r="BX30" i="11" s="1"/>
  <c r="BB30" i="11"/>
  <c r="BC30" i="11" s="1"/>
  <c r="BY30" i="11"/>
  <c r="BZ30" i="11" s="1"/>
  <c r="CA30" i="11" s="1"/>
  <c r="BB32" i="11"/>
  <c r="BC32" i="11" s="1"/>
  <c r="BW32" i="11"/>
  <c r="BX32" i="11" s="1"/>
  <c r="BY32" i="11"/>
  <c r="BZ32" i="11" s="1"/>
  <c r="CA32" i="11" s="1"/>
  <c r="BW21" i="11"/>
  <c r="BX21" i="11" s="1"/>
  <c r="BB21" i="11"/>
  <c r="BC21" i="11" s="1"/>
  <c r="BY21" i="11"/>
  <c r="BZ21" i="11" s="1"/>
  <c r="CA21" i="11" s="1"/>
  <c r="BW37" i="11"/>
  <c r="BX37" i="11" s="1"/>
  <c r="BY37" i="11"/>
  <c r="BZ37" i="11" s="1"/>
  <c r="CA37" i="11" s="1"/>
  <c r="BB37" i="11"/>
  <c r="BC37" i="11" s="1"/>
  <c r="BW34" i="11"/>
  <c r="BX34" i="11" s="1"/>
  <c r="BB34" i="11"/>
  <c r="BC34" i="11" s="1"/>
  <c r="BY34" i="11"/>
  <c r="BZ34" i="11" s="1"/>
  <c r="CA34" i="11" s="1"/>
  <c r="BB29" i="11"/>
  <c r="BC29" i="11" s="1"/>
  <c r="BY29" i="11"/>
  <c r="BZ29" i="11" s="1"/>
  <c r="CA29" i="11" s="1"/>
  <c r="BW29" i="11"/>
  <c r="BX29" i="11" s="1"/>
  <c r="BB39" i="11"/>
  <c r="BC39" i="11" s="1"/>
  <c r="BY39" i="11"/>
  <c r="BZ39" i="11" s="1"/>
  <c r="CA39" i="11" s="1"/>
  <c r="BW39" i="11"/>
  <c r="BX39" i="11" s="1"/>
  <c r="BB27" i="11"/>
  <c r="BC27" i="11" s="1"/>
  <c r="BW27" i="11"/>
  <c r="BX27" i="11" s="1"/>
  <c r="BY27" i="11"/>
  <c r="BZ27" i="11" s="1"/>
  <c r="CA27" i="11" s="1"/>
  <c r="BY36" i="11"/>
  <c r="BZ36" i="11" s="1"/>
  <c r="CA36" i="11" s="1"/>
  <c r="BB36" i="11"/>
  <c r="BC36" i="11" s="1"/>
  <c r="BW36" i="11"/>
  <c r="BX36" i="11" s="1"/>
  <c r="BB33" i="11"/>
  <c r="BC33" i="11" s="1"/>
  <c r="BW33" i="11"/>
  <c r="BX33" i="11" s="1"/>
  <c r="BY33" i="11"/>
  <c r="BZ33" i="11" s="1"/>
  <c r="CA33" i="11" s="1"/>
  <c r="BY22" i="11"/>
  <c r="BZ22" i="11" s="1"/>
  <c r="CA22" i="11" s="1"/>
  <c r="BW22" i="11"/>
  <c r="BX22" i="11" s="1"/>
  <c r="BB22" i="11"/>
  <c r="BC22" i="11" s="1"/>
  <c r="BY24" i="11"/>
  <c r="BZ24" i="11" s="1"/>
  <c r="CA24" i="11" s="1"/>
  <c r="BW24" i="11"/>
  <c r="BX24" i="11" s="1"/>
  <c r="BB24" i="11"/>
  <c r="BC24" i="11" s="1"/>
  <c r="BB23" i="11"/>
  <c r="BC23" i="11" s="1"/>
  <c r="BW23" i="11"/>
  <c r="BX23" i="11" s="1"/>
  <c r="BY23" i="11"/>
  <c r="BZ23" i="11" s="1"/>
  <c r="CA23" i="11" s="1"/>
  <c r="BY25" i="11"/>
  <c r="BZ25" i="11" s="1"/>
  <c r="CA25" i="11" s="1"/>
  <c r="BB25" i="11"/>
  <c r="BC25" i="11" s="1"/>
  <c r="BW25" i="11"/>
  <c r="BX25" i="11" s="1"/>
  <c r="BB26" i="11"/>
  <c r="BC26" i="11" s="1"/>
  <c r="BW26" i="11"/>
  <c r="BX26" i="11" s="1"/>
  <c r="BY26" i="11"/>
  <c r="BZ26" i="11" s="1"/>
  <c r="CA26" i="11" s="1"/>
  <c r="BB20" i="11"/>
  <c r="BC20" i="11" s="1"/>
  <c r="BW20" i="11"/>
  <c r="BX20" i="11" s="1"/>
  <c r="BY20" i="11"/>
  <c r="BZ20" i="11" s="1"/>
  <c r="CA20" i="11" s="1"/>
  <c r="BP9" i="2"/>
  <c r="AS9" i="2"/>
  <c r="AH35" i="2"/>
  <c r="U13" i="12" s="1"/>
  <c r="AP13" i="12" s="1"/>
  <c r="U19" i="3"/>
  <c r="V19" i="3" s="1"/>
  <c r="W19" i="3" s="1"/>
  <c r="AH30" i="2"/>
  <c r="U8" i="12" s="1"/>
  <c r="AP8" i="12" s="1"/>
  <c r="U14" i="3"/>
  <c r="V14" i="3" s="1"/>
  <c r="W14" i="3" s="1"/>
  <c r="U18" i="3"/>
  <c r="V18" i="3" s="1"/>
  <c r="W18" i="3" s="1"/>
  <c r="AH34" i="2"/>
  <c r="U12" i="12" s="1"/>
  <c r="AP12" i="12" s="1"/>
  <c r="U20" i="3"/>
  <c r="V20" i="3" s="1"/>
  <c r="W20" i="3" s="1"/>
  <c r="AH36" i="2"/>
  <c r="U14" i="12" s="1"/>
  <c r="AP14" i="12" s="1"/>
  <c r="AH23" i="2"/>
  <c r="U7" i="3"/>
  <c r="V7" i="3" s="1"/>
  <c r="W7" i="3" s="1"/>
  <c r="U15" i="3"/>
  <c r="V15" i="3" s="1"/>
  <c r="W15" i="3" s="1"/>
  <c r="AH31" i="2"/>
  <c r="U9" i="12" s="1"/>
  <c r="AP9" i="12" s="1"/>
  <c r="AH32" i="2"/>
  <c r="U10" i="12" s="1"/>
  <c r="AP10" i="12" s="1"/>
  <c r="U16" i="3"/>
  <c r="V16" i="3" s="1"/>
  <c r="W16" i="3" s="1"/>
  <c r="U13" i="3"/>
  <c r="V13" i="3" s="1"/>
  <c r="W13" i="3" s="1"/>
  <c r="AH29" i="2"/>
  <c r="U7" i="12" s="1"/>
  <c r="AP7" i="12" s="1"/>
  <c r="U17" i="3"/>
  <c r="V17" i="3" s="1"/>
  <c r="W17" i="3" s="1"/>
  <c r="AH33" i="2"/>
  <c r="U11" i="12" s="1"/>
  <c r="AP11" i="12" s="1"/>
  <c r="AH25" i="2"/>
  <c r="U9" i="3"/>
  <c r="V9" i="3" s="1"/>
  <c r="W9" i="3" s="1"/>
  <c r="U22" i="3"/>
  <c r="V22" i="3" s="1"/>
  <c r="W22" i="3" s="1"/>
  <c r="AH38" i="2"/>
  <c r="U16" i="12" s="1"/>
  <c r="AP16" i="12" s="1"/>
  <c r="AH21" i="2"/>
  <c r="U5" i="3"/>
  <c r="V5" i="3" s="1"/>
  <c r="W5" i="3" s="1"/>
  <c r="AH39" i="2"/>
  <c r="U17" i="12" s="1"/>
  <c r="AP17" i="12" s="1"/>
  <c r="U23" i="3"/>
  <c r="V23" i="3" s="1"/>
  <c r="W23" i="3" s="1"/>
  <c r="U6" i="3"/>
  <c r="V6" i="3" s="1"/>
  <c r="W6" i="3" s="1"/>
  <c r="AH22" i="2"/>
  <c r="AH26" i="2"/>
  <c r="U10" i="3"/>
  <c r="V10" i="3" s="1"/>
  <c r="W10" i="3" s="1"/>
  <c r="AH28" i="2"/>
  <c r="U6" i="12" s="1"/>
  <c r="AP6" i="12" s="1"/>
  <c r="U12" i="3"/>
  <c r="V12" i="3" s="1"/>
  <c r="W12" i="3" s="1"/>
  <c r="U24" i="3"/>
  <c r="V24" i="3" s="1"/>
  <c r="W24" i="3" s="1"/>
  <c r="AH40" i="2"/>
  <c r="U18" i="12" s="1"/>
  <c r="AP18" i="12" s="1"/>
  <c r="AH37" i="2"/>
  <c r="U15" i="12" s="1"/>
  <c r="AP15" i="12" s="1"/>
  <c r="U21" i="3"/>
  <c r="V21" i="3" s="1"/>
  <c r="W21" i="3" s="1"/>
  <c r="U11" i="3"/>
  <c r="V11" i="3" s="1"/>
  <c r="W11" i="3" s="1"/>
  <c r="AH27" i="2"/>
  <c r="U5" i="12" s="1"/>
  <c r="AP5" i="12" s="1"/>
  <c r="U8" i="3"/>
  <c r="V8" i="3" s="1"/>
  <c r="W8" i="3" s="1"/>
  <c r="AH24" i="2"/>
  <c r="AH20" i="2"/>
  <c r="BV20" i="2" s="1"/>
  <c r="U4" i="3"/>
  <c r="V4" i="3" s="1"/>
  <c r="W4" i="3" s="1"/>
  <c r="AQ5" i="12" l="1"/>
  <c r="AR5" i="12"/>
  <c r="AS5" i="12" s="1"/>
  <c r="AQ15" i="12"/>
  <c r="AR15" i="12"/>
  <c r="AS15" i="12" s="1"/>
  <c r="AQ18" i="12"/>
  <c r="AR18" i="12"/>
  <c r="AS18" i="12" s="1"/>
  <c r="AR6" i="12"/>
  <c r="AS6" i="12" s="1"/>
  <c r="AQ6" i="12"/>
  <c r="BV26" i="2"/>
  <c r="U4" i="12"/>
  <c r="AP4" i="12" s="1"/>
  <c r="AQ17" i="12"/>
  <c r="AR17" i="12"/>
  <c r="AS17" i="12" s="1"/>
  <c r="AQ16" i="12"/>
  <c r="AR16" i="12"/>
  <c r="AS16" i="12" s="1"/>
  <c r="AQ11" i="12"/>
  <c r="AR11" i="12"/>
  <c r="AS11" i="12" s="1"/>
  <c r="AQ7" i="12"/>
  <c r="AR7" i="12"/>
  <c r="AS7" i="12" s="1"/>
  <c r="AR10" i="12"/>
  <c r="AS10" i="12" s="1"/>
  <c r="AQ10" i="12"/>
  <c r="AQ9" i="12"/>
  <c r="AR9" i="12"/>
  <c r="AS9" i="12" s="1"/>
  <c r="AQ14" i="12"/>
  <c r="AR14" i="12"/>
  <c r="AS14" i="12" s="1"/>
  <c r="AR12" i="12"/>
  <c r="AS12" i="12" s="1"/>
  <c r="AQ12" i="12"/>
  <c r="AR8" i="12"/>
  <c r="AS8" i="12" s="1"/>
  <c r="AQ8" i="12"/>
  <c r="AQ13" i="12"/>
  <c r="AR13" i="12"/>
  <c r="AS13" i="12" s="1"/>
  <c r="CE20" i="11"/>
  <c r="CG20" i="11" s="1"/>
  <c r="CC20" i="11"/>
  <c r="CE26" i="11"/>
  <c r="CG26" i="11" s="1"/>
  <c r="CC26" i="11"/>
  <c r="CE25" i="11"/>
  <c r="CG25" i="11" s="1"/>
  <c r="CC25" i="11"/>
  <c r="CE23" i="11"/>
  <c r="CG23" i="11" s="1"/>
  <c r="CC23" i="11"/>
  <c r="CE24" i="11"/>
  <c r="CG24" i="11" s="1"/>
  <c r="CC24" i="11"/>
  <c r="CE22" i="11"/>
  <c r="CG22" i="11" s="1"/>
  <c r="CC22" i="11"/>
  <c r="CE33" i="11"/>
  <c r="CG33" i="11" s="1"/>
  <c r="CC33" i="11"/>
  <c r="CE36" i="11"/>
  <c r="CG36" i="11" s="1"/>
  <c r="CC36" i="11"/>
  <c r="CE27" i="11"/>
  <c r="CG27" i="11" s="1"/>
  <c r="CC27" i="11"/>
  <c r="CE39" i="11"/>
  <c r="CG39" i="11" s="1"/>
  <c r="CC39" i="11"/>
  <c r="CE29" i="11"/>
  <c r="CG29" i="11" s="1"/>
  <c r="CC29" i="11"/>
  <c r="CE34" i="11"/>
  <c r="CG34" i="11" s="1"/>
  <c r="CC34" i="11"/>
  <c r="CE37" i="11"/>
  <c r="CG37" i="11" s="1"/>
  <c r="CC37" i="11"/>
  <c r="CE21" i="11"/>
  <c r="CG21" i="11" s="1"/>
  <c r="CC21" i="11"/>
  <c r="CE32" i="11"/>
  <c r="CG32" i="11" s="1"/>
  <c r="CC32" i="11"/>
  <c r="CE30" i="11"/>
  <c r="CG30" i="11" s="1"/>
  <c r="CC30" i="11"/>
  <c r="CE40" i="11"/>
  <c r="CG40" i="11" s="1"/>
  <c r="CC40" i="11"/>
  <c r="CE38" i="11"/>
  <c r="CG38" i="11" s="1"/>
  <c r="CC38" i="11"/>
  <c r="CE31" i="11"/>
  <c r="CG31" i="11" s="1"/>
  <c r="CC31" i="11"/>
  <c r="CE35" i="11"/>
  <c r="CG35" i="11" s="1"/>
  <c r="CC35" i="11"/>
  <c r="CE28" i="11"/>
  <c r="CG28" i="11" s="1"/>
  <c r="CC28" i="11"/>
  <c r="BW20" i="2"/>
  <c r="BX20" i="2"/>
  <c r="BV29" i="2"/>
  <c r="BW29" i="2" s="1"/>
  <c r="BX29" i="2"/>
  <c r="BV36" i="2"/>
  <c r="BW36" i="2" s="1"/>
  <c r="BX36" i="2"/>
  <c r="BV37" i="2"/>
  <c r="BW37" i="2" s="1"/>
  <c r="BX37" i="2"/>
  <c r="BX28" i="2"/>
  <c r="BV28" i="2"/>
  <c r="BW28" i="2" s="1"/>
  <c r="BV21" i="2"/>
  <c r="BW21" i="2" s="1"/>
  <c r="BX21" i="2"/>
  <c r="BY21" i="2" s="1"/>
  <c r="BZ21" i="2" s="1"/>
  <c r="CD21" i="2" s="1"/>
  <c r="CF21" i="2" s="1"/>
  <c r="BV25" i="2"/>
  <c r="BW25" i="2" s="1"/>
  <c r="BX25" i="2"/>
  <c r="BY25" i="2" s="1"/>
  <c r="BZ25" i="2" s="1"/>
  <c r="CD25" i="2" s="1"/>
  <c r="CF25" i="2" s="1"/>
  <c r="BV30" i="2"/>
  <c r="BW30" i="2" s="1"/>
  <c r="BX30" i="2"/>
  <c r="BX31" i="2"/>
  <c r="BV31" i="2"/>
  <c r="BW31" i="2" s="1"/>
  <c r="BV40" i="2"/>
  <c r="BW40" i="2" s="1"/>
  <c r="BX40" i="2"/>
  <c r="BX38" i="2"/>
  <c r="BV38" i="2"/>
  <c r="BW38" i="2" s="1"/>
  <c r="BV34" i="2"/>
  <c r="BW34" i="2" s="1"/>
  <c r="BX34" i="2"/>
  <c r="BV24" i="2"/>
  <c r="BW24" i="2" s="1"/>
  <c r="BX24" i="2"/>
  <c r="BY24" i="2" s="1"/>
  <c r="BZ24" i="2" s="1"/>
  <c r="CD24" i="2" s="1"/>
  <c r="CF24" i="2" s="1"/>
  <c r="BX22" i="2"/>
  <c r="BY22" i="2" s="1"/>
  <c r="BZ22" i="2" s="1"/>
  <c r="CD22" i="2" s="1"/>
  <c r="CF22" i="2" s="1"/>
  <c r="BV22" i="2"/>
  <c r="BW22" i="2" s="1"/>
  <c r="X4" i="3"/>
  <c r="X5" i="3"/>
  <c r="BX27" i="2"/>
  <c r="BV27" i="2"/>
  <c r="BW27" i="2" s="1"/>
  <c r="BX33" i="2"/>
  <c r="BV33" i="2"/>
  <c r="BW33" i="2" s="1"/>
  <c r="BY20" i="2"/>
  <c r="BZ20" i="2" s="1"/>
  <c r="BX26" i="2"/>
  <c r="BW26" i="2"/>
  <c r="BX39" i="2"/>
  <c r="BV39" i="2"/>
  <c r="BW39" i="2" s="1"/>
  <c r="BV32" i="2"/>
  <c r="BW32" i="2" s="1"/>
  <c r="BX32" i="2"/>
  <c r="BX23" i="2"/>
  <c r="BY23" i="2" s="1"/>
  <c r="BZ23" i="2" s="1"/>
  <c r="CD23" i="2" s="1"/>
  <c r="CF23" i="2" s="1"/>
  <c r="BV23" i="2"/>
  <c r="BW23" i="2" s="1"/>
  <c r="BV35" i="2"/>
  <c r="BW35" i="2" s="1"/>
  <c r="BX35" i="2"/>
  <c r="BY40" i="2" l="1"/>
  <c r="BZ40" i="2" s="1"/>
  <c r="AK18" i="12"/>
  <c r="BY34" i="2"/>
  <c r="BZ34" i="2" s="1"/>
  <c r="AK12" i="12"/>
  <c r="BY30" i="2"/>
  <c r="BZ30" i="2" s="1"/>
  <c r="AK8" i="12"/>
  <c r="BY37" i="2"/>
  <c r="BZ37" i="2" s="1"/>
  <c r="AL15" i="12" s="1"/>
  <c r="AK15" i="12"/>
  <c r="BY27" i="2"/>
  <c r="BZ27" i="2" s="1"/>
  <c r="AK5" i="12"/>
  <c r="BY36" i="2"/>
  <c r="BZ36" i="2" s="1"/>
  <c r="AK14" i="12"/>
  <c r="BY39" i="2"/>
  <c r="BZ39" i="2" s="1"/>
  <c r="CB39" i="2" s="1"/>
  <c r="AK17" i="12"/>
  <c r="BY35" i="2"/>
  <c r="BZ35" i="2" s="1"/>
  <c r="AK13" i="12"/>
  <c r="BY38" i="2"/>
  <c r="BZ38" i="2" s="1"/>
  <c r="AK16" i="12"/>
  <c r="BY26" i="2"/>
  <c r="BZ26" i="2" s="1"/>
  <c r="AK4" i="12"/>
  <c r="BY29" i="2"/>
  <c r="BZ29" i="2" s="1"/>
  <c r="AK7" i="12"/>
  <c r="BY32" i="2"/>
  <c r="BZ32" i="2" s="1"/>
  <c r="AK10" i="12"/>
  <c r="BY33" i="2"/>
  <c r="BZ33" i="2" s="1"/>
  <c r="AK11" i="12"/>
  <c r="BY31" i="2"/>
  <c r="BZ31" i="2" s="1"/>
  <c r="AK9" i="12"/>
  <c r="BY28" i="2"/>
  <c r="BZ28" i="2" s="1"/>
  <c r="CB28" i="2" s="1"/>
  <c r="AK6" i="12"/>
  <c r="AQ4" i="12"/>
  <c r="AR4" i="12"/>
  <c r="AS4" i="12" s="1"/>
  <c r="CD20" i="2"/>
  <c r="CF20" i="2" s="1"/>
  <c r="CD37" i="2"/>
  <c r="CF37" i="2" s="1"/>
  <c r="AH11" i="6"/>
  <c r="AI11" i="6" s="1"/>
  <c r="CB24" i="2"/>
  <c r="AH12" i="6"/>
  <c r="AI12" i="6" s="1"/>
  <c r="CB25" i="2"/>
  <c r="AH22" i="6"/>
  <c r="AI22" i="6" s="1"/>
  <c r="CB35" i="2"/>
  <c r="AH13" i="6"/>
  <c r="AI13" i="6" s="1"/>
  <c r="CB26" i="2"/>
  <c r="AH20" i="6"/>
  <c r="AI20" i="6" s="1"/>
  <c r="AH25" i="6"/>
  <c r="AI25" i="6" s="1"/>
  <c r="AH21" i="6"/>
  <c r="AI21" i="6" s="1"/>
  <c r="AH27" i="6"/>
  <c r="AI27" i="6" s="1"/>
  <c r="AH8" i="6"/>
  <c r="AI8" i="6" s="1"/>
  <c r="CB21" i="2"/>
  <c r="AH24" i="6"/>
  <c r="AI24" i="6" s="1"/>
  <c r="AH19" i="6"/>
  <c r="AI19" i="6" s="1"/>
  <c r="CB32" i="2"/>
  <c r="AH7" i="6"/>
  <c r="AI7" i="6" s="1"/>
  <c r="CB20" i="2"/>
  <c r="AH10" i="6"/>
  <c r="AI10" i="6" s="1"/>
  <c r="CB23" i="2"/>
  <c r="AH14" i="6"/>
  <c r="AI14" i="6" s="1"/>
  <c r="CB27" i="2"/>
  <c r="AH9" i="6"/>
  <c r="AI9" i="6" s="1"/>
  <c r="CB22" i="2"/>
  <c r="CD29" i="2" l="1"/>
  <c r="CF29" i="2" s="1"/>
  <c r="AL7" i="12"/>
  <c r="CD30" i="2"/>
  <c r="CF30" i="2" s="1"/>
  <c r="AL8" i="12"/>
  <c r="CD31" i="2"/>
  <c r="CF31" i="2" s="1"/>
  <c r="AL9" i="12"/>
  <c r="CD36" i="2"/>
  <c r="CF36" i="2" s="1"/>
  <c r="AL14" i="12"/>
  <c r="AH17" i="6"/>
  <c r="AI17" i="6" s="1"/>
  <c r="AH18" i="6"/>
  <c r="AI18" i="6" s="1"/>
  <c r="CD33" i="2"/>
  <c r="CF33" i="2" s="1"/>
  <c r="AL11" i="12"/>
  <c r="CD38" i="2"/>
  <c r="CF38" i="2" s="1"/>
  <c r="AL16" i="12"/>
  <c r="CD27" i="2"/>
  <c r="CF27" i="2" s="1"/>
  <c r="AL5" i="12"/>
  <c r="CD40" i="2"/>
  <c r="CF40" i="2" s="1"/>
  <c r="AL18" i="12"/>
  <c r="CB29" i="2"/>
  <c r="CB40" i="2"/>
  <c r="CB38" i="2"/>
  <c r="CB36" i="2"/>
  <c r="CD28" i="2"/>
  <c r="CF28" i="2" s="1"/>
  <c r="AL6" i="12"/>
  <c r="CD39" i="2"/>
  <c r="CF39" i="2" s="1"/>
  <c r="AL17" i="12"/>
  <c r="AH15" i="6"/>
  <c r="AI15" i="6" s="1"/>
  <c r="CD26" i="2"/>
  <c r="CF26" i="2" s="1"/>
  <c r="AL4" i="12"/>
  <c r="CD34" i="2"/>
  <c r="CF34" i="2" s="1"/>
  <c r="AL12" i="12"/>
  <c r="CB30" i="2"/>
  <c r="CB31" i="2"/>
  <c r="AH26" i="6"/>
  <c r="AI26" i="6" s="1"/>
  <c r="AH16" i="6"/>
  <c r="AI16" i="6" s="1"/>
  <c r="AH23" i="6"/>
  <c r="AI23" i="6" s="1"/>
  <c r="CD32" i="2"/>
  <c r="CF32" i="2" s="1"/>
  <c r="AL10" i="12"/>
  <c r="CD35" i="2"/>
  <c r="CF35" i="2" s="1"/>
  <c r="AL13" i="12"/>
  <c r="CB37" i="2"/>
  <c r="CB34" i="2"/>
  <c r="CB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tc={1A4A34E1-24D7-4C39-889E-4D04DA060439}</author>
  </authors>
  <commentList>
    <comment ref="CF20" authorId="0" shapeId="0" xr:uid="{1A4A34E1-24D7-4C39-889E-4D04DA060439}">
      <text>
        <t>[Threaded comment]
Your version of Excel allows you to read this threaded comment; however, any edits to it will get removed if the file is opened in a newer version of Excel. Learn more: https://go.microsoft.com/fwlink/?linkid=870924
Comment:
    En values will be very small, because Uc is very large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tc={19C3238D-3E66-43EA-8C20-62FA84C80986}</author>
  </authors>
  <commentList>
    <comment ref="CG20" authorId="0" shapeId="0" xr:uid="{19C3238D-3E66-43EA-8C20-62FA84C80986}">
      <text>
        <t>[Threaded comment]
Your version of Excel allows you to read this threaded comment; however, any edits to it will get removed if the file is opened in a newer version of Excel. Learn more: https://go.microsoft.com/fwlink/?linkid=870924
Comment:
    En values will be very small, because Uc is very large</t>
      </text>
    </comment>
  </commentList>
</comments>
</file>

<file path=xl/sharedStrings.xml><?xml version="1.0" encoding="utf-8"?>
<sst xmlns="http://schemas.openxmlformats.org/spreadsheetml/2006/main" count="1093" uniqueCount="395">
  <si>
    <t>λ [Å]</t>
  </si>
  <si>
    <t>Steps</t>
  </si>
  <si>
    <t>Step 
interval</t>
  </si>
  <si>
    <t>Environmental conditions</t>
  </si>
  <si>
    <t>STD - ORW-005.RA</t>
  </si>
  <si>
    <t>UUT - PtSi</t>
  </si>
  <si>
    <t>STD responsivity 
[A/W]</t>
  </si>
  <si>
    <t>STD Uc
[%]</t>
  </si>
  <si>
    <t>UUT responsivity 
[A/W]</t>
  </si>
  <si>
    <t>PtSi cert response [A/W]</t>
  </si>
  <si>
    <t>PtSi cert Uc
[A/W]</t>
  </si>
  <si>
    <t>PtSi cert Uc
[%]</t>
  </si>
  <si>
    <t>Deviation between PtSi cal cert and now
[%]</t>
  </si>
  <si>
    <t>Combined Uc</t>
  </si>
  <si>
    <t>Remarks</t>
  </si>
  <si>
    <t>BMC for PtSi as STD, Xe source</t>
  </si>
  <si>
    <t>Gain:</t>
  </si>
  <si>
    <t>Temp</t>
  </si>
  <si>
    <t>Humidity</t>
  </si>
  <si>
    <t>Light</t>
  </si>
  <si>
    <t>Dark</t>
  </si>
  <si>
    <t>Average [V]</t>
  </si>
  <si>
    <t>Std Dev [V]</t>
  </si>
  <si>
    <t>Std Dev [%]</t>
  </si>
  <si>
    <t>Net [V]</t>
  </si>
  <si>
    <t>Filter no. 1: Blank
Xenon arc source</t>
  </si>
  <si>
    <t>S/N ratio</t>
  </si>
  <si>
    <t>Beam power [W]</t>
  </si>
  <si>
    <r>
      <t>Beam power [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W]</t>
    </r>
  </si>
  <si>
    <t>18/03/2019</t>
  </si>
  <si>
    <t xml:space="preserve"> </t>
  </si>
  <si>
    <t>Filter no. 1: Blank
LDLS</t>
  </si>
  <si>
    <t>% diff in signals</t>
  </si>
  <si>
    <t>y = 288.047x-855187</t>
  </si>
  <si>
    <t>Step calculator</t>
  </si>
  <si>
    <t>Wavelength [A]</t>
  </si>
  <si>
    <t>Step count</t>
  </si>
  <si>
    <t>Uncertainty contributions</t>
  </si>
  <si>
    <t>Calibration of spectral  power responsivity of STD detector</t>
  </si>
  <si>
    <t>Drift in STD, from paper</t>
  </si>
  <si>
    <t>Drift in STD</t>
  </si>
  <si>
    <t>Polarization, non-uniform beam profile and repeatability</t>
  </si>
  <si>
    <t>Beam divergence &amp; vignetting
divergence, negligible if 2,4°</t>
  </si>
  <si>
    <t>Spectral wavelength calibration</t>
  </si>
  <si>
    <t>Lamp stability / Drift during cal.</t>
  </si>
  <si>
    <t>Temperature dependence of STD</t>
  </si>
  <si>
    <t>DVM uncertainty</t>
  </si>
  <si>
    <t>Spatial uniformity of UUT</t>
  </si>
  <si>
    <t>Amplifier uncertainty
same gain setting used for STD &amp; UUT</t>
  </si>
  <si>
    <t>Scattered light (internal stray light)</t>
  </si>
  <si>
    <t>External stray light
(dark reading subtracted, use as indication of signal-noise ratio)</t>
  </si>
  <si>
    <t>Repeatability in STD</t>
  </si>
  <si>
    <t>Bandwidth effects on UUT</t>
  </si>
  <si>
    <t>Temperature dependence of UUT</t>
  </si>
  <si>
    <t>Repeatability in UUT</t>
  </si>
  <si>
    <t>CCPR-K2.c 2003</t>
  </si>
  <si>
    <t>Uncertainty</t>
  </si>
  <si>
    <t>Accuracy: ± (0,002 % of reading + 0,0006 % of range)</t>
  </si>
  <si>
    <t>Estimated U</t>
  </si>
  <si>
    <t>0,49 to 6,12 %</t>
  </si>
  <si>
    <t>0,3 nm</t>
  </si>
  <si>
    <t>See below</t>
  </si>
  <si>
    <t>Range [V]</t>
  </si>
  <si>
    <t>Uc [V]</t>
  </si>
  <si>
    <t>% of reading</t>
  </si>
  <si>
    <t>% of range</t>
  </si>
  <si>
    <t>Probability distr.</t>
  </si>
  <si>
    <t>Normal</t>
  </si>
  <si>
    <t>Rectangular</t>
  </si>
  <si>
    <t>normal</t>
  </si>
  <si>
    <t xml:space="preserve">k = </t>
  </si>
  <si>
    <t>Standard U</t>
  </si>
  <si>
    <t>Max std Uc [%]</t>
  </si>
  <si>
    <t>divisor</t>
  </si>
  <si>
    <t>Standard - Si: ORW-005.RA</t>
  </si>
  <si>
    <t>UUT - PtSi: ORW-523.RA</t>
  </si>
  <si>
    <t>Standard and Reference Equipment (Uncorrelated)</t>
  </si>
  <si>
    <t>UUT Uncertainty contributions</t>
  </si>
  <si>
    <t>Uncertainty and remarks</t>
  </si>
  <si>
    <t xml:space="preserve">Spectral power responsivity </t>
  </si>
  <si>
    <t xml:space="preserve">Temp coeff
interpolated
</t>
  </si>
  <si>
    <t>Corrected Spectral power responsivity</t>
  </si>
  <si>
    <t>Deviation</t>
  </si>
  <si>
    <t>Signal of STD 
(Light minus dark)</t>
  </si>
  <si>
    <t>Standard Deviation in signal 
(Light)</t>
  </si>
  <si>
    <t>S/N</t>
  </si>
  <si>
    <t xml:space="preserve">PtSi spectral power responsivity </t>
  </si>
  <si>
    <t>Spectral power responsivity calibration values from PTB of PtSi, corrected for deviation from calibration temperature
(25,2 °C), using temperature coefficient.
ΔT = 25,2-23,5</t>
  </si>
  <si>
    <t>Signal of UUT 
(Light minus dark)</t>
  </si>
  <si>
    <t>Absolute spectral power responsivity of the standard detector</t>
  </si>
  <si>
    <t>Inter-reflections between detector and output aperture of the monochromator</t>
  </si>
  <si>
    <t>Beam divergence &amp; vignetting
divergence &lt; 2,4°</t>
  </si>
  <si>
    <t>Linearity of STD</t>
  </si>
  <si>
    <t>Temperature coefficient of STD</t>
  </si>
  <si>
    <t>DVM uncertainty - STD</t>
  </si>
  <si>
    <t>Spatial uniformity of STD</t>
  </si>
  <si>
    <t>Amplifier uncertainty</t>
  </si>
  <si>
    <t>External stray light - STD</t>
  </si>
  <si>
    <t xml:space="preserve">Repeatability uncertainty contribution </t>
  </si>
  <si>
    <t>Resolution of STD</t>
  </si>
  <si>
    <t>Temperature coefficient of UUT</t>
  </si>
  <si>
    <t>Linearity of UUT</t>
  </si>
  <si>
    <t>DVM uncertainty - UUT</t>
  </si>
  <si>
    <t>Resolution of UUT</t>
  </si>
  <si>
    <t>Combined uncertainty standard contribution
BMC
(k = 1)</t>
  </si>
  <si>
    <t>Relative Expanded Uncertainty BMC 
(k = 2)</t>
  </si>
  <si>
    <t>Combined uncertainty contribution
UUT included
(k = 1)</t>
  </si>
  <si>
    <t>Expanded Uncertainty UUT included 
(k = 2)</t>
  </si>
  <si>
    <t xml:space="preserve">Deviation between PTB calibration &amp; NMISA calculated spectral power responsivity </t>
  </si>
  <si>
    <t>Verification statement</t>
  </si>
  <si>
    <t>CIE 202:2011 page 7</t>
  </si>
  <si>
    <t>% noise of signal, insignificant if less than 1/3 of uncertainty</t>
  </si>
  <si>
    <t>Spectral power responsivity Certificate Uncertainty
(k=2)</t>
  </si>
  <si>
    <t>Spectral power responsivity Certificate Uncertainty (k=1)</t>
  </si>
  <si>
    <t>Spectral power responsivity 
Certificate Uncertainty</t>
  </si>
  <si>
    <t>Spectral power responsivity certificate standard uncertainty</t>
  </si>
  <si>
    <t>Sensitivity
Coefficient</t>
  </si>
  <si>
    <t>Standard uncertainty contribution</t>
  </si>
  <si>
    <t>Drift in response
(per annum)</t>
  </si>
  <si>
    <t>Standard deviation of drift rate σ(λ) (Prediction contribution 
U p.a.)</t>
  </si>
  <si>
    <t>for k = 3,18</t>
  </si>
  <si>
    <t>Drift including drift rate, worst case. 
k = 1</t>
  </si>
  <si>
    <t>?</t>
  </si>
  <si>
    <t>Standard uncertainty</t>
  </si>
  <si>
    <t>Standard uncertainty contribution for accuracy</t>
  </si>
  <si>
    <t>Combined standard uncertainty contribution for DVM</t>
  </si>
  <si>
    <t>Internal stray light uncertainty  estimate</t>
  </si>
  <si>
    <t>External stray light uncertainty  estimate</t>
  </si>
  <si>
    <t>Resolution 
of STD</t>
  </si>
  <si>
    <t>Semi range of resolution of STD</t>
  </si>
  <si>
    <t xml:space="preserve">Resolution of STD standard uncertainty contribution </t>
  </si>
  <si>
    <t>Resolution 
of UUT</t>
  </si>
  <si>
    <t>Semi range of resolution of UUT</t>
  </si>
  <si>
    <t xml:space="preserve">Resolution of UUT standard uncertainty contribution </t>
  </si>
  <si>
    <t>Source/
reference</t>
  </si>
  <si>
    <t>NPL Certificate 2017060356</t>
  </si>
  <si>
    <t>Interpolated from CCPR-k2.b 2004 report</t>
  </si>
  <si>
    <t>ΔT = 2 °C</t>
  </si>
  <si>
    <t>Measured</t>
  </si>
  <si>
    <t>Calculated</t>
  </si>
  <si>
    <t>Kostkowski</t>
  </si>
  <si>
    <t>100 S/N ratio = 1 % Uc</t>
  </si>
  <si>
    <t>PTB Certificate 73328 18 PTB</t>
  </si>
  <si>
    <t>Kostkowski
page 276</t>
  </si>
  <si>
    <t>From paper: Predicting wavlength dependent responsivity-drift is silicon, Littler et al (NewRad proceedings)</t>
  </si>
  <si>
    <t>CCPR-K2.c 2003
worst case from participants Uaver p50</t>
  </si>
  <si>
    <t>PTB Uncertainty values</t>
  </si>
  <si>
    <t>Certificate OR\SR-5491 &amp; calculated</t>
  </si>
  <si>
    <t>CCPR-K2.c 2003, Si detector manufacturer specifications &amp; estimate</t>
  </si>
  <si>
    <t>Optical Radiometry book &amp; estimate</t>
  </si>
  <si>
    <t>k=2</t>
  </si>
  <si>
    <t>k=1</t>
  </si>
  <si>
    <t>k=1,732</t>
  </si>
  <si>
    <t>DVM certificate and accuracy specification</t>
  </si>
  <si>
    <t>Common factor for both STD &amp; UUT, therefore no contribution</t>
  </si>
  <si>
    <t>McPherson specification</t>
  </si>
  <si>
    <t>Calculated from dark reading of std</t>
  </si>
  <si>
    <t>Caclulated from measured data</t>
  </si>
  <si>
    <t>CCPR-K2.c, detector of same type</t>
  </si>
  <si>
    <t>rounded up</t>
  </si>
  <si>
    <t>Probability ditribution</t>
  </si>
  <si>
    <t>Gaussian</t>
  </si>
  <si>
    <r>
      <rPr>
        <b/>
        <sz val="8"/>
        <rFont val="Arial"/>
        <family val="2"/>
      </rPr>
      <t xml:space="preserve">Coverage factor, </t>
    </r>
    <r>
      <rPr>
        <b/>
        <i/>
        <sz val="8"/>
        <rFont val="Arial"/>
        <family val="2"/>
      </rPr>
      <t>k</t>
    </r>
  </si>
  <si>
    <r>
      <rPr>
        <i/>
        <sz val="8"/>
        <rFont val="Arial"/>
        <family val="2"/>
      </rPr>
      <t>k</t>
    </r>
    <r>
      <rPr>
        <sz val="8"/>
        <rFont val="Arial"/>
        <family val="2"/>
      </rPr>
      <t xml:space="preserve"> = 2</t>
    </r>
  </si>
  <si>
    <r>
      <rPr>
        <i/>
        <sz val="8"/>
        <rFont val="Arial"/>
        <family val="2"/>
      </rPr>
      <t>k</t>
    </r>
    <r>
      <rPr>
        <sz val="8"/>
        <rFont val="Arial"/>
        <family val="2"/>
      </rPr>
      <t xml:space="preserve"> = 1</t>
    </r>
  </si>
  <si>
    <r>
      <t>s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_ [A/W]</t>
    </r>
  </si>
  <si>
    <r>
      <t>V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_ [V]</t>
    </r>
  </si>
  <si>
    <t xml:space="preserve"> [V]</t>
  </si>
  <si>
    <t>rel Uc</t>
  </si>
  <si>
    <t>sUUT_ [A/W]</t>
  </si>
  <si>
    <t>[A/W]</t>
  </si>
  <si>
    <t xml:space="preserve"> [A/W]</t>
  </si>
  <si>
    <r>
      <t>V</t>
    </r>
    <r>
      <rPr>
        <b/>
        <vertAlign val="subscript"/>
        <sz val="8"/>
        <rFont val="Arial"/>
        <family val="2"/>
      </rPr>
      <t>UUT</t>
    </r>
    <r>
      <rPr>
        <b/>
        <sz val="8"/>
        <rFont val="Arial"/>
        <family val="2"/>
      </rPr>
      <t>_ [V]</t>
    </r>
  </si>
  <si>
    <r>
      <t>U</t>
    </r>
    <r>
      <rPr>
        <b/>
        <vertAlign val="subscript"/>
        <sz val="8"/>
        <rFont val="Arial"/>
        <family val="2"/>
      </rPr>
      <t>s</t>
    </r>
    <r>
      <rPr>
        <b/>
        <sz val="8"/>
        <rFont val="Arial"/>
        <family val="2"/>
      </rPr>
      <t xml:space="preserve"> [%]</t>
    </r>
  </si>
  <si>
    <t>[%]</t>
  </si>
  <si>
    <t>U(Drift) [%]</t>
  </si>
  <si>
    <t>U(Pol) [%]</t>
  </si>
  <si>
    <t>U(Refl) [%]</t>
  </si>
  <si>
    <t>U(BD&amp;V) [%]</t>
  </si>
  <si>
    <t>U(Lin) [%]</t>
  </si>
  <si>
    <t>Uc(λ) [%]</t>
  </si>
  <si>
    <t>Uc(S) [%]</t>
  </si>
  <si>
    <t>ΔT [°C]</t>
  </si>
  <si>
    <t>U(Td) [%]</t>
  </si>
  <si>
    <t>U(DVM_u) [%]</t>
  </si>
  <si>
    <t>U(DVM_acc) [%]</t>
  </si>
  <si>
    <t>U(DVM) [%]</t>
  </si>
  <si>
    <t>U(SU) [%]</t>
  </si>
  <si>
    <t>u(Amp) [%]</t>
  </si>
  <si>
    <t>U(SLi) [%]</t>
  </si>
  <si>
    <t>U(SLe) [%]</t>
  </si>
  <si>
    <r>
      <t>U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(esdm) [%]</t>
    </r>
  </si>
  <si>
    <t>[V]</t>
  </si>
  <si>
    <t>U(ResSTD) [%]</t>
  </si>
  <si>
    <t>U(bw) [%]</t>
  </si>
  <si>
    <t>[%/deg C]</t>
  </si>
  <si>
    <t>ΔT = 25,2-23,5 [°C]</t>
  </si>
  <si>
    <t>U(T) [%]</t>
  </si>
  <si>
    <t>U(ResUUT) [%]</t>
  </si>
  <si>
    <t>U [%]</t>
  </si>
  <si>
    <t>Wavelength [nm]</t>
  </si>
  <si>
    <t>[1/K]</t>
  </si>
  <si>
    <t>[1]</t>
  </si>
  <si>
    <r>
      <t>U(s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) [A/W]</t>
    </r>
  </si>
  <si>
    <r>
      <t>c_s</t>
    </r>
    <r>
      <rPr>
        <b/>
        <vertAlign val="subscript"/>
        <sz val="8"/>
        <rFont val="Arial"/>
        <family val="2"/>
      </rPr>
      <t>UUT</t>
    </r>
    <r>
      <rPr>
        <b/>
        <sz val="8"/>
        <rFont val="Arial"/>
        <family val="2"/>
      </rPr>
      <t>,s</t>
    </r>
    <r>
      <rPr>
        <b/>
        <vertAlign val="subscript"/>
        <sz val="8"/>
        <rFont val="Arial"/>
        <family val="2"/>
      </rPr>
      <t xml:space="preserve">STD </t>
    </r>
    <r>
      <rPr>
        <b/>
        <sz val="8"/>
        <rFont val="Arial"/>
        <family val="2"/>
      </rPr>
      <t>[1]</t>
    </r>
  </si>
  <si>
    <r>
      <t>Uc(s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) [A/W]</t>
    </r>
  </si>
  <si>
    <r>
      <t>Uc(s</t>
    </r>
    <r>
      <rPr>
        <b/>
        <vertAlign val="subscript"/>
        <sz val="8"/>
        <rFont val="Arial"/>
        <family val="2"/>
      </rPr>
      <t>STD</t>
    </r>
    <r>
      <rPr>
        <b/>
        <sz val="8"/>
        <rFont val="Arial"/>
        <family val="2"/>
      </rPr>
      <t>) [%]</t>
    </r>
  </si>
  <si>
    <t>U(Tc) [%]</t>
  </si>
  <si>
    <t>Resolution</t>
  </si>
  <si>
    <t>En</t>
  </si>
  <si>
    <t>This range is in noise level, will not use these values</t>
  </si>
  <si>
    <t>Ask for accreditation in this range</t>
  </si>
  <si>
    <t>with filter</t>
  </si>
  <si>
    <t xml:space="preserve">without filter </t>
  </si>
  <si>
    <t>CCPR-k2.b 2004 report</t>
  </si>
  <si>
    <r>
      <t xml:space="preserve">CCPR-k2.c 2003 report (@ 25 </t>
    </r>
    <r>
      <rPr>
        <sz val="11"/>
        <color theme="1"/>
        <rFont val="Calibri"/>
        <family val="2"/>
      </rPr>
      <t>°C)</t>
    </r>
  </si>
  <si>
    <t>Si Photodiode</t>
  </si>
  <si>
    <t>PtSi</t>
  </si>
  <si>
    <t>nm</t>
  </si>
  <si>
    <t>%/°C</t>
  </si>
  <si>
    <t>Wavelength
[nm]</t>
  </si>
  <si>
    <t>Calculated response [A/W]</t>
  </si>
  <si>
    <t>sensitivity coefficient</t>
  </si>
  <si>
    <r>
      <t>Δ</t>
    </r>
    <r>
      <rPr>
        <b/>
        <sz val="11"/>
        <color theme="1"/>
        <rFont val="Arial"/>
        <family val="2"/>
      </rPr>
      <t>λ</t>
    </r>
  </si>
  <si>
    <t>coverage factor, k</t>
  </si>
  <si>
    <t>Ucλ</t>
  </si>
  <si>
    <r>
      <t>(Ucλ)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</si>
  <si>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AVE</t>
  </si>
  <si>
    <t>(Ucλ)2</t>
  </si>
  <si>
    <t>worst case using ration of signals</t>
  </si>
  <si>
    <t>+0,3 nm</t>
  </si>
  <si>
    <t>-0,3 nm</t>
  </si>
  <si>
    <t>[1/nm]</t>
  </si>
  <si>
    <t>[nm]</t>
  </si>
  <si>
    <t>signals [V/V]</t>
  </si>
  <si>
    <r>
      <rPr>
        <b/>
        <sz val="11"/>
        <color theme="1"/>
        <rFont val="Arial"/>
        <family val="2"/>
      </rPr>
      <t>λ</t>
    </r>
    <r>
      <rPr>
        <b/>
        <vertAlign val="subscript"/>
        <sz val="11"/>
        <color theme="1"/>
        <rFont val="Calibri"/>
        <family val="2"/>
      </rPr>
      <t>0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</si>
  <si>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T0</t>
    </r>
  </si>
  <si>
    <r>
      <t>λ</t>
    </r>
    <r>
      <rPr>
        <b/>
        <vertAlign val="subscript"/>
        <sz val="11"/>
        <color theme="1"/>
        <rFont val="Arial"/>
        <family val="2"/>
      </rPr>
      <t>+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</si>
  <si>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T+</t>
    </r>
  </si>
  <si>
    <r>
      <rPr>
        <b/>
        <sz val="11"/>
        <color theme="1"/>
        <rFont val="Arial"/>
        <family val="2"/>
      </rPr>
      <t>λ</t>
    </r>
    <r>
      <rPr>
        <b/>
        <vertAlign val="subscript"/>
        <sz val="11"/>
        <color theme="1"/>
        <rFont val="Calibri"/>
        <family val="2"/>
      </rPr>
      <t>-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</si>
  <si>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T-</t>
    </r>
  </si>
  <si>
    <r>
      <t>δs</t>
    </r>
    <r>
      <rPr>
        <b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/δλ</t>
    </r>
  </si>
  <si>
    <t>Using response of UUT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</si>
  <si>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T0</t>
    </r>
    <r>
      <rPr>
        <b/>
        <sz val="11"/>
        <color theme="1"/>
        <rFont val="Calibri"/>
        <family val="2"/>
        <scheme val="minor"/>
      </rPr>
      <t>/I</t>
    </r>
    <r>
      <rPr>
        <b/>
        <vertAlign val="subscript"/>
        <sz val="11"/>
        <color theme="1"/>
        <rFont val="Calibri"/>
        <family val="2"/>
        <scheme val="minor"/>
      </rPr>
      <t>S0</t>
    </r>
  </si>
  <si>
    <r>
      <t>(I</t>
    </r>
    <r>
      <rPr>
        <b/>
        <vertAlign val="subscript"/>
        <sz val="11"/>
        <color theme="1"/>
        <rFont val="Calibri"/>
        <family val="2"/>
        <scheme val="minor"/>
      </rPr>
      <t>T0</t>
    </r>
    <r>
      <rPr>
        <b/>
        <sz val="11"/>
        <color theme="1"/>
        <rFont val="Calibri"/>
        <family val="2"/>
        <scheme val="minor"/>
      </rPr>
      <t>/I</t>
    </r>
    <r>
      <rPr>
        <b/>
        <vertAlign val="subscript"/>
        <sz val="11"/>
        <color theme="1"/>
        <rFont val="Calibri"/>
        <family val="2"/>
        <scheme val="minor"/>
      </rPr>
      <t>S0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+</t>
    </r>
  </si>
  <si>
    <r>
      <t>(I</t>
    </r>
    <r>
      <rPr>
        <b/>
        <vertAlign val="subscript"/>
        <sz val="11"/>
        <color theme="1"/>
        <rFont val="Calibri"/>
        <family val="2"/>
        <scheme val="minor"/>
      </rPr>
      <t>T0</t>
    </r>
    <r>
      <rPr>
        <b/>
        <sz val="11"/>
        <color theme="1"/>
        <rFont val="Calibri"/>
        <family val="2"/>
        <scheme val="minor"/>
      </rPr>
      <t>/I</t>
    </r>
    <r>
      <rPr>
        <b/>
        <vertAlign val="subscript"/>
        <sz val="11"/>
        <color theme="1"/>
        <rFont val="Calibri"/>
        <family val="2"/>
        <scheme val="minor"/>
      </rPr>
      <t>S0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-</t>
    </r>
  </si>
  <si>
    <r>
      <t>δ(I</t>
    </r>
    <r>
      <rPr>
        <b/>
        <vertAlign val="subscript"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>/I</t>
    </r>
    <r>
      <rPr>
        <b/>
        <vertAlign val="subscript"/>
        <sz val="11"/>
        <color theme="1"/>
        <rFont val="Arial"/>
        <family val="2"/>
      </rPr>
      <t>S</t>
    </r>
    <r>
      <rPr>
        <b/>
        <sz val="11"/>
        <color theme="1"/>
        <rFont val="Arial"/>
        <family val="2"/>
      </rPr>
      <t>)/δλ</t>
    </r>
  </si>
  <si>
    <t>using ratio of signals</t>
  </si>
  <si>
    <t>Max Uc [%]</t>
  </si>
  <si>
    <t>lamp stability (short-term)</t>
  </si>
  <si>
    <t>Xe source, Intensity controller with monitor detector, measured for 2 min with 1s interval.</t>
  </si>
  <si>
    <t>(Xenon source)</t>
  </si>
  <si>
    <t>average [V]</t>
  </si>
  <si>
    <t>std dev [V]</t>
  </si>
  <si>
    <t>min [V]</t>
  </si>
  <si>
    <t>max [V]</t>
  </si>
  <si>
    <t>std dev [%]</t>
  </si>
  <si>
    <t>dev between min &amp; max [%]</t>
  </si>
  <si>
    <t>lamp drift (long-term)</t>
  </si>
  <si>
    <t>Xe source, Intensity controller with monitor detector, measured for 1 hour with 5s interval.</t>
  </si>
  <si>
    <t>DVM Voltage</t>
  </si>
  <si>
    <t>ORE-556.RA</t>
  </si>
  <si>
    <t>10 V range</t>
  </si>
  <si>
    <t>measured value [V]</t>
  </si>
  <si>
    <t>DVM Uc on cert [V]</t>
  </si>
  <si>
    <t>Uc [%] k = 2</t>
  </si>
  <si>
    <t>Uc [%] k = 1</t>
  </si>
  <si>
    <t>Manufacturer's spec</t>
  </si>
  <si>
    <t>Accuracy</t>
  </si>
  <si>
    <t>± (0,002 % of reading + 0,0006 % of range)</t>
  </si>
  <si>
    <t>reading [V]</t>
  </si>
  <si>
    <t>range [V]</t>
  </si>
  <si>
    <t>10 ppm = 0,001 %</t>
  </si>
  <si>
    <t>Accuracy (24 h) [%]</t>
  </si>
  <si>
    <t>Divisor sqrt(3)</t>
  </si>
  <si>
    <t>Sqrt(sumsq) of Uc + Accuracy</t>
  </si>
  <si>
    <t>1 V range</t>
  </si>
  <si>
    <t>100 mV range</t>
  </si>
  <si>
    <t>Uc [%]</t>
  </si>
  <si>
    <r>
      <rPr>
        <b/>
        <i/>
        <sz val="11"/>
        <color theme="1"/>
        <rFont val="Calibri"/>
        <family val="2"/>
        <scheme val="minor"/>
      </rPr>
      <t>Predicting wavlength dependent responsivity-drift is silicon,</t>
    </r>
    <r>
      <rPr>
        <b/>
        <sz val="11"/>
        <color theme="1"/>
        <rFont val="Calibri"/>
        <family val="2"/>
        <scheme val="minor"/>
      </rPr>
      <t xml:space="preserve"> Littler et al (NewRad proceedings)</t>
    </r>
  </si>
  <si>
    <t>λ 
[nm]</t>
  </si>
  <si>
    <t>Drift in response
(per annum)
[%]</t>
  </si>
  <si>
    <r>
      <t xml:space="preserve">Std dev of drift rate
</t>
    </r>
    <r>
      <rPr>
        <b/>
        <sz val="11"/>
        <color theme="1"/>
        <rFont val="Calibri"/>
        <family val="2"/>
      </rPr>
      <t>σ(</t>
    </r>
    <r>
      <rPr>
        <b/>
        <sz val="11"/>
        <color theme="1"/>
        <rFont val="Arial"/>
        <family val="2"/>
      </rPr>
      <t>λ</t>
    </r>
    <r>
      <rPr>
        <b/>
        <sz val="11"/>
        <color theme="1"/>
        <rFont val="Calibri"/>
        <family val="2"/>
      </rPr>
      <t>)
(Prediction contribution U per annum)</t>
    </r>
    <r>
      <rPr>
        <b/>
        <sz val="11"/>
        <color theme="1"/>
        <rFont val="Calibri"/>
        <family val="2"/>
        <scheme val="minor"/>
      </rPr>
      <t xml:space="preserve">
[%]</t>
    </r>
  </si>
  <si>
    <t>+</t>
  </si>
  <si>
    <t>-</t>
  </si>
  <si>
    <t>Last calibration:
2 November 2018</t>
  </si>
  <si>
    <t>PtSi calibrated on 18 March 2019</t>
  </si>
  <si>
    <t>Time since last calibration: Max 6 month</t>
  </si>
  <si>
    <t>Calculated uncertainty for this calibration
[%]</t>
  </si>
  <si>
    <t>PtSi cert response, corrected for dev from cal temp [A/W]</t>
  </si>
  <si>
    <t>noise</t>
  </si>
  <si>
    <t>Beam power [uW]</t>
  </si>
  <si>
    <t>St</t>
  </si>
  <si>
    <t>Sd</t>
  </si>
  <si>
    <t>σ St</t>
  </si>
  <si>
    <t>σ Sd</t>
  </si>
  <si>
    <t>Xenon arc source</t>
  </si>
  <si>
    <t>LDLS</t>
  </si>
  <si>
    <t>% diff</t>
  </si>
  <si>
    <t>norm</t>
  </si>
  <si>
    <t>light</t>
  </si>
  <si>
    <t>dark</t>
  </si>
  <si>
    <t xml:space="preserve">LDLS </t>
  </si>
  <si>
    <t>Output signal with LDLS and shutter closed</t>
  </si>
  <si>
    <t>Output signal with Xenon-arc source and shutter closed</t>
  </si>
  <si>
    <t>Combined standard uncertainty contribution from the standard detector and reference equipment</t>
  </si>
  <si>
    <t>Wavelength</t>
  </si>
  <si>
    <t>Drift in the standard detector</t>
  </si>
  <si>
    <t>Polarization and non-uniform beam profile</t>
  </si>
  <si>
    <t>Beam divergence and vignetting</t>
  </si>
  <si>
    <t>Linearity of the standard detector</t>
  </si>
  <si>
    <t>Source stability</t>
  </si>
  <si>
    <t>Temperature coefficient of the standard detector</t>
  </si>
  <si>
    <t>Temperature dependence of the standard detector</t>
  </si>
  <si>
    <t>Effect of the multimeter on the standard detector's output signal</t>
  </si>
  <si>
    <t>Spatial uniformity of the standard detector</t>
  </si>
  <si>
    <t>Effect of the amplifier</t>
  </si>
  <si>
    <t>Internal stray light</t>
  </si>
  <si>
    <t>External stray light</t>
  </si>
  <si>
    <t>Repeatability of the standard detector</t>
  </si>
  <si>
    <t>Effect of resolution of the multimeter on the output signal of the standard detector</t>
  </si>
  <si>
    <r>
      <t>Combined standard uncertainty contribution
BMC
(</t>
    </r>
    <r>
      <rPr>
        <b/>
        <i/>
        <sz val="8"/>
        <rFont val="Arial"/>
        <family val="2"/>
      </rPr>
      <t>k</t>
    </r>
    <r>
      <rPr>
        <b/>
        <sz val="8"/>
        <rFont val="Arial"/>
        <family val="2"/>
      </rPr>
      <t xml:space="preserve"> = 1)</t>
    </r>
  </si>
  <si>
    <r>
      <t>Expanded relative uncertainty 
BMC 
(</t>
    </r>
    <r>
      <rPr>
        <b/>
        <i/>
        <sz val="8"/>
        <rFont val="Arial"/>
        <family val="2"/>
      </rPr>
      <t>k</t>
    </r>
    <r>
      <rPr>
        <b/>
        <sz val="8"/>
        <rFont val="Arial"/>
        <family val="2"/>
      </rPr>
      <t xml:space="preserve"> = 2)</t>
    </r>
  </si>
  <si>
    <r>
      <t>u</t>
    </r>
    <r>
      <rPr>
        <b/>
        <vertAlign val="subscript"/>
        <sz val="8"/>
        <rFont val="Arial"/>
        <family val="2"/>
      </rPr>
      <t>s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</si>
  <si>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Sd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</si>
  <si>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pnb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</si>
  <si>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Refl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</si>
  <si>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bdv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</si>
  <si>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Slin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</si>
  <si>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λ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</si>
  <si>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ss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</si>
  <si>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Stempd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</si>
  <si>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mc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</si>
  <si>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ma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</si>
  <si>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Sm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</si>
  <si>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Ssu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</si>
  <si>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a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</si>
  <si>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isl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</si>
  <si>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esl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</si>
  <si>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Sr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</si>
  <si>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Sres</t>
    </r>
    <r>
      <rPr>
        <b/>
        <sz val="8"/>
        <rFont val="Arial"/>
        <family val="2"/>
      </rPr>
      <t xml:space="preserve"> [%]</t>
    </r>
  </si>
  <si>
    <r>
      <t>U</t>
    </r>
    <r>
      <rPr>
        <b/>
        <vertAlign val="subscript"/>
        <sz val="8"/>
        <rFont val="Arial"/>
        <family val="2"/>
      </rPr>
      <t>BMC</t>
    </r>
    <r>
      <rPr>
        <b/>
        <sz val="8"/>
        <rFont val="Arial"/>
        <family val="2"/>
      </rPr>
      <t xml:space="preserve"> [%]</t>
    </r>
  </si>
  <si>
    <t>ΔT = 25,2-23,5 [°C]
[%/deg C]</t>
  </si>
  <si>
    <r>
      <t>u</t>
    </r>
    <r>
      <rPr>
        <b/>
        <vertAlign val="subscript"/>
        <sz val="8"/>
        <rFont val="Arial"/>
        <family val="2"/>
      </rPr>
      <t>Stempc</t>
    </r>
    <r>
      <rPr>
        <b/>
        <sz val="8"/>
        <rFont val="Arial"/>
        <family val="2"/>
      </rPr>
      <t xml:space="preserve"> [%]</t>
    </r>
  </si>
  <si>
    <r>
      <t>Combined standard uncertainty contribution,
BMC
(</t>
    </r>
    <r>
      <rPr>
        <b/>
        <i/>
        <sz val="8"/>
        <color theme="1"/>
        <rFont val="Arial"/>
        <family val="2"/>
      </rPr>
      <t>k</t>
    </r>
    <r>
      <rPr>
        <b/>
        <sz val="8"/>
        <color theme="1"/>
        <rFont val="Arial"/>
        <family val="2"/>
      </rPr>
      <t xml:space="preserve"> = 1)</t>
    </r>
  </si>
  <si>
    <r>
      <t>Expanded relative uncertainty,
BMC 
(</t>
    </r>
    <r>
      <rPr>
        <b/>
        <i/>
        <sz val="8"/>
        <color theme="1"/>
        <rFont val="Arial"/>
        <family val="2"/>
      </rPr>
      <t>k</t>
    </r>
    <r>
      <rPr>
        <b/>
        <sz val="8"/>
        <color theme="1"/>
        <rFont val="Arial"/>
        <family val="2"/>
      </rPr>
      <t xml:space="preserve"> = 2)</t>
    </r>
  </si>
  <si>
    <r>
      <t>Combined standard uncertainty contribution
including the test detector
(</t>
    </r>
    <r>
      <rPr>
        <b/>
        <i/>
        <sz val="8"/>
        <color theme="1"/>
        <rFont val="Arial"/>
        <family val="2"/>
      </rPr>
      <t>k</t>
    </r>
    <r>
      <rPr>
        <b/>
        <sz val="8"/>
        <color theme="1"/>
        <rFont val="Arial"/>
        <family val="2"/>
      </rPr>
      <t xml:space="preserve"> = 1)</t>
    </r>
  </si>
  <si>
    <r>
      <t>Expanded relative uncertainty 
including the test detector
(</t>
    </r>
    <r>
      <rPr>
        <b/>
        <i/>
        <sz val="8"/>
        <color theme="1"/>
        <rFont val="Arial"/>
        <family val="2"/>
      </rPr>
      <t>k</t>
    </r>
    <r>
      <rPr>
        <b/>
        <sz val="8"/>
        <color theme="1"/>
        <rFont val="Arial"/>
        <family val="2"/>
      </rPr>
      <t xml:space="preserve"> = 2)</t>
    </r>
  </si>
  <si>
    <r>
      <t>u</t>
    </r>
    <r>
      <rPr>
        <b/>
        <vertAlign val="subscript"/>
        <sz val="8"/>
        <color theme="1"/>
        <rFont val="Arial"/>
        <family val="2"/>
      </rPr>
      <t>s</t>
    </r>
  </si>
  <si>
    <r>
      <t>u</t>
    </r>
    <r>
      <rPr>
        <b/>
        <vertAlign val="subscript"/>
        <sz val="8"/>
        <color theme="1"/>
        <rFont val="Arial"/>
        <family val="2"/>
      </rPr>
      <t>Sd</t>
    </r>
  </si>
  <si>
    <r>
      <t>u</t>
    </r>
    <r>
      <rPr>
        <b/>
        <vertAlign val="subscript"/>
        <sz val="8"/>
        <color theme="1"/>
        <rFont val="Arial"/>
        <family val="2"/>
      </rPr>
      <t>pnb</t>
    </r>
  </si>
  <si>
    <r>
      <t>u</t>
    </r>
    <r>
      <rPr>
        <b/>
        <vertAlign val="subscript"/>
        <sz val="8"/>
        <color theme="1"/>
        <rFont val="Arial"/>
        <family val="2"/>
      </rPr>
      <t>bdv</t>
    </r>
  </si>
  <si>
    <r>
      <t>u</t>
    </r>
    <r>
      <rPr>
        <b/>
        <vertAlign val="subscript"/>
        <sz val="8"/>
        <color theme="1"/>
        <rFont val="Arial"/>
        <family val="2"/>
      </rPr>
      <t>Slin</t>
    </r>
  </si>
  <si>
    <r>
      <t>u</t>
    </r>
    <r>
      <rPr>
        <b/>
        <vertAlign val="subscript"/>
        <sz val="8"/>
        <color theme="1"/>
        <rFont val="Arial"/>
        <family val="2"/>
      </rPr>
      <t>λ</t>
    </r>
  </si>
  <si>
    <r>
      <t>u</t>
    </r>
    <r>
      <rPr>
        <b/>
        <vertAlign val="subscript"/>
        <sz val="8"/>
        <color theme="1"/>
        <rFont val="Arial"/>
        <family val="2"/>
      </rPr>
      <t>ss</t>
    </r>
  </si>
  <si>
    <r>
      <t>u</t>
    </r>
    <r>
      <rPr>
        <b/>
        <vertAlign val="subscript"/>
        <sz val="8"/>
        <rFont val="Arial"/>
        <family val="2"/>
      </rPr>
      <t>Stempc</t>
    </r>
  </si>
  <si>
    <r>
      <t>u</t>
    </r>
    <r>
      <rPr>
        <b/>
        <vertAlign val="subscript"/>
        <sz val="8"/>
        <color theme="1"/>
        <rFont val="Arial"/>
        <family val="2"/>
      </rPr>
      <t>Stempd</t>
    </r>
  </si>
  <si>
    <r>
      <t>u</t>
    </r>
    <r>
      <rPr>
        <b/>
        <vertAlign val="subscript"/>
        <sz val="8"/>
        <color theme="1"/>
        <rFont val="Arial"/>
        <family val="2"/>
      </rPr>
      <t>mc</t>
    </r>
  </si>
  <si>
    <r>
      <t>u</t>
    </r>
    <r>
      <rPr>
        <b/>
        <vertAlign val="subscript"/>
        <sz val="8"/>
        <color theme="1"/>
        <rFont val="Arial"/>
        <family val="2"/>
      </rPr>
      <t>ma</t>
    </r>
  </si>
  <si>
    <r>
      <t>u</t>
    </r>
    <r>
      <rPr>
        <b/>
        <vertAlign val="subscript"/>
        <sz val="8"/>
        <color theme="1"/>
        <rFont val="Arial"/>
        <family val="2"/>
      </rPr>
      <t>Sm</t>
    </r>
  </si>
  <si>
    <r>
      <t>u</t>
    </r>
    <r>
      <rPr>
        <b/>
        <vertAlign val="subscript"/>
        <sz val="8"/>
        <color theme="1"/>
        <rFont val="Arial"/>
        <family val="2"/>
      </rPr>
      <t>Ssu</t>
    </r>
  </si>
  <si>
    <r>
      <t>u</t>
    </r>
    <r>
      <rPr>
        <b/>
        <vertAlign val="subscript"/>
        <sz val="8"/>
        <color theme="1"/>
        <rFont val="Arial"/>
        <family val="2"/>
      </rPr>
      <t>a</t>
    </r>
  </si>
  <si>
    <r>
      <t>u</t>
    </r>
    <r>
      <rPr>
        <b/>
        <vertAlign val="subscript"/>
        <sz val="8"/>
        <color theme="1"/>
        <rFont val="Arial"/>
        <family val="2"/>
      </rPr>
      <t>isl</t>
    </r>
  </si>
  <si>
    <r>
      <t>u</t>
    </r>
    <r>
      <rPr>
        <b/>
        <vertAlign val="subscript"/>
        <sz val="8"/>
        <color theme="1"/>
        <rFont val="Arial"/>
        <family val="2"/>
      </rPr>
      <t>Sr</t>
    </r>
  </si>
  <si>
    <r>
      <t>u</t>
    </r>
    <r>
      <rPr>
        <b/>
        <vertAlign val="subscript"/>
        <sz val="8"/>
        <color theme="1"/>
        <rFont val="Arial"/>
        <family val="2"/>
      </rPr>
      <t>Sres</t>
    </r>
  </si>
  <si>
    <r>
      <t>U</t>
    </r>
    <r>
      <rPr>
        <b/>
        <vertAlign val="subscript"/>
        <sz val="8"/>
        <color theme="1"/>
        <rFont val="Arial"/>
        <family val="2"/>
      </rPr>
      <t>BMC</t>
    </r>
  </si>
  <si>
    <t>U</t>
  </si>
  <si>
    <t>Bandwidth effects on the test detector</t>
  </si>
  <si>
    <t>Spatial uniformity of the test detector</t>
  </si>
  <si>
    <t>Temperature coefficient of the test detector</t>
  </si>
  <si>
    <t>Temperature dependence of the test detector</t>
  </si>
  <si>
    <t>Linearity of the test detector</t>
  </si>
  <si>
    <t>Effect of the multimeter on the test detector's output signal</t>
  </si>
  <si>
    <t>Repeatability of the test detector</t>
  </si>
  <si>
    <t>Effect of resolution of the multimeter on the output signal of the test detector</t>
  </si>
  <si>
    <t>uTb</t>
  </si>
  <si>
    <r>
      <t>uT</t>
    </r>
    <r>
      <rPr>
        <b/>
        <vertAlign val="subscript"/>
        <sz val="8"/>
        <color theme="1"/>
        <rFont val="Arial"/>
        <family val="2"/>
      </rPr>
      <t>su</t>
    </r>
  </si>
  <si>
    <r>
      <t>uT</t>
    </r>
    <r>
      <rPr>
        <b/>
        <vertAlign val="subscript"/>
        <sz val="8"/>
        <rFont val="Arial"/>
        <family val="2"/>
      </rPr>
      <t>tempc</t>
    </r>
  </si>
  <si>
    <r>
      <t>uT</t>
    </r>
    <r>
      <rPr>
        <b/>
        <vertAlign val="subscript"/>
        <sz val="8"/>
        <color theme="1"/>
        <rFont val="Arial"/>
        <family val="2"/>
      </rPr>
      <t>tempd</t>
    </r>
  </si>
  <si>
    <r>
      <t>u</t>
    </r>
    <r>
      <rPr>
        <b/>
        <vertAlign val="subscript"/>
        <sz val="8"/>
        <color theme="1"/>
        <rFont val="Arial"/>
        <family val="2"/>
      </rPr>
      <t>Tlin</t>
    </r>
  </si>
  <si>
    <r>
      <t>uT</t>
    </r>
    <r>
      <rPr>
        <b/>
        <vertAlign val="subscript"/>
        <sz val="8"/>
        <color theme="1"/>
        <rFont val="Arial"/>
        <family val="2"/>
      </rPr>
      <t>mc</t>
    </r>
  </si>
  <si>
    <r>
      <t>uT</t>
    </r>
    <r>
      <rPr>
        <b/>
        <vertAlign val="subscript"/>
        <sz val="8"/>
        <color theme="1"/>
        <rFont val="Arial"/>
        <family val="2"/>
      </rPr>
      <t>ma</t>
    </r>
  </si>
  <si>
    <r>
      <t>u</t>
    </r>
    <r>
      <rPr>
        <b/>
        <vertAlign val="subscript"/>
        <sz val="8"/>
        <color theme="1"/>
        <rFont val="Arial"/>
        <family val="2"/>
      </rPr>
      <t>Tm</t>
    </r>
  </si>
  <si>
    <r>
      <t>u</t>
    </r>
    <r>
      <rPr>
        <b/>
        <vertAlign val="subscript"/>
        <sz val="8"/>
        <color theme="1"/>
        <rFont val="Arial"/>
        <family val="2"/>
      </rPr>
      <t>Tr</t>
    </r>
  </si>
  <si>
    <r>
      <t>u</t>
    </r>
    <r>
      <rPr>
        <b/>
        <vertAlign val="subscript"/>
        <sz val="8"/>
        <color theme="1"/>
        <rFont val="Arial"/>
        <family val="2"/>
      </rPr>
      <t>Tres</t>
    </r>
  </si>
  <si>
    <t>Si</t>
  </si>
  <si>
    <t>Polarisation and non-uniform beam profile</t>
  </si>
  <si>
    <r>
      <t>ur</t>
    </r>
    <r>
      <rPr>
        <b/>
        <vertAlign val="subscript"/>
        <sz val="8"/>
        <color theme="1"/>
        <rFont val="Arial"/>
        <family val="2"/>
      </rPr>
      <t>efl</t>
    </r>
  </si>
  <si>
    <t>Effect of external stray light on the standard detector</t>
  </si>
  <si>
    <r>
      <t>uS</t>
    </r>
    <r>
      <rPr>
        <b/>
        <vertAlign val="subscript"/>
        <sz val="8"/>
        <color theme="1"/>
        <rFont val="Arial"/>
        <family val="2"/>
      </rPr>
      <t>esl</t>
    </r>
  </si>
  <si>
    <t>Combined standard uncertainty</t>
  </si>
  <si>
    <t>Expanded Uncertainty UUT 
(k = 2)</t>
  </si>
  <si>
    <t>uc(y)</t>
  </si>
  <si>
    <t>Deviation
[%]</t>
  </si>
  <si>
    <t xml:space="preserve">Deviation between temp uncorr PTB calibration &amp; NMISA calculated spectral power responsivity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</si>
</sst>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0.000E+00"/>
    <numFmt numFmtId="166" formatCode="0.000"/>
    <numFmt numFmtId="167" formatCode="0.0000"/>
    <numFmt numFmtId="168" formatCode="0.00000"/>
    <numFmt numFmtId="169" formatCode="0.0000%"/>
    <numFmt numFmtId="170" formatCode="0.000000"/>
    <numFmt numFmtId="171" formatCode="0.00000000"/>
    <numFmt numFmtId="172" formatCode="0.000000E+00"/>
    <numFmt numFmtId="173" formatCode="0.0000E+00"/>
    <numFmt numFmtId="174" formatCode="0.000%"/>
    <numFmt numFmtId="175" formatCode="0.0000000"/>
  </numFmts>
  <fonts count="3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Palatino Linotype"/>
      <family val="1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9C57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3F3F76"/>
      <name val="Arial"/>
      <family val="2"/>
    </font>
    <font>
      <b/>
      <sz val="8"/>
      <color rgb="FFFA7D00"/>
      <name val="Arial"/>
      <family val="2"/>
    </font>
    <font>
      <b/>
      <vertAlign val="subscript"/>
      <sz val="8"/>
      <color theme="1"/>
      <name val="Arial"/>
      <family val="2"/>
    </font>
    <font>
      <b/>
      <vertAlign val="sub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b/>
      <sz val="11"/>
      <color rgb="FF9C0006"/>
      <name val="Calibri"/>
      <family val="2"/>
      <scheme val="minor"/>
    </font>
    <font>
      <sz val="8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39997558519241921"/>
        <bgColor indexed="65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medium">
        <color indexed="64"/>
      </right>
      <top/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9" fontId="8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55" applyNumberFormat="0" applyAlignment="0" applyProtection="0"/>
    <xf numFmtId="0" fontId="11" fillId="7" borderId="55" applyNumberFormat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</cellStyleXfs>
  <cellXfs count="984">
    <xf numFmtId="0" fontId="0" fillId="0" borderId="0" xfId="0"/>
    <xf numFmtId="166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6" fontId="3" fillId="0" borderId="10" xfId="0" applyNumberFormat="1" applyFont="1" applyBorder="1" applyAlignment="1">
      <alignment horizontal="center" vertical="center" wrapText="1"/>
    </xf>
    <xf numFmtId="165" fontId="3" fillId="0" borderId="21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1" fontId="3" fillId="0" borderId="23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167" fontId="0" fillId="0" borderId="29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11" fontId="0" fillId="0" borderId="30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7" fontId="0" fillId="0" borderId="26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8" fontId="0" fillId="0" borderId="25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68" fontId="0" fillId="0" borderId="26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167" fontId="0" fillId="0" borderId="39" xfId="0" applyNumberFormat="1" applyBorder="1" applyAlignment="1">
      <alignment horizontal="center" vertical="center"/>
    </xf>
    <xf numFmtId="11" fontId="0" fillId="0" borderId="32" xfId="0" applyNumberFormat="1" applyBorder="1" applyAlignment="1">
      <alignment horizontal="center" vertical="center"/>
    </xf>
    <xf numFmtId="11" fontId="0" fillId="0" borderId="39" xfId="0" applyNumberFormat="1" applyBorder="1" applyAlignment="1">
      <alignment horizontal="center" vertical="center"/>
    </xf>
    <xf numFmtId="11" fontId="0" fillId="0" borderId="40" xfId="0" applyNumberFormat="1" applyBorder="1" applyAlignment="1">
      <alignment horizontal="center" vertical="center"/>
    </xf>
    <xf numFmtId="165" fontId="0" fillId="0" borderId="41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3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168" fontId="0" fillId="0" borderId="33" xfId="0" applyNumberFormat="1" applyBorder="1" applyAlignment="1">
      <alignment horizontal="center" vertical="center"/>
    </xf>
    <xf numFmtId="167" fontId="5" fillId="0" borderId="39" xfId="2" applyNumberFormat="1" applyFont="1" applyFill="1" applyBorder="1" applyAlignment="1">
      <alignment horizontal="center" vertical="center"/>
    </xf>
    <xf numFmtId="11" fontId="5" fillId="0" borderId="32" xfId="2" applyNumberFormat="1" applyFont="1" applyFill="1" applyBorder="1" applyAlignment="1">
      <alignment horizontal="center" vertical="center"/>
    </xf>
    <xf numFmtId="11" fontId="5" fillId="0" borderId="39" xfId="2" applyNumberFormat="1" applyFont="1" applyFill="1" applyBorder="1" applyAlignment="1">
      <alignment horizontal="center" vertical="center"/>
    </xf>
    <xf numFmtId="167" fontId="5" fillId="0" borderId="32" xfId="2" applyNumberFormat="1" applyFont="1" applyFill="1" applyBorder="1" applyAlignment="1">
      <alignment horizontal="center" vertical="center"/>
    </xf>
    <xf numFmtId="2" fontId="5" fillId="0" borderId="32" xfId="2" applyNumberFormat="1" applyFont="1" applyFill="1" applyBorder="1" applyAlignment="1">
      <alignment horizontal="center" vertical="center"/>
    </xf>
    <xf numFmtId="2" fontId="1" fillId="2" borderId="34" xfId="1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" fontId="0" fillId="0" borderId="43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44" xfId="0" applyNumberFormat="1" applyBorder="1" applyAlignment="1">
      <alignment horizontal="center" vertical="center"/>
    </xf>
    <xf numFmtId="167" fontId="0" fillId="0" borderId="45" xfId="0" applyNumberFormat="1" applyBorder="1" applyAlignment="1">
      <alignment horizontal="center" vertical="center"/>
    </xf>
    <xf numFmtId="11" fontId="0" fillId="0" borderId="35" xfId="0" applyNumberFormat="1" applyBorder="1" applyAlignment="1">
      <alignment horizontal="center" vertical="center"/>
    </xf>
    <xf numFmtId="11" fontId="0" fillId="0" borderId="45" xfId="0" applyNumberFormat="1" applyBorder="1" applyAlignment="1">
      <alignment horizontal="center" vertical="center"/>
    </xf>
    <xf numFmtId="165" fontId="0" fillId="0" borderId="46" xfId="0" applyNumberFormat="1" applyBorder="1" applyAlignment="1">
      <alignment horizontal="center" vertical="center"/>
    </xf>
    <xf numFmtId="167" fontId="0" fillId="0" borderId="35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11" fontId="0" fillId="0" borderId="47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1" fontId="0" fillId="0" borderId="12" xfId="0" applyNumberForma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" fontId="0" fillId="0" borderId="49" xfId="0" applyNumberFormat="1" applyBorder="1" applyAlignment="1">
      <alignment horizontal="center" vertical="center"/>
    </xf>
    <xf numFmtId="1" fontId="0" fillId="0" borderId="50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52" xfId="0" applyNumberFormat="1" applyBorder="1" applyAlignment="1">
      <alignment horizontal="center" vertical="center"/>
    </xf>
    <xf numFmtId="167" fontId="0" fillId="0" borderId="22" xfId="0" applyNumberFormat="1" applyBorder="1" applyAlignment="1">
      <alignment horizontal="center" vertical="center"/>
    </xf>
    <xf numFmtId="11" fontId="0" fillId="0" borderId="48" xfId="0" applyNumberFormat="1" applyBorder="1" applyAlignment="1">
      <alignment horizontal="center" vertical="center"/>
    </xf>
    <xf numFmtId="11" fontId="0" fillId="0" borderId="22" xfId="0" applyNumberFormat="1" applyBorder="1" applyAlignment="1">
      <alignment horizontal="center" vertical="center"/>
    </xf>
    <xf numFmtId="11" fontId="0" fillId="0" borderId="5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7" fontId="0" fillId="0" borderId="48" xfId="0" applyNumberForma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167" fontId="0" fillId="0" borderId="49" xfId="0" applyNumberFormat="1" applyBorder="1" applyAlignment="1">
      <alignment horizontal="center" vertical="center"/>
    </xf>
    <xf numFmtId="168" fontId="0" fillId="0" borderId="17" xfId="0" applyNumberFormat="1" applyBorder="1" applyAlignment="1">
      <alignment horizontal="center" vertical="center"/>
    </xf>
    <xf numFmtId="168" fontId="0" fillId="0" borderId="54" xfId="0" applyNumberFormat="1" applyBorder="1" applyAlignment="1">
      <alignment horizontal="center" vertical="center"/>
    </xf>
    <xf numFmtId="2" fontId="0" fillId="0" borderId="49" xfId="0" applyNumberFormat="1" applyBorder="1" applyAlignment="1">
      <alignment horizontal="center" vertical="center"/>
    </xf>
    <xf numFmtId="2" fontId="0" fillId="0" borderId="50" xfId="0" applyNumberFormat="1" applyBorder="1" applyAlignment="1">
      <alignment horizontal="center" vertical="center"/>
    </xf>
    <xf numFmtId="168" fontId="0" fillId="0" borderId="49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2" fontId="1" fillId="2" borderId="15" xfId="1" applyNumberFormat="1" applyBorder="1" applyAlignment="1">
      <alignment horizontal="center" vertical="center"/>
    </xf>
    <xf numFmtId="168" fontId="0" fillId="0" borderId="16" xfId="0" applyNumberFormat="1" applyBorder="1" applyAlignment="1">
      <alignment horizontal="center" vertical="center"/>
    </xf>
    <xf numFmtId="2" fontId="5" fillId="0" borderId="33" xfId="1" applyNumberFormat="1" applyFont="1" applyFill="1" applyBorder="1" applyAlignment="1">
      <alignment horizontal="center" vertical="center"/>
    </xf>
    <xf numFmtId="2" fontId="5" fillId="0" borderId="34" xfId="1" applyNumberFormat="1" applyFont="1" applyFill="1" applyBorder="1" applyAlignment="1">
      <alignment horizontal="center" vertical="center"/>
    </xf>
    <xf numFmtId="2" fontId="5" fillId="0" borderId="34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168" fontId="0" fillId="0" borderId="23" xfId="0" applyNumberFormat="1" applyBorder="1" applyAlignment="1">
      <alignment horizontal="center" vertical="center"/>
    </xf>
    <xf numFmtId="165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1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72" fontId="0" fillId="0" borderId="0" xfId="0" applyNumberForma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0" fontId="5" fillId="0" borderId="55" xfId="5" applyFont="1" applyFill="1" applyAlignment="1">
      <alignment horizontal="center" vertical="center"/>
    </xf>
    <xf numFmtId="167" fontId="5" fillId="0" borderId="55" xfId="5" applyNumberFormat="1" applyFont="1" applyFill="1" applyAlignment="1">
      <alignment horizontal="center" vertical="center"/>
    </xf>
    <xf numFmtId="0" fontId="10" fillId="6" borderId="55" xfId="5" applyAlignment="1">
      <alignment horizontal="center" vertical="center"/>
    </xf>
    <xf numFmtId="167" fontId="10" fillId="6" borderId="55" xfId="5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6" borderId="57" xfId="5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6" borderId="58" xfId="5" applyBorder="1" applyAlignment="1">
      <alignment horizontal="center" vertical="center"/>
    </xf>
    <xf numFmtId="11" fontId="10" fillId="6" borderId="59" xfId="5" applyNumberFormat="1" applyBorder="1" applyAlignment="1">
      <alignment horizontal="center" vertical="center"/>
    </xf>
    <xf numFmtId="167" fontId="10" fillId="6" borderId="59" xfId="5" applyNumberForma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0" fillId="6" borderId="59" xfId="5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1" fontId="10" fillId="6" borderId="60" xfId="5" applyNumberFormat="1" applyBorder="1" applyAlignment="1">
      <alignment horizontal="center" vertical="center"/>
    </xf>
    <xf numFmtId="0" fontId="10" fillId="6" borderId="61" xfId="5" applyBorder="1" applyAlignment="1">
      <alignment horizontal="center" vertical="center"/>
    </xf>
    <xf numFmtId="170" fontId="10" fillId="6" borderId="60" xfId="5" applyNumberFormat="1" applyBorder="1" applyAlignment="1">
      <alignment horizontal="center" vertical="center"/>
    </xf>
    <xf numFmtId="165" fontId="3" fillId="0" borderId="50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32" xfId="0" applyNumberForma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165" fontId="0" fillId="0" borderId="48" xfId="0" applyNumberForma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0" fillId="0" borderId="34" xfId="0" applyNumberFormat="1" applyBorder="1" applyAlignment="1">
      <alignment horizontal="center" vertical="center"/>
    </xf>
    <xf numFmtId="11" fontId="5" fillId="0" borderId="34" xfId="2" applyNumberFormat="1" applyFont="1" applyFill="1" applyBorder="1" applyAlignment="1">
      <alignment horizontal="center" vertical="center"/>
    </xf>
    <xf numFmtId="11" fontId="0" fillId="0" borderId="43" xfId="0" applyNumberFormat="1" applyBorder="1" applyAlignment="1">
      <alignment horizontal="center" vertical="center"/>
    </xf>
    <xf numFmtId="11" fontId="0" fillId="0" borderId="50" xfId="0" applyNumberFormat="1" applyBorder="1" applyAlignment="1">
      <alignment horizontal="center" vertical="center"/>
    </xf>
    <xf numFmtId="2" fontId="2" fillId="3" borderId="0" xfId="2" applyNumberFormat="1" applyBorder="1" applyAlignment="1">
      <alignment horizontal="center" vertical="center"/>
    </xf>
    <xf numFmtId="165" fontId="16" fillId="3" borderId="0" xfId="2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/>
    </xf>
    <xf numFmtId="2" fontId="1" fillId="2" borderId="0" xfId="1" applyNumberFormat="1" applyAlignment="1">
      <alignment horizontal="center" vertical="center"/>
    </xf>
    <xf numFmtId="166" fontId="1" fillId="2" borderId="0" xfId="1" applyNumberFormat="1" applyAlignment="1">
      <alignment horizontal="center" vertical="center"/>
    </xf>
    <xf numFmtId="165" fontId="3" fillId="0" borderId="6" xfId="0" applyNumberFormat="1" applyFont="1" applyBorder="1" applyAlignment="1">
      <alignment vertical="center"/>
    </xf>
    <xf numFmtId="2" fontId="9" fillId="5" borderId="0" xfId="4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5" fillId="0" borderId="32" xfId="2" applyNumberFormat="1" applyFont="1" applyFill="1" applyBorder="1" applyAlignment="1">
      <alignment horizontal="center" vertical="center"/>
    </xf>
    <xf numFmtId="164" fontId="9" fillId="5" borderId="0" xfId="4" applyNumberFormat="1" applyAlignment="1">
      <alignment horizontal="center" vertical="center"/>
    </xf>
    <xf numFmtId="168" fontId="0" fillId="0" borderId="4" xfId="0" applyNumberFormat="1" applyBorder="1" applyAlignment="1">
      <alignment horizontal="center" vertical="center"/>
    </xf>
    <xf numFmtId="168" fontId="0" fillId="0" borderId="42" xfId="0" applyNumberFormat="1" applyBorder="1" applyAlignment="1">
      <alignment horizontal="center" vertical="center"/>
    </xf>
    <xf numFmtId="168" fontId="0" fillId="0" borderId="51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64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2" fontId="5" fillId="0" borderId="40" xfId="1" applyNumberFormat="1" applyFont="1" applyFill="1" applyBorder="1" applyAlignment="1">
      <alignment horizontal="center" vertical="center"/>
    </xf>
    <xf numFmtId="2" fontId="5" fillId="0" borderId="40" xfId="0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1" fillId="2" borderId="38" xfId="1" applyNumberFormat="1" applyBorder="1" applyAlignment="1">
      <alignment horizontal="center" vertical="center"/>
    </xf>
    <xf numFmtId="2" fontId="1" fillId="2" borderId="52" xfId="1" applyNumberFormat="1" applyBorder="1" applyAlignment="1">
      <alignment horizontal="center" vertical="center"/>
    </xf>
    <xf numFmtId="168" fontId="0" fillId="0" borderId="38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68" fontId="3" fillId="0" borderId="38" xfId="0" applyNumberFormat="1" applyFont="1" applyBorder="1" applyAlignment="1">
      <alignment horizontal="center" vertical="center"/>
    </xf>
    <xf numFmtId="168" fontId="3" fillId="0" borderId="38" xfId="0" applyNumberFormat="1" applyFont="1" applyBorder="1" applyAlignment="1">
      <alignment horizontal="center" vertical="center" wrapText="1"/>
    </xf>
    <xf numFmtId="168" fontId="3" fillId="0" borderId="28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68" fontId="0" fillId="0" borderId="38" xfId="0" applyNumberFormat="1" applyBorder="1" applyAlignment="1">
      <alignment horizontal="center" vertical="center" wrapText="1"/>
    </xf>
    <xf numFmtId="166" fontId="0" fillId="0" borderId="38" xfId="0" applyNumberFormat="1" applyBorder="1" applyAlignment="1">
      <alignment horizontal="center" vertical="center"/>
    </xf>
    <xf numFmtId="166" fontId="3" fillId="0" borderId="38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168" fontId="0" fillId="0" borderId="63" xfId="0" applyNumberFormat="1" applyBorder="1" applyAlignment="1">
      <alignment horizontal="center" vertical="center"/>
    </xf>
    <xf numFmtId="166" fontId="0" fillId="0" borderId="63" xfId="0" applyNumberFormat="1" applyBorder="1" applyAlignment="1">
      <alignment horizontal="center" vertical="center"/>
    </xf>
    <xf numFmtId="2" fontId="0" fillId="0" borderId="63" xfId="0" applyNumberFormat="1" applyBorder="1" applyAlignment="1">
      <alignment horizontal="center" vertical="center"/>
    </xf>
    <xf numFmtId="168" fontId="3" fillId="0" borderId="52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0" fillId="0" borderId="71" xfId="0" applyBorder="1" applyAlignment="1">
      <alignment horizontal="center" vertical="center"/>
    </xf>
    <xf numFmtId="2" fontId="0" fillId="0" borderId="65" xfId="0" applyNumberForma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" fontId="3" fillId="0" borderId="4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8" fontId="0" fillId="0" borderId="52" xfId="0" applyNumberFormat="1" applyBorder="1" applyAlignment="1">
      <alignment horizontal="center" vertical="center"/>
    </xf>
    <xf numFmtId="166" fontId="0" fillId="0" borderId="5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11" fontId="8" fillId="8" borderId="38" xfId="7" applyNumberFormat="1" applyBorder="1" applyAlignment="1">
      <alignment horizontal="center" vertical="center" wrapText="1"/>
    </xf>
    <xf numFmtId="11" fontId="8" fillId="0" borderId="38" xfId="7" applyNumberFormat="1" applyFill="1" applyBorder="1" applyAlignment="1">
      <alignment horizontal="center" vertical="center" wrapText="1"/>
    </xf>
    <xf numFmtId="0" fontId="0" fillId="10" borderId="38" xfId="0" applyFill="1" applyBorder="1"/>
    <xf numFmtId="11" fontId="8" fillId="9" borderId="38" xfId="8" applyNumberFormat="1" applyBorder="1" applyAlignment="1">
      <alignment horizontal="center" vertical="center" wrapText="1"/>
    </xf>
    <xf numFmtId="11" fontId="8" fillId="0" borderId="38" xfId="8" applyNumberFormat="1" applyFill="1" applyBorder="1" applyAlignment="1">
      <alignment horizontal="center" vertical="center" wrapText="1"/>
    </xf>
    <xf numFmtId="171" fontId="0" fillId="0" borderId="38" xfId="0" applyNumberFormat="1" applyBorder="1" applyAlignment="1">
      <alignment horizontal="center" vertical="center" wrapText="1"/>
    </xf>
    <xf numFmtId="11" fontId="0" fillId="0" borderId="38" xfId="0" applyNumberFormat="1" applyBorder="1" applyAlignment="1">
      <alignment horizontal="center" vertical="center" wrapText="1"/>
    </xf>
    <xf numFmtId="0" fontId="8" fillId="9" borderId="38" xfId="8" applyBorder="1" applyAlignment="1">
      <alignment horizontal="center" vertical="center" wrapText="1"/>
    </xf>
    <xf numFmtId="11" fontId="3" fillId="8" borderId="38" xfId="7" applyNumberFormat="1" applyFont="1" applyBorder="1" applyAlignment="1">
      <alignment horizontal="center" vertical="center" wrapText="1"/>
    </xf>
    <xf numFmtId="11" fontId="3" fillId="0" borderId="38" xfId="7" applyNumberFormat="1" applyFont="1" applyFill="1" applyBorder="1" applyAlignment="1">
      <alignment horizontal="center" vertical="center" wrapText="1"/>
    </xf>
    <xf numFmtId="0" fontId="3" fillId="10" borderId="38" xfId="0" applyFont="1" applyFill="1" applyBorder="1"/>
    <xf numFmtId="11" fontId="3" fillId="9" borderId="38" xfId="8" applyNumberFormat="1" applyFont="1" applyBorder="1" applyAlignment="1">
      <alignment horizontal="center" vertical="center" wrapText="1"/>
    </xf>
    <xf numFmtId="11" fontId="3" fillId="0" borderId="38" xfId="8" applyNumberFormat="1" applyFont="1" applyFill="1" applyBorder="1" applyAlignment="1">
      <alignment horizontal="center" vertical="center" wrapText="1"/>
    </xf>
    <xf numFmtId="0" fontId="3" fillId="0" borderId="38" xfId="0" quotePrefix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1" fontId="3" fillId="8" borderId="28" xfId="7" applyNumberFormat="1" applyFont="1" applyBorder="1" applyAlignment="1">
      <alignment horizontal="center" vertical="center" wrapText="1"/>
    </xf>
    <xf numFmtId="11" fontId="3" fillId="0" borderId="28" xfId="7" applyNumberFormat="1" applyFont="1" applyFill="1" applyBorder="1" applyAlignment="1">
      <alignment horizontal="center" vertical="center" wrapText="1"/>
    </xf>
    <xf numFmtId="0" fontId="3" fillId="10" borderId="28" xfId="0" applyFont="1" applyFill="1" applyBorder="1"/>
    <xf numFmtId="11" fontId="3" fillId="9" borderId="28" xfId="8" applyNumberFormat="1" applyFont="1" applyBorder="1" applyAlignment="1">
      <alignment horizontal="center" vertical="center" wrapText="1"/>
    </xf>
    <xf numFmtId="11" fontId="3" fillId="0" borderId="28" xfId="8" applyNumberFormat="1" applyFont="1" applyFill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0" fontId="3" fillId="10" borderId="52" xfId="0" applyFont="1" applyFill="1" applyBorder="1"/>
    <xf numFmtId="0" fontId="3" fillId="0" borderId="5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8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71" fontId="0" fillId="0" borderId="28" xfId="0" applyNumberFormat="1" applyBorder="1" applyAlignment="1">
      <alignment horizontal="center" vertical="center" wrapText="1"/>
    </xf>
    <xf numFmtId="11" fontId="8" fillId="8" borderId="28" xfId="7" applyNumberFormat="1" applyBorder="1" applyAlignment="1">
      <alignment horizontal="center" vertical="center" wrapText="1"/>
    </xf>
    <xf numFmtId="11" fontId="8" fillId="0" borderId="28" xfId="7" applyNumberFormat="1" applyFill="1" applyBorder="1" applyAlignment="1">
      <alignment horizontal="center" vertical="center" wrapText="1"/>
    </xf>
    <xf numFmtId="0" fontId="0" fillId="10" borderId="28" xfId="0" applyFill="1" applyBorder="1"/>
    <xf numFmtId="11" fontId="8" fillId="9" borderId="28" xfId="8" applyNumberFormat="1" applyBorder="1" applyAlignment="1">
      <alignment horizontal="center" vertical="center" wrapText="1"/>
    </xf>
    <xf numFmtId="11" fontId="8" fillId="0" borderId="28" xfId="8" applyNumberFormat="1" applyFill="1" applyBorder="1" applyAlignment="1">
      <alignment horizontal="center" vertical="center" wrapText="1"/>
    </xf>
    <xf numFmtId="11" fontId="0" fillId="0" borderId="28" xfId="0" applyNumberFormat="1" applyBorder="1" applyAlignment="1">
      <alignment horizontal="center" vertical="center" wrapText="1"/>
    </xf>
    <xf numFmtId="0" fontId="8" fillId="8" borderId="28" xfId="7" applyBorder="1" applyAlignment="1">
      <alignment horizontal="center" vertical="center" wrapText="1"/>
    </xf>
    <xf numFmtId="166" fontId="0" fillId="0" borderId="64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66" fontId="0" fillId="0" borderId="40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8" fontId="0" fillId="0" borderId="52" xfId="0" applyNumberForma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71" fontId="0" fillId="0" borderId="52" xfId="0" applyNumberFormat="1" applyBorder="1" applyAlignment="1">
      <alignment horizontal="center" vertical="center" wrapText="1"/>
    </xf>
    <xf numFmtId="11" fontId="8" fillId="8" borderId="52" xfId="7" applyNumberFormat="1" applyBorder="1" applyAlignment="1">
      <alignment horizontal="center" vertical="center" wrapText="1"/>
    </xf>
    <xf numFmtId="11" fontId="8" fillId="0" borderId="52" xfId="7" applyNumberFormat="1" applyFill="1" applyBorder="1" applyAlignment="1">
      <alignment horizontal="center" vertical="center" wrapText="1"/>
    </xf>
    <xf numFmtId="0" fontId="0" fillId="10" borderId="52" xfId="0" applyFill="1" applyBorder="1"/>
    <xf numFmtId="11" fontId="8" fillId="9" borderId="52" xfId="8" applyNumberFormat="1" applyBorder="1" applyAlignment="1">
      <alignment horizontal="center" vertical="center" wrapText="1"/>
    </xf>
    <xf numFmtId="11" fontId="8" fillId="0" borderId="52" xfId="8" applyNumberFormat="1" applyFill="1" applyBorder="1" applyAlignment="1">
      <alignment horizontal="center" vertical="center" wrapText="1"/>
    </xf>
    <xf numFmtId="11" fontId="0" fillId="0" borderId="52" xfId="0" applyNumberFormat="1" applyBorder="1" applyAlignment="1">
      <alignment horizontal="center" vertical="center" wrapText="1"/>
    </xf>
    <xf numFmtId="166" fontId="0" fillId="0" borderId="53" xfId="0" applyNumberForma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2" fontId="3" fillId="0" borderId="75" xfId="0" applyNumberFormat="1" applyFont="1" applyBorder="1" applyAlignment="1">
      <alignment horizontal="center" vertical="center"/>
    </xf>
    <xf numFmtId="0" fontId="3" fillId="0" borderId="75" xfId="0" quotePrefix="1" applyFont="1" applyBorder="1" applyAlignment="1">
      <alignment horizontal="center" vertical="center"/>
    </xf>
    <xf numFmtId="0" fontId="3" fillId="0" borderId="74" xfId="0" quotePrefix="1" applyFont="1" applyBorder="1" applyAlignment="1">
      <alignment horizontal="center" vertical="center"/>
    </xf>
    <xf numFmtId="2" fontId="5" fillId="0" borderId="32" xfId="0" applyNumberFormat="1" applyFont="1" applyBorder="1" applyAlignment="1">
      <alignment horizontal="center" vertical="center"/>
    </xf>
    <xf numFmtId="2" fontId="5" fillId="0" borderId="32" xfId="1" applyNumberFormat="1" applyFont="1" applyFill="1" applyBorder="1" applyAlignment="1">
      <alignment horizontal="center" vertical="center"/>
    </xf>
    <xf numFmtId="166" fontId="5" fillId="0" borderId="32" xfId="1" applyNumberFormat="1" applyFont="1" applyFill="1" applyBorder="1" applyAlignment="1">
      <alignment horizontal="center" vertical="center"/>
    </xf>
    <xf numFmtId="2" fontId="5" fillId="0" borderId="50" xfId="0" applyNumberFormat="1" applyFont="1" applyBorder="1" applyAlignment="1">
      <alignment horizontal="center" vertical="center"/>
    </xf>
    <xf numFmtId="2" fontId="5" fillId="0" borderId="48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2" fontId="5" fillId="0" borderId="15" xfId="1" applyNumberFormat="1" applyFont="1" applyFill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11" fontId="0" fillId="0" borderId="31" xfId="0" applyNumberFormat="1" applyBorder="1" applyAlignment="1">
      <alignment horizontal="center" vertical="center"/>
    </xf>
    <xf numFmtId="11" fontId="0" fillId="0" borderId="41" xfId="0" applyNumberFormat="1" applyBorder="1" applyAlignment="1">
      <alignment horizontal="center" vertical="center"/>
    </xf>
    <xf numFmtId="11" fontId="0" fillId="0" borderId="46" xfId="0" applyNumberFormat="1" applyBorder="1" applyAlignment="1">
      <alignment horizontal="center" vertical="center"/>
    </xf>
    <xf numFmtId="11" fontId="0" fillId="0" borderId="24" xfId="0" applyNumberFormat="1" applyBorder="1" applyAlignment="1">
      <alignment horizontal="center" vertical="center"/>
    </xf>
    <xf numFmtId="0" fontId="14" fillId="0" borderId="0" xfId="0" applyFont="1"/>
    <xf numFmtId="3" fontId="0" fillId="0" borderId="0" xfId="0" applyNumberFormat="1"/>
    <xf numFmtId="167" fontId="0" fillId="0" borderId="0" xfId="0" applyNumberFormat="1"/>
    <xf numFmtId="170" fontId="0" fillId="0" borderId="16" xfId="0" applyNumberFormat="1" applyBorder="1" applyAlignment="1">
      <alignment horizontal="center" vertical="center"/>
    </xf>
    <xf numFmtId="170" fontId="0" fillId="0" borderId="23" xfId="0" applyNumberFormat="1" applyBorder="1" applyAlignment="1">
      <alignment horizontal="center" vertical="center"/>
    </xf>
    <xf numFmtId="166" fontId="8" fillId="0" borderId="28" xfId="7" applyNumberFormat="1" applyFill="1" applyBorder="1" applyAlignment="1">
      <alignment horizontal="center" vertical="center" wrapText="1"/>
    </xf>
    <xf numFmtId="166" fontId="8" fillId="0" borderId="38" xfId="7" applyNumberFormat="1" applyFill="1" applyBorder="1" applyAlignment="1">
      <alignment horizontal="center" vertical="center" wrapText="1"/>
    </xf>
    <xf numFmtId="166" fontId="8" fillId="0" borderId="52" xfId="7" applyNumberFormat="1" applyFill="1" applyBorder="1" applyAlignment="1">
      <alignment horizontal="center" vertical="center" wrapText="1"/>
    </xf>
    <xf numFmtId="166" fontId="8" fillId="0" borderId="28" xfId="8" applyNumberFormat="1" applyFill="1" applyBorder="1" applyAlignment="1">
      <alignment horizontal="center" vertical="center" wrapText="1"/>
    </xf>
    <xf numFmtId="166" fontId="8" fillId="0" borderId="38" xfId="8" applyNumberFormat="1" applyFill="1" applyBorder="1" applyAlignment="1">
      <alignment horizontal="center" vertical="center" wrapText="1"/>
    </xf>
    <xf numFmtId="166" fontId="8" fillId="0" borderId="52" xfId="8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" fontId="0" fillId="0" borderId="51" xfId="0" applyNumberFormat="1" applyBorder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165" fontId="0" fillId="0" borderId="25" xfId="0" applyNumberFormat="1" applyBorder="1" applyAlignment="1">
      <alignment vertical="center"/>
    </xf>
    <xf numFmtId="0" fontId="9" fillId="5" borderId="0" xfId="4" applyAlignment="1">
      <alignment horizontal="center" vertical="center"/>
    </xf>
    <xf numFmtId="11" fontId="9" fillId="5" borderId="0" xfId="4" applyNumberFormat="1" applyAlignment="1">
      <alignment horizontal="center" vertical="center"/>
    </xf>
    <xf numFmtId="1" fontId="9" fillId="5" borderId="0" xfId="4" applyNumberFormat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9" fillId="5" borderId="32" xfId="4" applyBorder="1" applyAlignment="1">
      <alignment horizontal="center" vertical="center"/>
    </xf>
    <xf numFmtId="0" fontId="9" fillId="5" borderId="38" xfId="4" applyBorder="1" applyAlignment="1">
      <alignment horizontal="center" vertical="center"/>
    </xf>
    <xf numFmtId="1" fontId="9" fillId="5" borderId="33" xfId="4" applyNumberFormat="1" applyBorder="1" applyAlignment="1">
      <alignment horizontal="center" vertical="center"/>
    </xf>
    <xf numFmtId="1" fontId="9" fillId="5" borderId="43" xfId="4" applyNumberFormat="1" applyBorder="1" applyAlignment="1">
      <alignment horizontal="center" vertical="center"/>
    </xf>
    <xf numFmtId="164" fontId="9" fillId="5" borderId="35" xfId="4" applyNumberFormat="1" applyBorder="1" applyAlignment="1">
      <alignment horizontal="center" vertical="center"/>
    </xf>
    <xf numFmtId="164" fontId="9" fillId="5" borderId="36" xfId="4" applyNumberFormat="1" applyBorder="1" applyAlignment="1">
      <alignment horizontal="center" vertical="center"/>
    </xf>
    <xf numFmtId="165" fontId="9" fillId="5" borderId="11" xfId="4" applyNumberFormat="1" applyBorder="1" applyAlignment="1">
      <alignment horizontal="center" vertical="center"/>
    </xf>
    <xf numFmtId="11" fontId="9" fillId="5" borderId="0" xfId="4" applyNumberFormat="1" applyBorder="1" applyAlignment="1">
      <alignment horizontal="center" vertical="center"/>
    </xf>
    <xf numFmtId="164" fontId="9" fillId="5" borderId="0" xfId="4" applyNumberFormat="1" applyBorder="1" applyAlignment="1">
      <alignment horizontal="center" vertical="center"/>
    </xf>
    <xf numFmtId="165" fontId="9" fillId="5" borderId="44" xfId="4" applyNumberFormat="1" applyBorder="1" applyAlignment="1">
      <alignment horizontal="center" vertical="center"/>
    </xf>
    <xf numFmtId="167" fontId="9" fillId="5" borderId="45" xfId="4" applyNumberFormat="1" applyBorder="1" applyAlignment="1">
      <alignment horizontal="center" vertical="center"/>
    </xf>
    <xf numFmtId="2" fontId="9" fillId="5" borderId="38" xfId="4" applyNumberFormat="1" applyBorder="1" applyAlignment="1">
      <alignment horizontal="center" vertical="center"/>
    </xf>
    <xf numFmtId="11" fontId="9" fillId="5" borderId="43" xfId="4" applyNumberFormat="1" applyBorder="1" applyAlignment="1">
      <alignment horizontal="center" vertical="center"/>
    </xf>
    <xf numFmtId="11" fontId="9" fillId="5" borderId="45" xfId="4" applyNumberFormat="1" applyBorder="1" applyAlignment="1">
      <alignment horizontal="center" vertical="center"/>
    </xf>
    <xf numFmtId="11" fontId="9" fillId="5" borderId="47" xfId="4" applyNumberFormat="1" applyBorder="1" applyAlignment="1">
      <alignment horizontal="center" vertical="center"/>
    </xf>
    <xf numFmtId="165" fontId="9" fillId="5" borderId="46" xfId="4" applyNumberFormat="1" applyBorder="1" applyAlignment="1">
      <alignment horizontal="center" vertical="center"/>
    </xf>
    <xf numFmtId="11" fontId="9" fillId="5" borderId="35" xfId="4" applyNumberFormat="1" applyBorder="1" applyAlignment="1">
      <alignment horizontal="center" vertical="center"/>
    </xf>
    <xf numFmtId="167" fontId="9" fillId="5" borderId="35" xfId="4" applyNumberFormat="1" applyBorder="1" applyAlignment="1">
      <alignment horizontal="center" vertical="center"/>
    </xf>
    <xf numFmtId="2" fontId="9" fillId="5" borderId="35" xfId="4" applyNumberFormat="1" applyBorder="1" applyAlignment="1">
      <alignment horizontal="center" vertical="center"/>
    </xf>
    <xf numFmtId="168" fontId="9" fillId="5" borderId="33" xfId="4" applyNumberFormat="1" applyBorder="1" applyAlignment="1">
      <alignment horizontal="center" vertical="center"/>
    </xf>
    <xf numFmtId="168" fontId="9" fillId="5" borderId="16" xfId="4" applyNumberFormat="1" applyBorder="1" applyAlignment="1">
      <alignment horizontal="center" vertical="center"/>
    </xf>
    <xf numFmtId="168" fontId="9" fillId="5" borderId="0" xfId="4" applyNumberFormat="1" applyAlignment="1">
      <alignment horizontal="center" vertical="center"/>
    </xf>
    <xf numFmtId="2" fontId="9" fillId="5" borderId="33" xfId="4" applyNumberFormat="1" applyBorder="1" applyAlignment="1">
      <alignment horizontal="center" vertical="center"/>
    </xf>
    <xf numFmtId="2" fontId="9" fillId="5" borderId="34" xfId="4" applyNumberFormat="1" applyBorder="1" applyAlignment="1">
      <alignment horizontal="center" vertical="center"/>
    </xf>
    <xf numFmtId="167" fontId="9" fillId="5" borderId="0" xfId="4" applyNumberFormat="1" applyAlignment="1">
      <alignment horizontal="center" vertical="center"/>
    </xf>
    <xf numFmtId="1" fontId="9" fillId="5" borderId="32" xfId="4" applyNumberFormat="1" applyBorder="1" applyAlignment="1">
      <alignment horizontal="center" vertical="center"/>
    </xf>
    <xf numFmtId="164" fontId="9" fillId="5" borderId="32" xfId="4" applyNumberFormat="1" applyBorder="1" applyAlignment="1">
      <alignment horizontal="center" vertical="center"/>
    </xf>
    <xf numFmtId="164" fontId="9" fillId="5" borderId="42" xfId="4" applyNumberFormat="1" applyBorder="1" applyAlignment="1">
      <alignment horizontal="center" vertical="center"/>
    </xf>
    <xf numFmtId="165" fontId="9" fillId="5" borderId="37" xfId="4" applyNumberFormat="1" applyBorder="1" applyAlignment="1">
      <alignment horizontal="center" vertical="center"/>
    </xf>
    <xf numFmtId="165" fontId="9" fillId="5" borderId="38" xfId="4" applyNumberFormat="1" applyBorder="1" applyAlignment="1">
      <alignment horizontal="center" vertical="center"/>
    </xf>
    <xf numFmtId="167" fontId="9" fillId="5" borderId="39" xfId="4" applyNumberFormat="1" applyBorder="1" applyAlignment="1">
      <alignment horizontal="center" vertical="center"/>
    </xf>
    <xf numFmtId="11" fontId="9" fillId="5" borderId="34" xfId="4" applyNumberFormat="1" applyBorder="1" applyAlignment="1">
      <alignment horizontal="center" vertical="center"/>
    </xf>
    <xf numFmtId="11" fontId="9" fillId="5" borderId="39" xfId="4" applyNumberFormat="1" applyBorder="1" applyAlignment="1">
      <alignment horizontal="center" vertical="center"/>
    </xf>
    <xf numFmtId="11" fontId="9" fillId="5" borderId="40" xfId="4" applyNumberFormat="1" applyBorder="1" applyAlignment="1">
      <alignment horizontal="center" vertical="center"/>
    </xf>
    <xf numFmtId="165" fontId="9" fillId="5" borderId="41" xfId="4" applyNumberFormat="1" applyBorder="1" applyAlignment="1">
      <alignment horizontal="center" vertical="center"/>
    </xf>
    <xf numFmtId="11" fontId="9" fillId="5" borderId="32" xfId="4" applyNumberFormat="1" applyBorder="1" applyAlignment="1">
      <alignment horizontal="center" vertical="center"/>
    </xf>
    <xf numFmtId="167" fontId="9" fillId="5" borderId="32" xfId="4" applyNumberFormat="1" applyBorder="1" applyAlignment="1">
      <alignment horizontal="center" vertical="center"/>
    </xf>
    <xf numFmtId="2" fontId="9" fillId="5" borderId="32" xfId="4" applyNumberFormat="1" applyBorder="1" applyAlignment="1">
      <alignment horizontal="center" vertical="center"/>
    </xf>
    <xf numFmtId="1" fontId="9" fillId="5" borderId="34" xfId="4" applyNumberFormat="1" applyBorder="1" applyAlignment="1">
      <alignment horizontal="center" vertical="center"/>
    </xf>
    <xf numFmtId="11" fontId="9" fillId="5" borderId="12" xfId="4" applyNumberFormat="1" applyBorder="1" applyAlignment="1">
      <alignment horizontal="center" vertical="center"/>
    </xf>
    <xf numFmtId="0" fontId="9" fillId="5" borderId="48" xfId="4" applyBorder="1" applyAlignment="1">
      <alignment horizontal="center" vertical="center"/>
    </xf>
    <xf numFmtId="1" fontId="9" fillId="5" borderId="49" xfId="4" applyNumberFormat="1" applyBorder="1" applyAlignment="1">
      <alignment horizontal="center" vertical="center"/>
    </xf>
    <xf numFmtId="1" fontId="9" fillId="5" borderId="50" xfId="4" applyNumberFormat="1" applyBorder="1" applyAlignment="1">
      <alignment horizontal="center" vertical="center"/>
    </xf>
    <xf numFmtId="164" fontId="9" fillId="5" borderId="48" xfId="4" applyNumberFormat="1" applyBorder="1" applyAlignment="1">
      <alignment horizontal="center" vertical="center"/>
    </xf>
    <xf numFmtId="164" fontId="9" fillId="5" borderId="51" xfId="4" applyNumberFormat="1" applyBorder="1" applyAlignment="1">
      <alignment horizontal="center" vertical="center"/>
    </xf>
    <xf numFmtId="165" fontId="9" fillId="5" borderId="21" xfId="4" applyNumberFormat="1" applyBorder="1" applyAlignment="1">
      <alignment horizontal="center" vertical="center"/>
    </xf>
    <xf numFmtId="165" fontId="9" fillId="5" borderId="52" xfId="4" applyNumberFormat="1" applyBorder="1" applyAlignment="1">
      <alignment horizontal="center" vertical="center"/>
    </xf>
    <xf numFmtId="167" fontId="9" fillId="5" borderId="22" xfId="4" applyNumberFormat="1" applyBorder="1" applyAlignment="1">
      <alignment horizontal="center" vertical="center"/>
    </xf>
    <xf numFmtId="11" fontId="9" fillId="5" borderId="50" xfId="4" applyNumberFormat="1" applyBorder="1" applyAlignment="1">
      <alignment horizontal="center" vertical="center"/>
    </xf>
    <xf numFmtId="11" fontId="9" fillId="5" borderId="22" xfId="4" applyNumberFormat="1" applyBorder="1" applyAlignment="1">
      <alignment horizontal="center" vertical="center"/>
    </xf>
    <xf numFmtId="11" fontId="9" fillId="5" borderId="53" xfId="4" applyNumberFormat="1" applyBorder="1" applyAlignment="1">
      <alignment horizontal="center" vertical="center"/>
    </xf>
    <xf numFmtId="165" fontId="9" fillId="5" borderId="24" xfId="4" applyNumberFormat="1" applyBorder="1" applyAlignment="1">
      <alignment horizontal="center" vertical="center"/>
    </xf>
    <xf numFmtId="11" fontId="9" fillId="5" borderId="48" xfId="4" applyNumberFormat="1" applyBorder="1" applyAlignment="1">
      <alignment horizontal="center" vertical="center"/>
    </xf>
    <xf numFmtId="167" fontId="9" fillId="5" borderId="48" xfId="4" applyNumberFormat="1" applyBorder="1" applyAlignment="1">
      <alignment horizontal="center" vertical="center"/>
    </xf>
    <xf numFmtId="2" fontId="9" fillId="5" borderId="48" xfId="4" applyNumberFormat="1" applyBorder="1" applyAlignment="1">
      <alignment horizontal="center" vertical="center"/>
    </xf>
    <xf numFmtId="168" fontId="9" fillId="5" borderId="49" xfId="4" applyNumberFormat="1" applyBorder="1" applyAlignment="1">
      <alignment horizontal="center" vertical="center"/>
    </xf>
    <xf numFmtId="168" fontId="9" fillId="5" borderId="23" xfId="4" applyNumberFormat="1" applyBorder="1" applyAlignment="1">
      <alignment horizontal="center" vertical="center"/>
    </xf>
    <xf numFmtId="168" fontId="9" fillId="5" borderId="54" xfId="4" applyNumberFormat="1" applyBorder="1" applyAlignment="1">
      <alignment horizontal="center" vertical="center"/>
    </xf>
    <xf numFmtId="2" fontId="9" fillId="5" borderId="49" xfId="4" applyNumberFormat="1" applyBorder="1" applyAlignment="1">
      <alignment horizontal="center" vertical="center"/>
    </xf>
    <xf numFmtId="2" fontId="9" fillId="5" borderId="50" xfId="4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8" fontId="23" fillId="0" borderId="0" xfId="0" applyNumberFormat="1" applyFont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168" fontId="22" fillId="0" borderId="38" xfId="0" applyNumberFormat="1" applyFont="1" applyBorder="1" applyAlignment="1">
      <alignment horizontal="center" vertical="center" wrapText="1"/>
    </xf>
    <xf numFmtId="168" fontId="24" fillId="0" borderId="39" xfId="2" applyNumberFormat="1" applyFont="1" applyFill="1" applyBorder="1" applyAlignment="1">
      <alignment horizontal="center" vertical="center" wrapText="1"/>
    </xf>
    <xf numFmtId="168" fontId="24" fillId="0" borderId="0" xfId="2" applyNumberFormat="1" applyFont="1" applyFill="1" applyBorder="1" applyAlignment="1">
      <alignment horizontal="center" vertical="center" wrapText="1"/>
    </xf>
    <xf numFmtId="168" fontId="22" fillId="0" borderId="0" xfId="0" applyNumberFormat="1" applyFont="1" applyAlignment="1">
      <alignment horizontal="center" vertical="center" wrapText="1"/>
    </xf>
    <xf numFmtId="168" fontId="22" fillId="0" borderId="25" xfId="0" applyNumberFormat="1" applyFont="1" applyBorder="1" applyAlignment="1">
      <alignment horizontal="center" vertical="center" wrapText="1"/>
    </xf>
    <xf numFmtId="168" fontId="24" fillId="0" borderId="38" xfId="2" applyNumberFormat="1" applyFont="1" applyFill="1" applyBorder="1" applyAlignment="1">
      <alignment horizontal="center" vertical="center" wrapText="1"/>
    </xf>
    <xf numFmtId="168" fontId="24" fillId="10" borderId="0" xfId="2" applyNumberFormat="1" applyFont="1" applyFill="1" applyBorder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/>
    </xf>
    <xf numFmtId="0" fontId="24" fillId="0" borderId="38" xfId="0" applyFont="1" applyBorder="1" applyAlignment="1">
      <alignment horizontal="center" vertical="center" wrapText="1"/>
    </xf>
    <xf numFmtId="168" fontId="25" fillId="0" borderId="38" xfId="2" applyNumberFormat="1" applyFont="1" applyFill="1" applyBorder="1" applyAlignment="1">
      <alignment horizontal="center" vertical="center" wrapText="1"/>
    </xf>
    <xf numFmtId="0" fontId="26" fillId="6" borderId="38" xfId="5" applyFont="1" applyBorder="1" applyAlignment="1">
      <alignment horizontal="center" vertical="center"/>
    </xf>
    <xf numFmtId="10" fontId="25" fillId="0" borderId="38" xfId="5" applyNumberFormat="1" applyFont="1" applyFill="1" applyBorder="1" applyAlignment="1">
      <alignment horizontal="center" vertical="center"/>
    </xf>
    <xf numFmtId="10" fontId="26" fillId="6" borderId="38" xfId="5" applyNumberFormat="1" applyFont="1" applyBorder="1" applyAlignment="1">
      <alignment horizontal="center" vertical="center"/>
    </xf>
    <xf numFmtId="174" fontId="26" fillId="6" borderId="38" xfId="5" applyNumberFormat="1" applyFont="1" applyBorder="1" applyAlignment="1">
      <alignment horizontal="center" vertical="center"/>
    </xf>
    <xf numFmtId="0" fontId="26" fillId="6" borderId="38" xfId="5" applyNumberFormat="1" applyFont="1" applyBorder="1" applyAlignment="1">
      <alignment horizontal="center" vertical="center"/>
    </xf>
    <xf numFmtId="169" fontId="26" fillId="6" borderId="39" xfId="5" applyNumberFormat="1" applyFont="1" applyBorder="1" applyAlignment="1">
      <alignment horizontal="center" vertical="center"/>
    </xf>
    <xf numFmtId="169" fontId="26" fillId="6" borderId="0" xfId="5" applyNumberFormat="1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168" fontId="23" fillId="0" borderId="38" xfId="0" applyNumberFormat="1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169" fontId="26" fillId="6" borderId="38" xfId="5" applyNumberFormat="1" applyFont="1" applyBorder="1" applyAlignment="1">
      <alignment horizontal="center" vertical="center"/>
    </xf>
    <xf numFmtId="169" fontId="26" fillId="6" borderId="38" xfId="3" applyNumberFormat="1" applyFont="1" applyFill="1" applyBorder="1" applyAlignment="1">
      <alignment horizontal="center" vertical="center"/>
    </xf>
    <xf numFmtId="10" fontId="26" fillId="6" borderId="39" xfId="3" applyNumberFormat="1" applyFont="1" applyFill="1" applyBorder="1" applyAlignment="1">
      <alignment horizontal="center" vertical="center"/>
    </xf>
    <xf numFmtId="10" fontId="26" fillId="10" borderId="0" xfId="3" applyNumberFormat="1" applyFont="1" applyFill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5" fillId="0" borderId="38" xfId="5" applyFont="1" applyFill="1" applyBorder="1" applyAlignment="1">
      <alignment horizontal="center" vertical="center"/>
    </xf>
    <xf numFmtId="0" fontId="26" fillId="6" borderId="39" xfId="5" applyFont="1" applyBorder="1" applyAlignment="1">
      <alignment horizontal="center" vertical="center"/>
    </xf>
    <xf numFmtId="0" fontId="26" fillId="6" borderId="0" xfId="5" applyFont="1" applyBorder="1" applyAlignment="1">
      <alignment horizontal="center" vertical="center"/>
    </xf>
    <xf numFmtId="0" fontId="26" fillId="0" borderId="0" xfId="5" applyFont="1" applyFill="1" applyBorder="1" applyAlignment="1">
      <alignment horizontal="center" vertical="center"/>
    </xf>
    <xf numFmtId="11" fontId="25" fillId="0" borderId="38" xfId="4" applyNumberFormat="1" applyFont="1" applyFill="1" applyBorder="1" applyAlignment="1">
      <alignment horizontal="center" vertical="center"/>
    </xf>
    <xf numFmtId="164" fontId="23" fillId="0" borderId="38" xfId="0" applyNumberFormat="1" applyFont="1" applyBorder="1" applyAlignment="1">
      <alignment horizontal="center" vertical="center"/>
    </xf>
    <xf numFmtId="0" fontId="26" fillId="6" borderId="41" xfId="5" applyFont="1" applyBorder="1" applyAlignment="1">
      <alignment horizontal="center" vertical="center"/>
    </xf>
    <xf numFmtId="0" fontId="26" fillId="10" borderId="0" xfId="5" applyFont="1" applyFill="1" applyBorder="1" applyAlignment="1">
      <alignment horizontal="center" vertical="center"/>
    </xf>
    <xf numFmtId="166" fontId="26" fillId="6" borderId="38" xfId="5" applyNumberFormat="1" applyFont="1" applyBorder="1" applyAlignment="1">
      <alignment horizontal="center" vertical="center"/>
    </xf>
    <xf numFmtId="166" fontId="25" fillId="0" borderId="38" xfId="5" applyNumberFormat="1" applyFont="1" applyFill="1" applyBorder="1" applyAlignment="1">
      <alignment horizontal="center" vertical="center"/>
    </xf>
    <xf numFmtId="166" fontId="26" fillId="6" borderId="39" xfId="5" applyNumberFormat="1" applyFont="1" applyBorder="1" applyAlignment="1">
      <alignment horizontal="center" vertical="center"/>
    </xf>
    <xf numFmtId="166" fontId="26" fillId="6" borderId="0" xfId="5" applyNumberFormat="1" applyFont="1" applyBorder="1" applyAlignment="1">
      <alignment horizontal="center" vertical="center"/>
    </xf>
    <xf numFmtId="166" fontId="26" fillId="0" borderId="0" xfId="5" applyNumberFormat="1" applyFont="1" applyFill="1" applyBorder="1" applyAlignment="1">
      <alignment horizontal="center" vertical="center"/>
    </xf>
    <xf numFmtId="1" fontId="23" fillId="0" borderId="38" xfId="0" applyNumberFormat="1" applyFont="1" applyBorder="1" applyAlignment="1">
      <alignment horizontal="center" vertical="center"/>
    </xf>
    <xf numFmtId="166" fontId="26" fillId="6" borderId="41" xfId="5" applyNumberFormat="1" applyFont="1" applyBorder="1" applyAlignment="1">
      <alignment horizontal="center" vertical="center"/>
    </xf>
    <xf numFmtId="166" fontId="26" fillId="10" borderId="0" xfId="5" applyNumberFormat="1" applyFont="1" applyFill="1" applyBorder="1" applyAlignment="1">
      <alignment horizontal="center" vertical="center"/>
    </xf>
    <xf numFmtId="170" fontId="26" fillId="6" borderId="38" xfId="5" applyNumberFormat="1" applyFont="1" applyBorder="1" applyAlignment="1">
      <alignment horizontal="center" vertical="center"/>
    </xf>
    <xf numFmtId="170" fontId="26" fillId="6" borderId="39" xfId="5" applyNumberFormat="1" applyFont="1" applyBorder="1" applyAlignment="1">
      <alignment horizontal="center" vertical="center"/>
    </xf>
    <xf numFmtId="170" fontId="26" fillId="10" borderId="0" xfId="5" applyNumberFormat="1" applyFont="1" applyFill="1" applyBorder="1" applyAlignment="1">
      <alignment horizontal="center" vertical="center"/>
    </xf>
    <xf numFmtId="11" fontId="27" fillId="7" borderId="38" xfId="6" applyNumberFormat="1" applyFont="1" applyBorder="1" applyAlignment="1">
      <alignment horizontal="center" vertical="center"/>
    </xf>
    <xf numFmtId="11" fontId="24" fillId="0" borderId="38" xfId="6" applyNumberFormat="1" applyFont="1" applyFill="1" applyBorder="1" applyAlignment="1">
      <alignment horizontal="center" vertical="center"/>
    </xf>
    <xf numFmtId="11" fontId="27" fillId="7" borderId="39" xfId="6" applyNumberFormat="1" applyFont="1" applyBorder="1" applyAlignment="1">
      <alignment horizontal="center" vertical="center"/>
    </xf>
    <xf numFmtId="11" fontId="27" fillId="7" borderId="0" xfId="6" applyNumberFormat="1" applyFont="1" applyBorder="1" applyAlignment="1">
      <alignment horizontal="center" vertical="center"/>
    </xf>
    <xf numFmtId="11" fontId="26" fillId="6" borderId="38" xfId="5" applyNumberFormat="1" applyFont="1" applyBorder="1" applyAlignment="1">
      <alignment horizontal="center" vertical="center"/>
    </xf>
    <xf numFmtId="166" fontId="26" fillId="6" borderId="40" xfId="5" applyNumberFormat="1" applyFont="1" applyBorder="1" applyAlignment="1">
      <alignment horizontal="center" vertical="center"/>
    </xf>
    <xf numFmtId="169" fontId="27" fillId="7" borderId="38" xfId="6" applyNumberFormat="1" applyFont="1" applyBorder="1" applyAlignment="1">
      <alignment horizontal="center" vertical="center"/>
    </xf>
    <xf numFmtId="11" fontId="27" fillId="10" borderId="0" xfId="6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1" fontId="23" fillId="0" borderId="0" xfId="0" applyNumberFormat="1" applyFont="1" applyAlignment="1">
      <alignment horizontal="center" vertical="center"/>
    </xf>
    <xf numFmtId="11" fontId="25" fillId="0" borderId="0" xfId="0" applyNumberFormat="1" applyFont="1" applyAlignment="1">
      <alignment horizontal="center" vertical="center"/>
    </xf>
    <xf numFmtId="1" fontId="23" fillId="0" borderId="37" xfId="0" applyNumberFormat="1" applyFont="1" applyBorder="1" applyAlignment="1">
      <alignment horizontal="center" vertical="center"/>
    </xf>
    <xf numFmtId="168" fontId="23" fillId="0" borderId="41" xfId="0" applyNumberFormat="1" applyFont="1" applyBorder="1" applyAlignment="1">
      <alignment vertical="center"/>
    </xf>
    <xf numFmtId="168" fontId="23" fillId="0" borderId="38" xfId="0" applyNumberFormat="1" applyFont="1" applyBorder="1" applyAlignment="1">
      <alignment vertical="center"/>
    </xf>
    <xf numFmtId="0" fontId="26" fillId="6" borderId="40" xfId="5" applyFont="1" applyBorder="1" applyAlignment="1">
      <alignment horizontal="center" vertical="center"/>
    </xf>
    <xf numFmtId="0" fontId="23" fillId="10" borderId="0" xfId="0" applyFont="1" applyFill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11" fontId="27" fillId="7" borderId="40" xfId="6" applyNumberFormat="1" applyFont="1" applyBorder="1" applyAlignment="1">
      <alignment horizontal="center" vertical="center"/>
    </xf>
    <xf numFmtId="11" fontId="26" fillId="6" borderId="37" xfId="5" applyNumberFormat="1" applyFont="1" applyBorder="1" applyAlignment="1">
      <alignment horizontal="center" vertical="center"/>
    </xf>
    <xf numFmtId="11" fontId="23" fillId="0" borderId="16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11" fontId="23" fillId="0" borderId="54" xfId="0" applyNumberFormat="1" applyFont="1" applyBorder="1" applyAlignment="1">
      <alignment horizontal="center" vertical="center"/>
    </xf>
    <xf numFmtId="11" fontId="23" fillId="0" borderId="23" xfId="0" applyNumberFormat="1" applyFont="1" applyBorder="1" applyAlignment="1">
      <alignment horizontal="center" vertical="center"/>
    </xf>
    <xf numFmtId="0" fontId="23" fillId="0" borderId="7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168" fontId="24" fillId="0" borderId="71" xfId="1" applyNumberFormat="1" applyFont="1" applyFill="1" applyBorder="1" applyAlignment="1">
      <alignment horizontal="center" vertical="center" wrapText="1"/>
    </xf>
    <xf numFmtId="168" fontId="24" fillId="0" borderId="63" xfId="4" applyNumberFormat="1" applyFont="1" applyFill="1" applyBorder="1" applyAlignment="1">
      <alignment horizontal="center" vertical="center" wrapText="1"/>
    </xf>
    <xf numFmtId="0" fontId="24" fillId="0" borderId="37" xfId="1" applyFont="1" applyFill="1" applyBorder="1" applyAlignment="1">
      <alignment horizontal="center" vertical="center" wrapText="1"/>
    </xf>
    <xf numFmtId="164" fontId="24" fillId="0" borderId="39" xfId="1" applyNumberFormat="1" applyFont="1" applyFill="1" applyBorder="1" applyAlignment="1">
      <alignment horizontal="center" vertical="center"/>
    </xf>
    <xf numFmtId="2" fontId="24" fillId="0" borderId="21" xfId="1" applyNumberFormat="1" applyFont="1" applyFill="1" applyBorder="1" applyAlignment="1">
      <alignment horizontal="center" vertical="center"/>
    </xf>
    <xf numFmtId="175" fontId="25" fillId="0" borderId="0" xfId="11" applyNumberFormat="1" applyFont="1" applyFill="1" applyBorder="1" applyAlignment="1">
      <alignment horizontal="center" vertical="center"/>
    </xf>
    <xf numFmtId="168" fontId="23" fillId="0" borderId="25" xfId="0" applyNumberFormat="1" applyFont="1" applyBorder="1" applyAlignment="1">
      <alignment horizontal="center" vertical="center"/>
    </xf>
    <xf numFmtId="166" fontId="25" fillId="0" borderId="25" xfId="1" applyNumberFormat="1" applyFont="1" applyFill="1" applyBorder="1" applyAlignment="1">
      <alignment horizontal="center" vertical="center"/>
    </xf>
    <xf numFmtId="2" fontId="25" fillId="0" borderId="9" xfId="4" applyNumberFormat="1" applyFont="1" applyFill="1" applyBorder="1" applyAlignment="1">
      <alignment horizontal="center" vertical="center"/>
    </xf>
    <xf numFmtId="11" fontId="25" fillId="0" borderId="9" xfId="1" applyNumberFormat="1" applyFont="1" applyFill="1" applyBorder="1" applyAlignment="1">
      <alignment horizontal="center" vertical="center"/>
    </xf>
    <xf numFmtId="11" fontId="25" fillId="0" borderId="0" xfId="1" applyNumberFormat="1" applyFont="1" applyFill="1" applyBorder="1" applyAlignment="1">
      <alignment horizontal="center" vertical="center"/>
    </xf>
    <xf numFmtId="2" fontId="25" fillId="0" borderId="2" xfId="1" applyNumberFormat="1" applyFont="1" applyFill="1" applyBorder="1" applyAlignment="1">
      <alignment horizontal="center" vertical="center"/>
    </xf>
    <xf numFmtId="174" fontId="25" fillId="0" borderId="0" xfId="1" applyNumberFormat="1" applyFont="1" applyFill="1" applyBorder="1" applyAlignment="1">
      <alignment horizontal="center" vertical="center"/>
    </xf>
    <xf numFmtId="11" fontId="25" fillId="0" borderId="2" xfId="1" applyNumberFormat="1" applyFont="1" applyFill="1" applyBorder="1" applyAlignment="1">
      <alignment horizontal="center" vertical="center"/>
    </xf>
    <xf numFmtId="11" fontId="25" fillId="0" borderId="25" xfId="1" applyNumberFormat="1" applyFont="1" applyFill="1" applyBorder="1" applyAlignment="1">
      <alignment horizontal="center" vertical="center"/>
    </xf>
    <xf numFmtId="2" fontId="25" fillId="0" borderId="2" xfId="4" applyNumberFormat="1" applyFont="1" applyFill="1" applyBorder="1" applyAlignment="1">
      <alignment horizontal="center" vertical="center"/>
    </xf>
    <xf numFmtId="2" fontId="25" fillId="0" borderId="25" xfId="4" applyNumberFormat="1" applyFont="1" applyFill="1" applyBorder="1" applyAlignment="1">
      <alignment horizontal="center" vertical="center"/>
    </xf>
    <xf numFmtId="166" fontId="25" fillId="0" borderId="0" xfId="1" applyNumberFormat="1" applyFont="1" applyFill="1" applyBorder="1" applyAlignment="1">
      <alignment horizontal="center" vertical="center"/>
    </xf>
    <xf numFmtId="2" fontId="25" fillId="0" borderId="9" xfId="1" applyNumberFormat="1" applyFont="1" applyFill="1" applyBorder="1" applyAlignment="1">
      <alignment horizontal="center" vertical="center"/>
    </xf>
    <xf numFmtId="2" fontId="25" fillId="0" borderId="0" xfId="4" applyNumberFormat="1" applyFont="1" applyFill="1" applyBorder="1" applyAlignment="1">
      <alignment horizontal="center" vertical="center"/>
    </xf>
    <xf numFmtId="175" fontId="25" fillId="0" borderId="25" xfId="11" applyNumberFormat="1" applyFont="1" applyFill="1" applyBorder="1" applyAlignment="1">
      <alignment horizontal="center" vertical="center"/>
    </xf>
    <xf numFmtId="174" fontId="25" fillId="0" borderId="25" xfId="1" applyNumberFormat="1" applyFont="1" applyFill="1" applyBorder="1" applyAlignment="1">
      <alignment horizontal="center" vertical="center"/>
    </xf>
    <xf numFmtId="2" fontId="25" fillId="0" borderId="25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7" fontId="23" fillId="0" borderId="0" xfId="0" applyNumberFormat="1" applyFont="1" applyAlignment="1">
      <alignment horizontal="center" vertical="center"/>
    </xf>
    <xf numFmtId="175" fontId="25" fillId="0" borderId="54" xfId="11" applyNumberFormat="1" applyFont="1" applyFill="1" applyBorder="1" applyAlignment="1">
      <alignment horizontal="center" vertical="center"/>
    </xf>
    <xf numFmtId="166" fontId="25" fillId="0" borderId="54" xfId="1" applyNumberFormat="1" applyFont="1" applyFill="1" applyBorder="1" applyAlignment="1">
      <alignment horizontal="center" vertical="center"/>
    </xf>
    <xf numFmtId="2" fontId="25" fillId="0" borderId="18" xfId="1" applyNumberFormat="1" applyFont="1" applyFill="1" applyBorder="1" applyAlignment="1">
      <alignment horizontal="center" vertical="center"/>
    </xf>
    <xf numFmtId="11" fontId="25" fillId="0" borderId="18" xfId="1" applyNumberFormat="1" applyFont="1" applyFill="1" applyBorder="1" applyAlignment="1">
      <alignment horizontal="center" vertical="center"/>
    </xf>
    <xf numFmtId="11" fontId="25" fillId="0" borderId="54" xfId="1" applyNumberFormat="1" applyFont="1" applyFill="1" applyBorder="1" applyAlignment="1">
      <alignment horizontal="center" vertical="center"/>
    </xf>
    <xf numFmtId="174" fontId="25" fillId="0" borderId="54" xfId="1" applyNumberFormat="1" applyFont="1" applyFill="1" applyBorder="1" applyAlignment="1">
      <alignment horizontal="center" vertical="center"/>
    </xf>
    <xf numFmtId="2" fontId="25" fillId="0" borderId="18" xfId="4" applyNumberFormat="1" applyFont="1" applyFill="1" applyBorder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168" fontId="24" fillId="0" borderId="2" xfId="1" applyNumberFormat="1" applyFont="1" applyFill="1" applyBorder="1" applyAlignment="1">
      <alignment horizontal="center" vertical="center" wrapText="1"/>
    </xf>
    <xf numFmtId="168" fontId="25" fillId="0" borderId="32" xfId="1" applyNumberFormat="1" applyFont="1" applyFill="1" applyBorder="1" applyAlignment="1">
      <alignment horizontal="center" vertical="center" wrapText="1"/>
    </xf>
    <xf numFmtId="168" fontId="24" fillId="0" borderId="35" xfId="1" applyNumberFormat="1" applyFont="1" applyFill="1" applyBorder="1" applyAlignment="1">
      <alignment horizontal="center" vertical="center"/>
    </xf>
    <xf numFmtId="2" fontId="24" fillId="0" borderId="18" xfId="1" applyNumberFormat="1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168" fontId="24" fillId="0" borderId="6" xfId="1" applyNumberFormat="1" applyFont="1" applyFill="1" applyBorder="1" applyAlignment="1">
      <alignment horizontal="center" vertical="center" wrapText="1"/>
    </xf>
    <xf numFmtId="168" fontId="24" fillId="0" borderId="67" xfId="1" applyNumberFormat="1" applyFont="1" applyFill="1" applyBorder="1" applyAlignment="1">
      <alignment horizontal="center" vertical="center" wrapText="1"/>
    </xf>
    <xf numFmtId="168" fontId="24" fillId="0" borderId="5" xfId="1" applyNumberFormat="1" applyFont="1" applyFill="1" applyBorder="1" applyAlignment="1">
      <alignment horizontal="center" vertical="center" wrapText="1"/>
    </xf>
    <xf numFmtId="168" fontId="24" fillId="0" borderId="54" xfId="1" applyNumberFormat="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67" xfId="1" applyFont="1" applyFill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center" vertical="center" wrapText="1"/>
    </xf>
    <xf numFmtId="168" fontId="24" fillId="0" borderId="0" xfId="1" applyNumberFormat="1" applyFont="1" applyFill="1" applyBorder="1" applyAlignment="1">
      <alignment horizontal="center" vertical="center" wrapText="1"/>
    </xf>
    <xf numFmtId="168" fontId="24" fillId="0" borderId="1" xfId="1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39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4" fillId="0" borderId="69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168" fontId="24" fillId="0" borderId="65" xfId="1" applyNumberFormat="1" applyFont="1" applyFill="1" applyBorder="1" applyAlignment="1">
      <alignment horizontal="center" vertical="center" wrapText="1"/>
    </xf>
    <xf numFmtId="168" fontId="24" fillId="0" borderId="0" xfId="0" applyNumberFormat="1" applyFont="1" applyAlignment="1">
      <alignment horizontal="center" vertical="center" wrapText="1"/>
    </xf>
    <xf numFmtId="0" fontId="24" fillId="0" borderId="71" xfId="0" applyFont="1" applyBorder="1" applyAlignment="1">
      <alignment horizontal="center" vertical="center" wrapText="1"/>
    </xf>
    <xf numFmtId="168" fontId="24" fillId="0" borderId="63" xfId="0" applyNumberFormat="1" applyFont="1" applyBorder="1" applyAlignment="1">
      <alignment horizontal="center" vertical="center" wrapText="1"/>
    </xf>
    <xf numFmtId="168" fontId="24" fillId="0" borderId="8" xfId="1" applyNumberFormat="1" applyFont="1" applyFill="1" applyBorder="1" applyAlignment="1">
      <alignment horizontal="center" vertical="center" wrapText="1"/>
    </xf>
    <xf numFmtId="168" fontId="24" fillId="0" borderId="64" xfId="1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64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8" fontId="24" fillId="0" borderId="3" xfId="1" applyNumberFormat="1" applyFont="1" applyFill="1" applyBorder="1" applyAlignment="1">
      <alignment horizontal="center" vertical="center" wrapText="1"/>
    </xf>
    <xf numFmtId="168" fontId="24" fillId="0" borderId="26" xfId="1" applyNumberFormat="1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168" fontId="25" fillId="0" borderId="37" xfId="0" applyNumberFormat="1" applyFont="1" applyBorder="1" applyAlignment="1">
      <alignment horizontal="center" vertical="center" wrapText="1"/>
    </xf>
    <xf numFmtId="168" fontId="25" fillId="0" borderId="38" xfId="0" applyNumberFormat="1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168" fontId="25" fillId="0" borderId="37" xfId="11" applyNumberFormat="1" applyFont="1" applyFill="1" applyBorder="1" applyAlignment="1">
      <alignment vertical="center" wrapText="1"/>
    </xf>
    <xf numFmtId="166" fontId="25" fillId="0" borderId="38" xfId="0" applyNumberFormat="1" applyFont="1" applyBorder="1" applyAlignment="1">
      <alignment horizontal="center" vertical="center" wrapText="1"/>
    </xf>
    <xf numFmtId="168" fontId="25" fillId="0" borderId="0" xfId="0" applyNumberFormat="1" applyFont="1" applyAlignment="1">
      <alignment horizontal="center" vertical="center" wrapText="1"/>
    </xf>
    <xf numFmtId="168" fontId="25" fillId="0" borderId="33" xfId="1" applyNumberFormat="1" applyFont="1" applyFill="1" applyBorder="1" applyAlignment="1">
      <alignment horizontal="center" vertical="center" wrapText="1"/>
    </xf>
    <xf numFmtId="168" fontId="25" fillId="0" borderId="42" xfId="1" applyNumberFormat="1" applyFont="1" applyFill="1" applyBorder="1" applyAlignment="1">
      <alignment horizontal="center" vertical="center" wrapText="1"/>
    </xf>
    <xf numFmtId="168" fontId="25" fillId="0" borderId="40" xfId="1" applyNumberFormat="1" applyFont="1" applyFill="1" applyBorder="1" applyAlignment="1">
      <alignment horizontal="center" vertical="center" wrapText="1"/>
    </xf>
    <xf numFmtId="0" fontId="25" fillId="0" borderId="33" xfId="1" applyFont="1" applyFill="1" applyBorder="1" applyAlignment="1">
      <alignment horizontal="center" vertical="center" wrapText="1"/>
    </xf>
    <xf numFmtId="0" fontId="25" fillId="0" borderId="34" xfId="1" applyFont="1" applyFill="1" applyBorder="1" applyAlignment="1">
      <alignment horizontal="center" vertical="center" wrapText="1"/>
    </xf>
    <xf numFmtId="0" fontId="25" fillId="0" borderId="32" xfId="1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0" fontId="25" fillId="0" borderId="16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168" fontId="25" fillId="0" borderId="63" xfId="0" applyNumberFormat="1" applyFont="1" applyBorder="1" applyAlignment="1">
      <alignment horizontal="center" vertical="center" wrapText="1"/>
    </xf>
    <xf numFmtId="0" fontId="25" fillId="0" borderId="68" xfId="0" applyFont="1" applyBorder="1" applyAlignment="1">
      <alignment horizontal="center" vertical="center" wrapText="1"/>
    </xf>
    <xf numFmtId="0" fontId="25" fillId="0" borderId="40" xfId="1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168" fontId="24" fillId="0" borderId="52" xfId="0" applyNumberFormat="1" applyFont="1" applyBorder="1" applyAlignment="1">
      <alignment horizontal="center" vertical="center"/>
    </xf>
    <xf numFmtId="168" fontId="24" fillId="0" borderId="22" xfId="0" applyNumberFormat="1" applyFont="1" applyBorder="1" applyAlignment="1">
      <alignment horizontal="center" vertical="center"/>
    </xf>
    <xf numFmtId="168" fontId="24" fillId="0" borderId="54" xfId="0" applyNumberFormat="1" applyFont="1" applyBorder="1" applyAlignment="1">
      <alignment horizontal="center" vertical="center"/>
    </xf>
    <xf numFmtId="168" fontId="24" fillId="0" borderId="0" xfId="0" applyNumberFormat="1" applyFont="1" applyAlignment="1">
      <alignment horizontal="center" vertical="center"/>
    </xf>
    <xf numFmtId="168" fontId="25" fillId="0" borderId="22" xfId="1" applyNumberFormat="1" applyFont="1" applyFill="1" applyBorder="1" applyAlignment="1">
      <alignment horizontal="center" vertical="center"/>
    </xf>
    <xf numFmtId="164" fontId="24" fillId="0" borderId="53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68" fontId="25" fillId="0" borderId="9" xfId="0" applyNumberFormat="1" applyFont="1" applyBorder="1" applyAlignment="1">
      <alignment horizontal="center" vertical="center"/>
    </xf>
    <xf numFmtId="168" fontId="25" fillId="0" borderId="0" xfId="0" applyNumberFormat="1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168" fontId="25" fillId="0" borderId="9" xfId="11" applyNumberFormat="1" applyFont="1" applyFill="1" applyBorder="1" applyAlignment="1">
      <alignment horizontal="center" vertical="center"/>
    </xf>
    <xf numFmtId="168" fontId="25" fillId="0" borderId="0" xfId="11" applyNumberFormat="1" applyFont="1" applyFill="1" applyBorder="1" applyAlignment="1">
      <alignment horizontal="center" vertical="center"/>
    </xf>
    <xf numFmtId="11" fontId="25" fillId="0" borderId="0" xfId="0" applyNumberFormat="1" applyFont="1" applyAlignment="1">
      <alignment horizontal="center" vertical="center" wrapText="1"/>
    </xf>
    <xf numFmtId="2" fontId="25" fillId="0" borderId="16" xfId="0" applyNumberFormat="1" applyFont="1" applyBorder="1" applyAlignment="1">
      <alignment horizontal="center" vertical="center"/>
    </xf>
    <xf numFmtId="2" fontId="25" fillId="0" borderId="9" xfId="0" applyNumberFormat="1" applyFont="1" applyBorder="1" applyAlignment="1">
      <alignment horizontal="center" vertical="center"/>
    </xf>
    <xf numFmtId="2" fontId="25" fillId="0" borderId="0" xfId="1" applyNumberFormat="1" applyFont="1" applyFill="1" applyBorder="1" applyAlignment="1">
      <alignment horizontal="center" vertical="center"/>
    </xf>
    <xf numFmtId="168" fontId="25" fillId="0" borderId="25" xfId="0" applyNumberFormat="1" applyFont="1" applyBorder="1" applyAlignment="1">
      <alignment horizontal="center" vertical="center"/>
    </xf>
    <xf numFmtId="11" fontId="25" fillId="0" borderId="25" xfId="0" applyNumberFormat="1" applyFont="1" applyBorder="1" applyAlignment="1">
      <alignment horizontal="center" vertical="center"/>
    </xf>
    <xf numFmtId="168" fontId="25" fillId="0" borderId="2" xfId="0" applyNumberFormat="1" applyFont="1" applyBorder="1" applyAlignment="1">
      <alignment horizontal="center" vertical="center"/>
    </xf>
    <xf numFmtId="2" fontId="25" fillId="0" borderId="8" xfId="1" applyNumberFormat="1" applyFont="1" applyFill="1" applyBorder="1" applyAlignment="1">
      <alignment horizontal="center" vertical="center"/>
    </xf>
    <xf numFmtId="166" fontId="25" fillId="0" borderId="1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25" fillId="0" borderId="9" xfId="1" applyNumberFormat="1" applyFont="1" applyFill="1" applyBorder="1" applyAlignment="1">
      <alignment horizontal="center" vertical="center"/>
    </xf>
    <xf numFmtId="2" fontId="25" fillId="0" borderId="16" xfId="1" applyNumberFormat="1" applyFont="1" applyFill="1" applyBorder="1" applyAlignment="1">
      <alignment horizontal="center" vertical="center"/>
    </xf>
    <xf numFmtId="166" fontId="25" fillId="0" borderId="16" xfId="1" applyNumberFormat="1" applyFont="1" applyFill="1" applyBorder="1" applyAlignment="1">
      <alignment horizontal="center" vertical="center"/>
    </xf>
    <xf numFmtId="11" fontId="25" fillId="0" borderId="9" xfId="7" applyNumberFormat="1" applyFont="1" applyFill="1" applyBorder="1" applyAlignment="1">
      <alignment horizontal="center" vertical="center"/>
    </xf>
    <xf numFmtId="11" fontId="25" fillId="0" borderId="16" xfId="1" applyNumberFormat="1" applyFont="1" applyFill="1" applyBorder="1" applyAlignment="1">
      <alignment horizontal="center" vertical="center"/>
    </xf>
    <xf numFmtId="166" fontId="25" fillId="0" borderId="10" xfId="1" applyNumberFormat="1" applyFont="1" applyFill="1" applyBorder="1" applyAlignment="1">
      <alignment horizontal="center" vertical="center"/>
    </xf>
    <xf numFmtId="11" fontId="25" fillId="0" borderId="1" xfId="1" applyNumberFormat="1" applyFont="1" applyFill="1" applyBorder="1" applyAlignment="1">
      <alignment horizontal="center" vertical="center"/>
    </xf>
    <xf numFmtId="2" fontId="25" fillId="0" borderId="10" xfId="4" applyNumberFormat="1" applyFont="1" applyFill="1" applyBorder="1" applyAlignment="1">
      <alignment horizontal="center" vertical="center"/>
    </xf>
    <xf numFmtId="11" fontId="25" fillId="0" borderId="10" xfId="1" applyNumberFormat="1" applyFont="1" applyFill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168" fontId="25" fillId="0" borderId="0" xfId="1" applyNumberFormat="1" applyFont="1" applyFill="1" applyBorder="1" applyAlignment="1">
      <alignment horizontal="center" vertical="center"/>
    </xf>
    <xf numFmtId="174" fontId="25" fillId="0" borderId="9" xfId="1" applyNumberFormat="1" applyFont="1" applyFill="1" applyBorder="1" applyAlignment="1">
      <alignment horizontal="center" vertical="center"/>
    </xf>
    <xf numFmtId="174" fontId="25" fillId="0" borderId="16" xfId="1" applyNumberFormat="1" applyFont="1" applyFill="1" applyBorder="1" applyAlignment="1">
      <alignment horizontal="center" vertical="center"/>
    </xf>
    <xf numFmtId="11" fontId="25" fillId="0" borderId="2" xfId="7" applyNumberFormat="1" applyFont="1" applyFill="1" applyBorder="1" applyAlignment="1">
      <alignment horizontal="center" vertical="center"/>
    </xf>
    <xf numFmtId="11" fontId="25" fillId="0" borderId="1" xfId="1" applyNumberFormat="1" applyFont="1" applyFill="1" applyBorder="1" applyAlignment="1">
      <alignment horizontal="center" vertical="center" wrapText="1"/>
    </xf>
    <xf numFmtId="11" fontId="25" fillId="0" borderId="8" xfId="1" applyNumberFormat="1" applyFont="1" applyFill="1" applyBorder="1" applyAlignment="1">
      <alignment horizontal="center" vertical="center"/>
    </xf>
    <xf numFmtId="164" fontId="25" fillId="0" borderId="8" xfId="4" applyNumberFormat="1" applyFont="1" applyFill="1" applyBorder="1" applyAlignment="1">
      <alignment horizontal="center" vertical="center"/>
    </xf>
    <xf numFmtId="164" fontId="25" fillId="0" borderId="25" xfId="11" applyNumberFormat="1" applyFont="1" applyFill="1" applyBorder="1" applyAlignment="1">
      <alignment horizontal="center" vertical="center"/>
    </xf>
    <xf numFmtId="0" fontId="25" fillId="0" borderId="1" xfId="1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1" fontId="25" fillId="0" borderId="10" xfId="1" applyNumberFormat="1" applyFont="1" applyFill="1" applyBorder="1" applyAlignment="1">
      <alignment horizontal="center" vertical="center" wrapText="1"/>
    </xf>
    <xf numFmtId="164" fontId="25" fillId="0" borderId="16" xfId="4" applyNumberFormat="1" applyFont="1" applyFill="1" applyBorder="1" applyAlignment="1">
      <alignment horizontal="center" vertical="center"/>
    </xf>
    <xf numFmtId="164" fontId="25" fillId="0" borderId="0" xfId="11" applyNumberFormat="1" applyFont="1" applyFill="1" applyBorder="1" applyAlignment="1">
      <alignment horizontal="center" vertical="center"/>
    </xf>
    <xf numFmtId="0" fontId="25" fillId="0" borderId="10" xfId="1" applyFont="1" applyFill="1" applyBorder="1" applyAlignment="1">
      <alignment horizontal="center" vertical="center"/>
    </xf>
    <xf numFmtId="168" fontId="25" fillId="0" borderId="2" xfId="11" applyNumberFormat="1" applyFont="1" applyFill="1" applyBorder="1" applyAlignment="1">
      <alignment horizontal="center" vertical="center"/>
    </xf>
    <xf numFmtId="168" fontId="25" fillId="0" borderId="25" xfId="11" applyNumberFormat="1" applyFont="1" applyFill="1" applyBorder="1" applyAlignment="1">
      <alignment horizontal="center" vertical="center"/>
    </xf>
    <xf numFmtId="11" fontId="25" fillId="0" borderId="25" xfId="0" applyNumberFormat="1" applyFont="1" applyBorder="1" applyAlignment="1">
      <alignment horizontal="center" vertical="center" wrapText="1"/>
    </xf>
    <xf numFmtId="11" fontId="25" fillId="0" borderId="8" xfId="0" applyNumberFormat="1" applyFont="1" applyBorder="1" applyAlignment="1">
      <alignment horizontal="center" vertical="center" wrapText="1"/>
    </xf>
    <xf numFmtId="2" fontId="25" fillId="0" borderId="8" xfId="0" applyNumberFormat="1" applyFont="1" applyBorder="1" applyAlignment="1">
      <alignment horizontal="center" vertical="center"/>
    </xf>
    <xf numFmtId="2" fontId="25" fillId="0" borderId="2" xfId="0" applyNumberFormat="1" applyFont="1" applyBorder="1" applyAlignment="1">
      <alignment horizontal="center" vertical="center"/>
    </xf>
    <xf numFmtId="2" fontId="25" fillId="0" borderId="25" xfId="1" applyNumberFormat="1" applyFont="1" applyFill="1" applyBorder="1" applyAlignment="1">
      <alignment horizontal="center" vertical="center"/>
    </xf>
    <xf numFmtId="166" fontId="25" fillId="0" borderId="2" xfId="1" applyNumberFormat="1" applyFont="1" applyFill="1" applyBorder="1" applyAlignment="1">
      <alignment horizontal="center" vertical="center"/>
    </xf>
    <xf numFmtId="11" fontId="25" fillId="0" borderId="2" xfId="9" applyNumberFormat="1" applyFont="1" applyFill="1" applyBorder="1" applyAlignment="1">
      <alignment horizontal="center" vertical="center"/>
    </xf>
    <xf numFmtId="2" fontId="25" fillId="0" borderId="1" xfId="1" applyNumberFormat="1" applyFont="1" applyFill="1" applyBorder="1" applyAlignment="1">
      <alignment horizontal="center" vertical="center"/>
    </xf>
    <xf numFmtId="166" fontId="25" fillId="0" borderId="2" xfId="0" applyNumberFormat="1" applyFont="1" applyBorder="1" applyAlignment="1">
      <alignment horizontal="center" vertical="center"/>
    </xf>
    <xf numFmtId="168" fontId="25" fillId="0" borderId="25" xfId="1" applyNumberFormat="1" applyFont="1" applyFill="1" applyBorder="1" applyAlignment="1">
      <alignment horizontal="center" vertical="center"/>
    </xf>
    <xf numFmtId="174" fontId="25" fillId="0" borderId="2" xfId="1" applyNumberFormat="1" applyFont="1" applyFill="1" applyBorder="1" applyAlignment="1">
      <alignment horizontal="center" vertical="center"/>
    </xf>
    <xf numFmtId="174" fontId="25" fillId="0" borderId="8" xfId="1" applyNumberFormat="1" applyFont="1" applyFill="1" applyBorder="1" applyAlignment="1">
      <alignment horizontal="center" vertical="center"/>
    </xf>
    <xf numFmtId="164" fontId="25" fillId="0" borderId="8" xfId="0" applyNumberFormat="1" applyFont="1" applyBorder="1" applyAlignment="1">
      <alignment horizontal="center" vertical="center"/>
    </xf>
    <xf numFmtId="164" fontId="25" fillId="0" borderId="8" xfId="1" applyNumberFormat="1" applyFont="1" applyFill="1" applyBorder="1" applyAlignment="1">
      <alignment horizontal="center" vertical="center"/>
    </xf>
    <xf numFmtId="164" fontId="25" fillId="0" borderId="25" xfId="0" applyNumberFormat="1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11" fontId="25" fillId="0" borderId="16" xfId="0" applyNumberFormat="1" applyFont="1" applyBorder="1" applyAlignment="1">
      <alignment horizontal="center" vertical="center" wrapText="1"/>
    </xf>
    <xf numFmtId="11" fontId="25" fillId="0" borderId="9" xfId="9" applyNumberFormat="1" applyFont="1" applyFill="1" applyBorder="1" applyAlignment="1">
      <alignment horizontal="center" vertical="center"/>
    </xf>
    <xf numFmtId="2" fontId="25" fillId="0" borderId="10" xfId="1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6" xfId="1" applyNumberFormat="1" applyFont="1" applyFill="1" applyBorder="1" applyAlignment="1">
      <alignment horizontal="center" vertical="center"/>
    </xf>
    <xf numFmtId="2" fontId="25" fillId="0" borderId="0" xfId="2" applyNumberFormat="1" applyFont="1" applyFill="1" applyAlignment="1">
      <alignment horizontal="center" vertical="center"/>
    </xf>
    <xf numFmtId="166" fontId="25" fillId="0" borderId="0" xfId="0" applyNumberFormat="1" applyFont="1" applyAlignment="1">
      <alignment horizontal="center" vertical="center"/>
    </xf>
    <xf numFmtId="167" fontId="25" fillId="0" borderId="9" xfId="11" applyNumberFormat="1" applyFont="1" applyFill="1" applyBorder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11" fontId="25" fillId="0" borderId="9" xfId="1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168" fontId="25" fillId="0" borderId="18" xfId="0" applyNumberFormat="1" applyFont="1" applyBorder="1" applyAlignment="1">
      <alignment horizontal="center" vertical="center"/>
    </xf>
    <xf numFmtId="11" fontId="25" fillId="0" borderId="54" xfId="0" applyNumberFormat="1" applyFont="1" applyBorder="1" applyAlignment="1">
      <alignment horizontal="center" vertical="center"/>
    </xf>
    <xf numFmtId="168" fontId="25" fillId="0" borderId="54" xfId="0" applyNumberFormat="1" applyFont="1" applyBorder="1" applyAlignment="1">
      <alignment horizontal="center" vertical="center"/>
    </xf>
    <xf numFmtId="166" fontId="25" fillId="0" borderId="54" xfId="0" applyNumberFormat="1" applyFont="1" applyBorder="1" applyAlignment="1">
      <alignment horizontal="center" vertical="center"/>
    </xf>
    <xf numFmtId="2" fontId="25" fillId="0" borderId="54" xfId="0" applyNumberFormat="1" applyFont="1" applyBorder="1" applyAlignment="1">
      <alignment horizontal="center" vertical="center"/>
    </xf>
    <xf numFmtId="167" fontId="25" fillId="0" borderId="18" xfId="11" applyNumberFormat="1" applyFont="1" applyFill="1" applyBorder="1" applyAlignment="1">
      <alignment horizontal="center" vertical="center"/>
    </xf>
    <xf numFmtId="168" fontId="25" fillId="0" borderId="54" xfId="11" applyNumberFormat="1" applyFont="1" applyFill="1" applyBorder="1" applyAlignment="1">
      <alignment horizontal="center" vertical="center"/>
    </xf>
    <xf numFmtId="11" fontId="25" fillId="0" borderId="54" xfId="0" applyNumberFormat="1" applyFont="1" applyBorder="1" applyAlignment="1">
      <alignment horizontal="center" vertical="center" wrapText="1"/>
    </xf>
    <xf numFmtId="11" fontId="25" fillId="0" borderId="23" xfId="0" applyNumberFormat="1" applyFont="1" applyBorder="1" applyAlignment="1">
      <alignment horizontal="center" vertical="center" wrapText="1"/>
    </xf>
    <xf numFmtId="2" fontId="25" fillId="0" borderId="23" xfId="0" applyNumberFormat="1" applyFont="1" applyBorder="1" applyAlignment="1">
      <alignment horizontal="center" vertical="center"/>
    </xf>
    <xf numFmtId="2" fontId="25" fillId="0" borderId="18" xfId="0" applyNumberFormat="1" applyFont="1" applyBorder="1" applyAlignment="1">
      <alignment horizontal="center" vertical="center"/>
    </xf>
    <xf numFmtId="2" fontId="25" fillId="0" borderId="54" xfId="1" applyNumberFormat="1" applyFont="1" applyFill="1" applyBorder="1" applyAlignment="1">
      <alignment horizontal="center" vertical="center"/>
    </xf>
    <xf numFmtId="2" fontId="25" fillId="0" borderId="23" xfId="1" applyNumberFormat="1" applyFont="1" applyFill="1" applyBorder="1" applyAlignment="1">
      <alignment horizontal="center" vertical="center"/>
    </xf>
    <xf numFmtId="166" fontId="25" fillId="0" borderId="17" xfId="1" applyNumberFormat="1" applyFont="1" applyFill="1" applyBorder="1" applyAlignment="1">
      <alignment horizontal="center" vertical="center"/>
    </xf>
    <xf numFmtId="166" fontId="25" fillId="0" borderId="23" xfId="1" applyNumberFormat="1" applyFont="1" applyFill="1" applyBorder="1" applyAlignment="1">
      <alignment horizontal="center" vertical="center"/>
    </xf>
    <xf numFmtId="11" fontId="25" fillId="0" borderId="18" xfId="10" applyNumberFormat="1" applyFont="1" applyFill="1" applyBorder="1" applyAlignment="1">
      <alignment horizontal="center" vertical="center"/>
    </xf>
    <xf numFmtId="11" fontId="25" fillId="0" borderId="23" xfId="1" applyNumberFormat="1" applyFont="1" applyFill="1" applyBorder="1" applyAlignment="1">
      <alignment horizontal="center" vertical="center"/>
    </xf>
    <xf numFmtId="11" fontId="25" fillId="0" borderId="17" xfId="1" applyNumberFormat="1" applyFont="1" applyFill="1" applyBorder="1" applyAlignment="1">
      <alignment horizontal="center" vertical="center"/>
    </xf>
    <xf numFmtId="2" fontId="25" fillId="0" borderId="17" xfId="1" applyNumberFormat="1" applyFont="1" applyFill="1" applyBorder="1" applyAlignment="1">
      <alignment horizontal="center" vertical="center"/>
    </xf>
    <xf numFmtId="166" fontId="25" fillId="0" borderId="18" xfId="0" applyNumberFormat="1" applyFont="1" applyBorder="1" applyAlignment="1">
      <alignment horizontal="center" vertical="center"/>
    </xf>
    <xf numFmtId="168" fontId="25" fillId="0" borderId="54" xfId="1" applyNumberFormat="1" applyFont="1" applyFill="1" applyBorder="1" applyAlignment="1">
      <alignment horizontal="center" vertical="center"/>
    </xf>
    <xf numFmtId="174" fontId="25" fillId="0" borderId="18" xfId="1" applyNumberFormat="1" applyFont="1" applyFill="1" applyBorder="1" applyAlignment="1">
      <alignment horizontal="center" vertical="center"/>
    </xf>
    <xf numFmtId="174" fontId="25" fillId="0" borderId="23" xfId="1" applyNumberFormat="1" applyFont="1" applyFill="1" applyBorder="1" applyAlignment="1">
      <alignment horizontal="center" vertical="center"/>
    </xf>
    <xf numFmtId="11" fontId="25" fillId="0" borderId="18" xfId="9" applyNumberFormat="1" applyFont="1" applyFill="1" applyBorder="1" applyAlignment="1">
      <alignment horizontal="center" vertical="center"/>
    </xf>
    <xf numFmtId="11" fontId="25" fillId="0" borderId="17" xfId="1" applyNumberFormat="1" applyFont="1" applyFill="1" applyBorder="1" applyAlignment="1">
      <alignment horizontal="center" vertical="center" wrapText="1"/>
    </xf>
    <xf numFmtId="164" fontId="25" fillId="0" borderId="23" xfId="0" applyNumberFormat="1" applyFont="1" applyBorder="1" applyAlignment="1">
      <alignment horizontal="center" vertical="center"/>
    </xf>
    <xf numFmtId="164" fontId="25" fillId="0" borderId="23" xfId="1" applyNumberFormat="1" applyFont="1" applyFill="1" applyBorder="1" applyAlignment="1">
      <alignment horizontal="center" vertical="center"/>
    </xf>
    <xf numFmtId="164" fontId="25" fillId="0" borderId="54" xfId="11" applyNumberFormat="1" applyFont="1" applyFill="1" applyBorder="1" applyAlignment="1">
      <alignment horizontal="center" vertical="center"/>
    </xf>
    <xf numFmtId="0" fontId="25" fillId="0" borderId="17" xfId="1" applyFont="1" applyFill="1" applyBorder="1" applyAlignment="1">
      <alignment horizontal="center" vertical="center"/>
    </xf>
    <xf numFmtId="168" fontId="25" fillId="0" borderId="71" xfId="0" applyNumberFormat="1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168" fontId="25" fillId="0" borderId="71" xfId="11" applyNumberFormat="1" applyFont="1" applyFill="1" applyBorder="1" applyAlignment="1">
      <alignment vertical="center" wrapText="1"/>
    </xf>
    <xf numFmtId="166" fontId="25" fillId="0" borderId="63" xfId="0" applyNumberFormat="1" applyFont="1" applyBorder="1" applyAlignment="1">
      <alignment horizontal="center" vertical="center" wrapText="1"/>
    </xf>
    <xf numFmtId="166" fontId="24" fillId="0" borderId="38" xfId="11" applyNumberFormat="1" applyFont="1" applyFill="1" applyBorder="1" applyAlignment="1">
      <alignment horizontal="center" vertical="center" wrapText="1"/>
    </xf>
    <xf numFmtId="168" fontId="25" fillId="0" borderId="37" xfId="1" applyNumberFormat="1" applyFont="1" applyFill="1" applyBorder="1" applyAlignment="1">
      <alignment horizontal="center" vertical="center" wrapText="1"/>
    </xf>
    <xf numFmtId="168" fontId="25" fillId="0" borderId="38" xfId="1" applyNumberFormat="1" applyFont="1" applyFill="1" applyBorder="1" applyAlignment="1">
      <alignment horizontal="center" vertical="center" wrapText="1"/>
    </xf>
    <xf numFmtId="168" fontId="25" fillId="0" borderId="72" xfId="1" applyNumberFormat="1" applyFont="1" applyFill="1" applyBorder="1" applyAlignment="1">
      <alignment horizontal="center" vertical="center" wrapText="1"/>
    </xf>
    <xf numFmtId="168" fontId="25" fillId="0" borderId="36" xfId="1" applyNumberFormat="1" applyFont="1" applyFill="1" applyBorder="1" applyAlignment="1">
      <alignment horizontal="center" vertical="center" wrapText="1"/>
    </xf>
    <xf numFmtId="168" fontId="25" fillId="0" borderId="35" xfId="1" applyNumberFormat="1" applyFont="1" applyFill="1" applyBorder="1" applyAlignment="1">
      <alignment horizontal="center" vertical="center" wrapText="1"/>
    </xf>
    <xf numFmtId="0" fontId="25" fillId="0" borderId="37" xfId="1" applyFont="1" applyFill="1" applyBorder="1" applyAlignment="1">
      <alignment horizontal="center" vertical="center" wrapText="1"/>
    </xf>
    <xf numFmtId="0" fontId="25" fillId="0" borderId="39" xfId="1" applyFont="1" applyFill="1" applyBorder="1" applyAlignment="1">
      <alignment horizontal="center" vertical="center" wrapText="1"/>
    </xf>
    <xf numFmtId="0" fontId="25" fillId="0" borderId="72" xfId="1" applyFont="1" applyFill="1" applyBorder="1" applyAlignment="1">
      <alignment horizontal="center" vertical="center" wrapText="1"/>
    </xf>
    <xf numFmtId="0" fontId="25" fillId="0" borderId="43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38" xfId="1" applyFont="1" applyFill="1" applyBorder="1" applyAlignment="1">
      <alignment horizontal="center" vertical="center" wrapText="1"/>
    </xf>
    <xf numFmtId="168" fontId="25" fillId="0" borderId="39" xfId="1" applyNumberFormat="1" applyFont="1" applyFill="1" applyBorder="1" applyAlignment="1">
      <alignment horizontal="center" vertical="center" wrapText="1"/>
    </xf>
    <xf numFmtId="168" fontId="25" fillId="0" borderId="12" xfId="1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35" xfId="1" applyFont="1" applyFill="1" applyBorder="1" applyAlignment="1">
      <alignment horizontal="center" vertical="center" wrapText="1"/>
    </xf>
    <xf numFmtId="0" fontId="25" fillId="0" borderId="36" xfId="1" applyFont="1" applyFill="1" applyBorder="1" applyAlignment="1">
      <alignment horizontal="center" vertical="center" wrapText="1"/>
    </xf>
    <xf numFmtId="164" fontId="24" fillId="0" borderId="0" xfId="11" applyNumberFormat="1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168" fontId="24" fillId="0" borderId="0" xfId="4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 vertical="center"/>
    </xf>
    <xf numFmtId="166" fontId="25" fillId="0" borderId="0" xfId="0" applyNumberFormat="1" applyFont="1" applyAlignment="1">
      <alignment horizontal="center" vertical="center" wrapText="1"/>
    </xf>
    <xf numFmtId="168" fontId="25" fillId="0" borderId="0" xfId="1" applyNumberFormat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166" fontId="24" fillId="0" borderId="0" xfId="11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8" fontId="24" fillId="0" borderId="0" xfId="1" applyNumberFormat="1" applyFont="1" applyFill="1" applyBorder="1" applyAlignment="1">
      <alignment horizontal="center" vertical="center"/>
    </xf>
    <xf numFmtId="2" fontId="24" fillId="0" borderId="0" xfId="1" applyNumberFormat="1" applyFont="1" applyFill="1" applyBorder="1" applyAlignment="1">
      <alignment horizontal="center" vertical="center"/>
    </xf>
    <xf numFmtId="11" fontId="25" fillId="0" borderId="0" xfId="7" applyNumberFormat="1" applyFont="1" applyFill="1" applyBorder="1" applyAlignment="1">
      <alignment horizontal="center" vertical="center"/>
    </xf>
    <xf numFmtId="11" fontId="25" fillId="0" borderId="0" xfId="9" applyNumberFormat="1" applyFont="1" applyFill="1" applyBorder="1" applyAlignment="1">
      <alignment horizontal="center" vertical="center"/>
    </xf>
    <xf numFmtId="167" fontId="25" fillId="0" borderId="0" xfId="11" applyNumberFormat="1" applyFont="1" applyFill="1" applyBorder="1" applyAlignment="1">
      <alignment horizontal="center" vertical="center"/>
    </xf>
    <xf numFmtId="11" fontId="25" fillId="0" borderId="0" xfId="10" applyNumberFormat="1" applyFont="1" applyFill="1" applyBorder="1" applyAlignment="1">
      <alignment horizontal="center" vertical="center"/>
    </xf>
    <xf numFmtId="168" fontId="24" fillId="0" borderId="25" xfId="1" applyNumberFormat="1" applyFont="1" applyFill="1" applyBorder="1" applyAlignment="1">
      <alignment horizontal="center" vertical="center" wrapText="1"/>
    </xf>
    <xf numFmtId="0" fontId="24" fillId="0" borderId="25" xfId="1" applyFont="1" applyFill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/>
    </xf>
    <xf numFmtId="168" fontId="25" fillId="0" borderId="43" xfId="0" applyNumberFormat="1" applyFont="1" applyBorder="1" applyAlignment="1">
      <alignment horizontal="center" vertical="center"/>
    </xf>
    <xf numFmtId="11" fontId="25" fillId="0" borderId="43" xfId="0" applyNumberFormat="1" applyFont="1" applyBorder="1" applyAlignment="1">
      <alignment horizontal="center" vertical="center"/>
    </xf>
    <xf numFmtId="2" fontId="25" fillId="0" borderId="43" xfId="0" applyNumberFormat="1" applyFont="1" applyBorder="1" applyAlignment="1">
      <alignment horizontal="center" vertical="center"/>
    </xf>
    <xf numFmtId="168" fontId="25" fillId="0" borderId="43" xfId="11" applyNumberFormat="1" applyFont="1" applyFill="1" applyBorder="1" applyAlignment="1">
      <alignment horizontal="center" vertical="center"/>
    </xf>
    <xf numFmtId="175" fontId="25" fillId="0" borderId="43" xfId="11" applyNumberFormat="1" applyFont="1" applyFill="1" applyBorder="1" applyAlignment="1">
      <alignment horizontal="center" vertical="center"/>
    </xf>
    <xf numFmtId="11" fontId="25" fillId="0" borderId="43" xfId="0" applyNumberFormat="1" applyFont="1" applyBorder="1" applyAlignment="1">
      <alignment horizontal="center" vertical="center" wrapText="1"/>
    </xf>
    <xf numFmtId="11" fontId="25" fillId="0" borderId="43" xfId="9" applyNumberFormat="1" applyFont="1" applyFill="1" applyBorder="1" applyAlignment="1">
      <alignment horizontal="center" vertical="center"/>
    </xf>
    <xf numFmtId="11" fontId="25" fillId="0" borderId="43" xfId="1" applyNumberFormat="1" applyFont="1" applyFill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167" fontId="25" fillId="0" borderId="54" xfId="11" applyNumberFormat="1" applyFont="1" applyFill="1" applyBorder="1" applyAlignment="1">
      <alignment horizontal="center" vertical="center"/>
    </xf>
    <xf numFmtId="11" fontId="25" fillId="0" borderId="54" xfId="10" applyNumberFormat="1" applyFont="1" applyFill="1" applyBorder="1" applyAlignment="1">
      <alignment horizontal="center" vertical="center"/>
    </xf>
    <xf numFmtId="168" fontId="25" fillId="0" borderId="0" xfId="11" applyNumberFormat="1" applyFont="1" applyFill="1" applyBorder="1" applyAlignment="1">
      <alignment horizontal="center" vertical="center" wrapText="1"/>
    </xf>
    <xf numFmtId="11" fontId="25" fillId="0" borderId="43" xfId="4" applyNumberFormat="1" applyFont="1" applyFill="1" applyBorder="1" applyAlignment="1">
      <alignment horizontal="center" vertical="center"/>
    </xf>
    <xf numFmtId="11" fontId="25" fillId="0" borderId="0" xfId="4" applyNumberFormat="1" applyFont="1" applyFill="1" applyBorder="1" applyAlignment="1">
      <alignment horizontal="center" vertical="center"/>
    </xf>
    <xf numFmtId="11" fontId="24" fillId="0" borderId="0" xfId="0" applyNumberFormat="1" applyFont="1" applyAlignment="1">
      <alignment horizontal="center" vertical="center"/>
    </xf>
    <xf numFmtId="164" fontId="25" fillId="0" borderId="0" xfId="4" applyNumberFormat="1" applyFont="1" applyFill="1" applyBorder="1" applyAlignment="1">
      <alignment horizontal="center" vertical="center"/>
    </xf>
    <xf numFmtId="164" fontId="25" fillId="0" borderId="54" xfId="0" applyNumberFormat="1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 wrapText="1"/>
    </xf>
    <xf numFmtId="2" fontId="25" fillId="0" borderId="69" xfId="4" applyNumberFormat="1" applyFont="1" applyFill="1" applyBorder="1" applyAlignment="1">
      <alignment horizontal="center" vertical="center"/>
    </xf>
    <xf numFmtId="164" fontId="25" fillId="0" borderId="69" xfId="4" applyNumberFormat="1" applyFont="1" applyFill="1" applyBorder="1" applyAlignment="1">
      <alignment horizontal="center" vertical="center"/>
    </xf>
    <xf numFmtId="164" fontId="25" fillId="0" borderId="70" xfId="4" applyNumberFormat="1" applyFont="1" applyFill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3" fillId="5" borderId="0" xfId="4" applyFont="1" applyAlignment="1">
      <alignment horizontal="center" vertical="center"/>
    </xf>
    <xf numFmtId="11" fontId="33" fillId="5" borderId="0" xfId="4" applyNumberFormat="1" applyFont="1" applyAlignment="1">
      <alignment horizontal="center" vertical="center"/>
    </xf>
    <xf numFmtId="168" fontId="24" fillId="0" borderId="0" xfId="1" applyNumberFormat="1" applyFont="1" applyFill="1" applyBorder="1" applyAlignment="1">
      <alignment horizontal="center" vertical="center"/>
    </xf>
    <xf numFmtId="168" fontId="24" fillId="0" borderId="38" xfId="11" applyNumberFormat="1" applyFont="1" applyFill="1" applyBorder="1" applyAlignment="1">
      <alignment horizontal="center" vertical="center"/>
    </xf>
    <xf numFmtId="164" fontId="24" fillId="0" borderId="0" xfId="11" applyNumberFormat="1" applyFont="1" applyFill="1" applyBorder="1" applyAlignment="1">
      <alignment horizontal="center" vertical="center" wrapText="1"/>
    </xf>
    <xf numFmtId="166" fontId="24" fillId="0" borderId="63" xfId="11" applyNumberFormat="1" applyFont="1" applyFill="1" applyBorder="1" applyAlignment="1">
      <alignment horizontal="center" vertical="center" wrapText="1"/>
    </xf>
    <xf numFmtId="166" fontId="24" fillId="0" borderId="38" xfId="11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168" fontId="22" fillId="0" borderId="0" xfId="0" applyNumberFormat="1" applyFont="1" applyBorder="1" applyAlignment="1">
      <alignment horizontal="center" vertical="center" wrapText="1"/>
    </xf>
    <xf numFmtId="168" fontId="22" fillId="0" borderId="0" xfId="0" applyNumberFormat="1" applyFont="1" applyBorder="1" applyAlignment="1">
      <alignment horizontal="center" wrapText="1"/>
    </xf>
    <xf numFmtId="11" fontId="23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center" vertical="center" wrapText="1"/>
    </xf>
    <xf numFmtId="168" fontId="2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2" fontId="22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2" fontId="23" fillId="0" borderId="0" xfId="0" applyNumberFormat="1" applyFont="1" applyBorder="1" applyAlignment="1">
      <alignment horizontal="center" wrapText="1"/>
    </xf>
    <xf numFmtId="164" fontId="23" fillId="0" borderId="0" xfId="0" applyNumberFormat="1" applyFont="1" applyBorder="1" applyAlignment="1">
      <alignment horizontal="center" wrapText="1"/>
    </xf>
    <xf numFmtId="0" fontId="22" fillId="0" borderId="0" xfId="0" applyFont="1" applyBorder="1" applyAlignment="1">
      <alignment wrapText="1"/>
    </xf>
    <xf numFmtId="2" fontId="22" fillId="0" borderId="0" xfId="0" applyNumberFormat="1" applyFont="1" applyAlignment="1">
      <alignment horizontal="center" wrapText="1"/>
    </xf>
    <xf numFmtId="164" fontId="22" fillId="0" borderId="0" xfId="0" applyNumberFormat="1" applyFont="1" applyAlignment="1">
      <alignment horizontal="center" wrapText="1"/>
    </xf>
    <xf numFmtId="2" fontId="22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 vertical="center" wrapText="1"/>
    </xf>
    <xf numFmtId="164" fontId="34" fillId="0" borderId="0" xfId="0" applyNumberFormat="1" applyFont="1" applyBorder="1" applyAlignment="1">
      <alignment horizontal="center" vertical="center" wrapText="1"/>
    </xf>
    <xf numFmtId="168" fontId="24" fillId="0" borderId="44" xfId="11" applyNumberFormat="1" applyFont="1" applyFill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/>
    </xf>
    <xf numFmtId="2" fontId="25" fillId="0" borderId="43" xfId="11" applyNumberFormat="1" applyFont="1" applyFill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17" xfId="0" applyNumberFormat="1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 wrapText="1"/>
    </xf>
    <xf numFmtId="166" fontId="3" fillId="0" borderId="2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166" fontId="13" fillId="0" borderId="17" xfId="0" applyNumberFormat="1" applyFont="1" applyBorder="1" applyAlignment="1">
      <alignment horizontal="center" vertical="center" wrapText="1"/>
    </xf>
    <xf numFmtId="164" fontId="24" fillId="0" borderId="25" xfId="11" applyNumberFormat="1" applyFont="1" applyFill="1" applyBorder="1" applyAlignment="1">
      <alignment horizontal="center" vertical="center" wrapText="1"/>
    </xf>
    <xf numFmtId="164" fontId="24" fillId="0" borderId="0" xfId="11" applyNumberFormat="1" applyFont="1" applyFill="1" applyBorder="1" applyAlignment="1">
      <alignment horizontal="center" vertical="center" wrapText="1"/>
    </xf>
    <xf numFmtId="164" fontId="24" fillId="0" borderId="10" xfId="11" applyNumberFormat="1" applyFont="1" applyFill="1" applyBorder="1" applyAlignment="1">
      <alignment horizontal="center" vertical="center"/>
    </xf>
    <xf numFmtId="168" fontId="24" fillId="0" borderId="35" xfId="1" applyNumberFormat="1" applyFont="1" applyFill="1" applyBorder="1" applyAlignment="1">
      <alignment horizontal="center" vertical="center"/>
    </xf>
    <xf numFmtId="168" fontId="24" fillId="0" borderId="18" xfId="1" applyNumberFormat="1" applyFont="1" applyFill="1" applyBorder="1" applyAlignment="1">
      <alignment horizontal="center" vertical="center"/>
    </xf>
    <xf numFmtId="168" fontId="24" fillId="0" borderId="37" xfId="0" applyNumberFormat="1" applyFont="1" applyBorder="1" applyAlignment="1">
      <alignment horizontal="center" vertical="center"/>
    </xf>
    <xf numFmtId="168" fontId="24" fillId="0" borderId="11" xfId="0" applyNumberFormat="1" applyFont="1" applyBorder="1" applyAlignment="1">
      <alignment horizontal="center" vertical="center"/>
    </xf>
    <xf numFmtId="168" fontId="24" fillId="0" borderId="72" xfId="1" applyNumberFormat="1" applyFont="1" applyFill="1" applyBorder="1" applyAlignment="1">
      <alignment horizontal="center" vertical="center"/>
    </xf>
    <xf numFmtId="168" fontId="24" fillId="0" borderId="17" xfId="1" applyNumberFormat="1" applyFont="1" applyFill="1" applyBorder="1" applyAlignment="1">
      <alignment horizontal="center" vertical="center"/>
    </xf>
    <xf numFmtId="168" fontId="24" fillId="0" borderId="40" xfId="1" applyNumberFormat="1" applyFont="1" applyFill="1" applyBorder="1" applyAlignment="1">
      <alignment horizontal="center" vertical="center"/>
    </xf>
    <xf numFmtId="168" fontId="24" fillId="0" borderId="53" xfId="1" applyNumberFormat="1" applyFont="1" applyFill="1" applyBorder="1" applyAlignment="1">
      <alignment horizontal="center" vertical="center"/>
    </xf>
    <xf numFmtId="168" fontId="24" fillId="0" borderId="38" xfId="1" applyNumberFormat="1" applyFont="1" applyFill="1" applyBorder="1" applyAlignment="1">
      <alignment horizontal="center" vertical="center"/>
    </xf>
    <xf numFmtId="168" fontId="24" fillId="0" borderId="52" xfId="1" applyNumberFormat="1" applyFont="1" applyFill="1" applyBorder="1" applyAlignment="1">
      <alignment horizontal="center" vertical="center"/>
    </xf>
    <xf numFmtId="168" fontId="24" fillId="0" borderId="37" xfId="1" applyNumberFormat="1" applyFont="1" applyFill="1" applyBorder="1" applyAlignment="1">
      <alignment horizontal="center" vertical="center"/>
    </xf>
    <xf numFmtId="168" fontId="24" fillId="0" borderId="21" xfId="1" applyNumberFormat="1" applyFont="1" applyFill="1" applyBorder="1" applyAlignment="1">
      <alignment horizontal="center" vertical="center"/>
    </xf>
    <xf numFmtId="168" fontId="24" fillId="0" borderId="9" xfId="1" applyNumberFormat="1" applyFont="1" applyFill="1" applyBorder="1" applyAlignment="1">
      <alignment horizontal="center" vertical="center"/>
    </xf>
    <xf numFmtId="168" fontId="24" fillId="0" borderId="12" xfId="1" applyNumberFormat="1" applyFont="1" applyFill="1" applyBorder="1" applyAlignment="1">
      <alignment horizontal="center" vertical="center"/>
    </xf>
    <xf numFmtId="168" fontId="24" fillId="0" borderId="38" xfId="0" applyNumberFormat="1" applyFont="1" applyBorder="1" applyAlignment="1">
      <alignment horizontal="center" vertical="center"/>
    </xf>
    <xf numFmtId="168" fontId="24" fillId="0" borderId="44" xfId="0" applyNumberFormat="1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168" fontId="24" fillId="0" borderId="63" xfId="0" applyNumberFormat="1" applyFont="1" applyBorder="1" applyAlignment="1">
      <alignment horizontal="center" vertical="center"/>
    </xf>
    <xf numFmtId="168" fontId="24" fillId="0" borderId="52" xfId="0" applyNumberFormat="1" applyFont="1" applyBorder="1" applyAlignment="1">
      <alignment horizontal="center" vertical="center"/>
    </xf>
    <xf numFmtId="168" fontId="24" fillId="0" borderId="71" xfId="0" applyNumberFormat="1" applyFont="1" applyBorder="1" applyAlignment="1">
      <alignment horizontal="center" vertical="center"/>
    </xf>
    <xf numFmtId="168" fontId="24" fillId="0" borderId="21" xfId="0" applyNumberFormat="1" applyFont="1" applyBorder="1" applyAlignment="1">
      <alignment horizontal="center" vertical="center"/>
    </xf>
    <xf numFmtId="0" fontId="24" fillId="0" borderId="63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168" fontId="24" fillId="0" borderId="38" xfId="11" applyNumberFormat="1" applyFont="1" applyFill="1" applyBorder="1" applyAlignment="1">
      <alignment horizontal="center" vertical="center"/>
    </xf>
    <xf numFmtId="168" fontId="24" fillId="0" borderId="52" xfId="11" applyNumberFormat="1" applyFont="1" applyFill="1" applyBorder="1" applyAlignment="1">
      <alignment horizontal="center" vertical="center"/>
    </xf>
    <xf numFmtId="168" fontId="24" fillId="0" borderId="63" xfId="11" applyNumberFormat="1" applyFont="1" applyFill="1" applyBorder="1" applyAlignment="1">
      <alignment horizontal="center" vertical="center"/>
    </xf>
    <xf numFmtId="168" fontId="24" fillId="0" borderId="71" xfId="11" applyNumberFormat="1" applyFont="1" applyFill="1" applyBorder="1" applyAlignment="1">
      <alignment horizontal="center" vertical="center"/>
    </xf>
    <xf numFmtId="168" fontId="24" fillId="0" borderId="21" xfId="11" applyNumberFormat="1" applyFont="1" applyFill="1" applyBorder="1" applyAlignment="1">
      <alignment horizontal="center" vertical="center"/>
    </xf>
    <xf numFmtId="0" fontId="24" fillId="0" borderId="44" xfId="0" applyFont="1" applyBorder="1" applyAlignment="1">
      <alignment horizontal="center" vertical="center" wrapText="1"/>
    </xf>
    <xf numFmtId="168" fontId="24" fillId="0" borderId="71" xfId="11" applyNumberFormat="1" applyFont="1" applyFill="1" applyBorder="1" applyAlignment="1">
      <alignment horizontal="center" vertical="center" wrapText="1"/>
    </xf>
    <xf numFmtId="168" fontId="24" fillId="0" borderId="37" xfId="11" applyNumberFormat="1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62" xfId="0" applyFont="1" applyBorder="1" applyAlignment="1">
      <alignment horizontal="center" vertical="center"/>
    </xf>
    <xf numFmtId="0" fontId="23" fillId="0" borderId="63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166" fontId="26" fillId="6" borderId="39" xfId="5" applyNumberFormat="1" applyFont="1" applyBorder="1" applyAlignment="1">
      <alignment horizontal="center" vertical="center"/>
    </xf>
    <xf numFmtId="166" fontId="26" fillId="6" borderId="41" xfId="5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2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11" fontId="24" fillId="0" borderId="5" xfId="0" applyNumberFormat="1" applyFont="1" applyBorder="1" applyAlignment="1">
      <alignment horizontal="center" vertical="center"/>
    </xf>
    <xf numFmtId="11" fontId="24" fillId="0" borderId="6" xfId="0" applyNumberFormat="1" applyFont="1" applyBorder="1" applyAlignment="1">
      <alignment horizontal="center" vertical="center"/>
    </xf>
    <xf numFmtId="11" fontId="24" fillId="0" borderId="25" xfId="0" applyNumberFormat="1" applyFont="1" applyBorder="1" applyAlignment="1">
      <alignment horizontal="center" vertical="center"/>
    </xf>
    <xf numFmtId="11" fontId="24" fillId="0" borderId="7" xfId="0" applyNumberFormat="1" applyFont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 wrapText="1"/>
    </xf>
    <xf numFmtId="0" fontId="24" fillId="0" borderId="2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166" fontId="24" fillId="0" borderId="63" xfId="0" applyNumberFormat="1" applyFont="1" applyBorder="1" applyAlignment="1">
      <alignment horizontal="center" vertical="center" wrapText="1"/>
    </xf>
    <xf numFmtId="166" fontId="24" fillId="0" borderId="38" xfId="0" applyNumberFormat="1" applyFont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5" fillId="0" borderId="37" xfId="1" applyFont="1" applyFill="1" applyBorder="1" applyAlignment="1">
      <alignment horizontal="center" vertical="center" wrapText="1"/>
    </xf>
    <xf numFmtId="0" fontId="25" fillId="0" borderId="38" xfId="1" applyFont="1" applyFill="1" applyBorder="1" applyAlignment="1">
      <alignment horizontal="center" vertical="center" wrapText="1"/>
    </xf>
    <xf numFmtId="0" fontId="25" fillId="0" borderId="40" xfId="1" applyFont="1" applyFill="1" applyBorder="1" applyAlignment="1">
      <alignment horizontal="center" vertical="center" wrapText="1"/>
    </xf>
    <xf numFmtId="168" fontId="25" fillId="0" borderId="37" xfId="1" applyNumberFormat="1" applyFont="1" applyFill="1" applyBorder="1" applyAlignment="1">
      <alignment horizontal="center" vertical="center" wrapText="1"/>
    </xf>
    <xf numFmtId="168" fontId="25" fillId="0" borderId="39" xfId="1" applyNumberFormat="1" applyFont="1" applyFill="1" applyBorder="1" applyAlignment="1">
      <alignment horizontal="center" vertical="center" wrapText="1"/>
    </xf>
    <xf numFmtId="0" fontId="24" fillId="0" borderId="27" xfId="1" applyFont="1" applyFill="1" applyBorder="1" applyAlignment="1">
      <alignment horizontal="center" vertical="center" wrapText="1"/>
    </xf>
    <xf numFmtId="0" fontId="24" fillId="0" borderId="29" xfId="1" applyFont="1" applyFill="1" applyBorder="1" applyAlignment="1">
      <alignment horizontal="center" vertical="center" wrapText="1"/>
    </xf>
    <xf numFmtId="168" fontId="24" fillId="0" borderId="5" xfId="1" applyNumberFormat="1" applyFont="1" applyFill="1" applyBorder="1" applyAlignment="1">
      <alignment horizontal="center" vertical="center" wrapText="1"/>
    </xf>
    <xf numFmtId="168" fontId="24" fillId="0" borderId="6" xfId="1" applyNumberFormat="1" applyFont="1" applyFill="1" applyBorder="1" applyAlignment="1">
      <alignment horizontal="center" vertical="center" wrapText="1"/>
    </xf>
    <xf numFmtId="168" fontId="24" fillId="0" borderId="7" xfId="1" applyNumberFormat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24" fillId="0" borderId="16" xfId="1" applyFont="1" applyFill="1" applyBorder="1" applyAlignment="1">
      <alignment horizontal="center" vertical="center"/>
    </xf>
    <xf numFmtId="168" fontId="24" fillId="0" borderId="9" xfId="1" applyNumberFormat="1" applyFont="1" applyFill="1" applyBorder="1" applyAlignment="1">
      <alignment horizontal="center" vertical="center" wrapText="1"/>
    </xf>
    <xf numFmtId="168" fontId="24" fillId="0" borderId="16" xfId="1" applyNumberFormat="1" applyFont="1" applyFill="1" applyBorder="1" applyAlignment="1">
      <alignment horizontal="center" vertical="center" wrapText="1"/>
    </xf>
    <xf numFmtId="168" fontId="24" fillId="0" borderId="27" xfId="0" applyNumberFormat="1" applyFont="1" applyBorder="1" applyAlignment="1">
      <alignment horizontal="center" vertical="center" wrapText="1"/>
    </xf>
    <xf numFmtId="168" fontId="24" fillId="0" borderId="28" xfId="0" applyNumberFormat="1" applyFont="1" applyBorder="1" applyAlignment="1">
      <alignment horizontal="center" vertical="center" wrapText="1"/>
    </xf>
    <xf numFmtId="168" fontId="25" fillId="0" borderId="40" xfId="1" applyNumberFormat="1" applyFont="1" applyFill="1" applyBorder="1" applyAlignment="1">
      <alignment horizontal="center" vertical="center" wrapText="1"/>
    </xf>
    <xf numFmtId="168" fontId="25" fillId="0" borderId="38" xfId="1" applyNumberFormat="1" applyFont="1" applyFill="1" applyBorder="1" applyAlignment="1">
      <alignment horizontal="center" vertical="center" wrapText="1"/>
    </xf>
    <xf numFmtId="0" fontId="25" fillId="0" borderId="39" xfId="1" applyFont="1" applyFill="1" applyBorder="1" applyAlignment="1">
      <alignment horizontal="center" vertical="center" wrapText="1"/>
    </xf>
    <xf numFmtId="168" fontId="24" fillId="0" borderId="27" xfId="1" applyNumberFormat="1" applyFont="1" applyFill="1" applyBorder="1" applyAlignment="1">
      <alignment horizontal="center" vertical="center" wrapText="1"/>
    </xf>
    <xf numFmtId="168" fontId="24" fillId="0" borderId="29" xfId="1" applyNumberFormat="1" applyFont="1" applyFill="1" applyBorder="1" applyAlignment="1">
      <alignment horizontal="center" vertical="center" wrapText="1"/>
    </xf>
    <xf numFmtId="168" fontId="24" fillId="0" borderId="73" xfId="1" applyNumberFormat="1" applyFont="1" applyFill="1" applyBorder="1" applyAlignment="1">
      <alignment horizontal="center" vertical="center" wrapText="1"/>
    </xf>
    <xf numFmtId="168" fontId="24" fillId="0" borderId="74" xfId="1" applyNumberFormat="1" applyFont="1" applyFill="1" applyBorder="1" applyAlignment="1">
      <alignment horizontal="center" vertical="center" wrapText="1"/>
    </xf>
    <xf numFmtId="168" fontId="24" fillId="0" borderId="2" xfId="1" applyNumberFormat="1" applyFont="1" applyFill="1" applyBorder="1" applyAlignment="1">
      <alignment horizontal="center" vertical="center" wrapText="1"/>
    </xf>
    <xf numFmtId="168" fontId="24" fillId="0" borderId="25" xfId="1" applyNumberFormat="1" applyFont="1" applyFill="1" applyBorder="1" applyAlignment="1">
      <alignment horizontal="center" vertical="center" wrapText="1"/>
    </xf>
    <xf numFmtId="168" fontId="24" fillId="0" borderId="8" xfId="1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4" fontId="24" fillId="0" borderId="17" xfId="1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0" xfId="1" applyFont="1" applyFill="1" applyBorder="1" applyAlignment="1">
      <alignment horizontal="center" vertical="center" wrapText="1"/>
    </xf>
    <xf numFmtId="0" fontId="24" fillId="0" borderId="64" xfId="1" applyFont="1" applyFill="1" applyBorder="1" applyAlignment="1">
      <alignment horizontal="center" vertical="center" wrapText="1"/>
    </xf>
    <xf numFmtId="2" fontId="24" fillId="0" borderId="25" xfId="0" applyNumberFormat="1" applyFont="1" applyBorder="1" applyAlignment="1">
      <alignment horizontal="center" vertical="center" wrapText="1"/>
    </xf>
    <xf numFmtId="2" fontId="24" fillId="0" borderId="0" xfId="0" applyNumberFormat="1" applyFont="1" applyAlignment="1">
      <alignment horizontal="center" vertical="center" wrapText="1"/>
    </xf>
    <xf numFmtId="0" fontId="25" fillId="0" borderId="1" xfId="4" applyFont="1" applyFill="1" applyBorder="1" applyAlignment="1">
      <alignment horizontal="center" vertical="center" wrapText="1"/>
    </xf>
    <xf numFmtId="0" fontId="25" fillId="0" borderId="10" xfId="4" applyFont="1" applyFill="1" applyBorder="1" applyAlignment="1">
      <alignment horizontal="center" vertical="center" wrapText="1"/>
    </xf>
    <xf numFmtId="0" fontId="25" fillId="0" borderId="17" xfId="4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168" fontId="24" fillId="0" borderId="39" xfId="1" applyNumberFormat="1" applyFont="1" applyFill="1" applyBorder="1" applyAlignment="1">
      <alignment horizontal="center" vertical="center"/>
    </xf>
    <xf numFmtId="168" fontId="24" fillId="0" borderId="22" xfId="1" applyNumberFormat="1" applyFont="1" applyFill="1" applyBorder="1" applyAlignment="1">
      <alignment horizontal="center" vertical="center"/>
    </xf>
    <xf numFmtId="168" fontId="24" fillId="0" borderId="32" xfId="1" applyNumberFormat="1" applyFont="1" applyFill="1" applyBorder="1" applyAlignment="1">
      <alignment horizontal="center" vertical="center"/>
    </xf>
    <xf numFmtId="168" fontId="24" fillId="0" borderId="48" xfId="1" applyNumberFormat="1" applyFont="1" applyFill="1" applyBorder="1" applyAlignment="1">
      <alignment horizontal="center" vertical="center"/>
    </xf>
    <xf numFmtId="2" fontId="24" fillId="0" borderId="37" xfId="1" applyNumberFormat="1" applyFont="1" applyFill="1" applyBorder="1" applyAlignment="1">
      <alignment horizontal="center" vertical="center"/>
    </xf>
    <xf numFmtId="2" fontId="24" fillId="0" borderId="21" xfId="1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2" fontId="24" fillId="0" borderId="23" xfId="0" applyNumberFormat="1" applyFont="1" applyBorder="1" applyAlignment="1">
      <alignment horizontal="center" vertical="center"/>
    </xf>
    <xf numFmtId="168" fontId="24" fillId="0" borderId="20" xfId="1" applyNumberFormat="1" applyFont="1" applyFill="1" applyBorder="1" applyAlignment="1">
      <alignment horizontal="center" vertical="center"/>
    </xf>
    <xf numFmtId="168" fontId="24" fillId="0" borderId="10" xfId="1" applyNumberFormat="1" applyFont="1" applyFill="1" applyBorder="1" applyAlignment="1">
      <alignment horizontal="center" vertical="center"/>
    </xf>
    <xf numFmtId="168" fontId="24" fillId="0" borderId="36" xfId="1" applyNumberFormat="1" applyFont="1" applyFill="1" applyBorder="1" applyAlignment="1">
      <alignment horizontal="center" vertical="center"/>
    </xf>
    <xf numFmtId="168" fontId="24" fillId="0" borderId="23" xfId="1" applyNumberFormat="1" applyFont="1" applyFill="1" applyBorder="1" applyAlignment="1">
      <alignment horizontal="center" vertical="center"/>
    </xf>
    <xf numFmtId="168" fontId="24" fillId="0" borderId="43" xfId="1" applyNumberFormat="1" applyFont="1" applyFill="1" applyBorder="1" applyAlignment="1">
      <alignment horizontal="center" vertical="center"/>
    </xf>
    <xf numFmtId="168" fontId="24" fillId="0" borderId="54" xfId="1" applyNumberFormat="1" applyFont="1" applyFill="1" applyBorder="1" applyAlignment="1">
      <alignment horizontal="center" vertical="center"/>
    </xf>
    <xf numFmtId="168" fontId="25" fillId="0" borderId="32" xfId="1" applyNumberFormat="1" applyFont="1" applyFill="1" applyBorder="1" applyAlignment="1">
      <alignment horizontal="center" vertical="center" wrapText="1"/>
    </xf>
    <xf numFmtId="168" fontId="25" fillId="0" borderId="42" xfId="1" applyNumberFormat="1" applyFont="1" applyFill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3" fillId="0" borderId="0" xfId="0" applyFont="1" applyAlignment="1"/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168" fontId="24" fillId="0" borderId="71" xfId="0" applyNumberFormat="1" applyFont="1" applyBorder="1" applyAlignment="1">
      <alignment horizontal="center" vertical="center" wrapText="1"/>
    </xf>
    <xf numFmtId="168" fontId="24" fillId="0" borderId="11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166" fontId="24" fillId="0" borderId="63" xfId="11" applyNumberFormat="1" applyFont="1" applyFill="1" applyBorder="1" applyAlignment="1">
      <alignment horizontal="center" vertical="center" wrapText="1"/>
    </xf>
    <xf numFmtId="166" fontId="24" fillId="0" borderId="38" xfId="11" applyNumberFormat="1" applyFont="1" applyFill="1" applyBorder="1" applyAlignment="1">
      <alignment horizontal="center" vertical="center" wrapText="1"/>
    </xf>
    <xf numFmtId="168" fontId="24" fillId="0" borderId="63" xfId="0" applyNumberFormat="1" applyFont="1" applyBorder="1" applyAlignment="1">
      <alignment horizontal="center" vertical="center" wrapText="1"/>
    </xf>
    <xf numFmtId="168" fontId="24" fillId="0" borderId="4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168" fontId="3" fillId="0" borderId="28" xfId="0" applyNumberFormat="1" applyFont="1" applyBorder="1" applyAlignment="1">
      <alignment horizontal="center" vertical="center" wrapText="1"/>
    </xf>
    <xf numFmtId="168" fontId="3" fillId="0" borderId="38" xfId="0" applyNumberFormat="1" applyFont="1" applyBorder="1" applyAlignment="1">
      <alignment horizontal="center" vertical="center" wrapText="1"/>
    </xf>
    <xf numFmtId="0" fontId="3" fillId="9" borderId="28" xfId="8" applyFont="1" applyBorder="1" applyAlignment="1">
      <alignment horizontal="center" vertical="center" wrapText="1"/>
    </xf>
    <xf numFmtId="0" fontId="3" fillId="9" borderId="38" xfId="8" applyFont="1" applyBorder="1" applyAlignment="1">
      <alignment horizontal="center" vertical="center" wrapText="1"/>
    </xf>
    <xf numFmtId="0" fontId="3" fillId="9" borderId="52" xfId="8" applyFont="1" applyBorder="1" applyAlignment="1">
      <alignment horizontal="center" vertical="center" wrapText="1"/>
    </xf>
    <xf numFmtId="11" fontId="3" fillId="8" borderId="52" xfId="7" applyNumberFormat="1" applyFont="1" applyBorder="1" applyAlignment="1">
      <alignment horizontal="center" vertical="center" wrapText="1"/>
    </xf>
    <xf numFmtId="11" fontId="3" fillId="9" borderId="52" xfId="8" applyNumberFormat="1" applyFont="1" applyBorder="1" applyAlignment="1">
      <alignment horizontal="center" vertical="center" wrapText="1"/>
    </xf>
    <xf numFmtId="0" fontId="10" fillId="6" borderId="56" xfId="5" applyBorder="1" applyAlignment="1">
      <alignment horizontal="center" vertical="center"/>
    </xf>
    <xf numFmtId="0" fontId="10" fillId="6" borderId="0" xfId="5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5" fontId="3" fillId="0" borderId="66" xfId="0" applyNumberFormat="1" applyFont="1" applyBorder="1" applyAlignment="1">
      <alignment horizontal="center" vertical="center"/>
    </xf>
    <xf numFmtId="168" fontId="24" fillId="0" borderId="25" xfId="0" applyNumberFormat="1" applyFont="1" applyBorder="1" applyAlignment="1">
      <alignment horizontal="center" vertical="center" wrapText="1"/>
    </xf>
    <xf numFmtId="168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8" fontId="24" fillId="0" borderId="25" xfId="11" applyNumberFormat="1" applyFont="1" applyFill="1" applyBorder="1" applyAlignment="1">
      <alignment horizontal="center" vertical="center" wrapText="1"/>
    </xf>
    <xf numFmtId="168" fontId="24" fillId="0" borderId="0" xfId="11" applyNumberFormat="1" applyFont="1" applyFill="1" applyBorder="1" applyAlignment="1">
      <alignment horizontal="center" vertical="center" wrapText="1"/>
    </xf>
    <xf numFmtId="166" fontId="24" fillId="0" borderId="25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166" fontId="24" fillId="0" borderId="25" xfId="11" applyNumberFormat="1" applyFont="1" applyFill="1" applyBorder="1" applyAlignment="1">
      <alignment horizontal="center" vertical="center" wrapText="1"/>
    </xf>
    <xf numFmtId="166" fontId="24" fillId="0" borderId="0" xfId="11" applyNumberFormat="1" applyFont="1" applyFill="1" applyBorder="1" applyAlignment="1">
      <alignment horizontal="center" vertical="center" wrapText="1"/>
    </xf>
    <xf numFmtId="11" fontId="24" fillId="0" borderId="2" xfId="0" applyNumberFormat="1" applyFont="1" applyBorder="1" applyAlignment="1">
      <alignment horizontal="center" vertical="center"/>
    </xf>
    <xf numFmtId="11" fontId="24" fillId="0" borderId="8" xfId="0" applyNumberFormat="1" applyFont="1" applyBorder="1" applyAlignment="1">
      <alignment horizontal="center" vertical="center"/>
    </xf>
    <xf numFmtId="0" fontId="25" fillId="0" borderId="0" xfId="1" applyFont="1" applyFill="1" applyBorder="1" applyAlignment="1">
      <alignment horizontal="center" vertical="center" wrapText="1"/>
    </xf>
    <xf numFmtId="168" fontId="24" fillId="0" borderId="0" xfId="1" applyNumberFormat="1" applyFont="1" applyFill="1" applyBorder="1" applyAlignment="1">
      <alignment horizontal="center" vertical="center" wrapText="1"/>
    </xf>
    <xf numFmtId="168" fontId="24" fillId="0" borderId="0" xfId="1" applyNumberFormat="1" applyFont="1" applyFill="1" applyBorder="1" applyAlignment="1">
      <alignment horizontal="center" vertical="center"/>
    </xf>
    <xf numFmtId="168" fontId="24" fillId="0" borderId="0" xfId="0" applyNumberFormat="1" applyFont="1" applyAlignment="1">
      <alignment horizontal="center" vertical="center"/>
    </xf>
    <xf numFmtId="164" fontId="24" fillId="0" borderId="1" xfId="11" applyNumberFormat="1" applyFont="1" applyFill="1" applyBorder="1" applyAlignment="1">
      <alignment horizontal="center" vertical="center" wrapText="1"/>
    </xf>
    <xf numFmtId="164" fontId="24" fillId="0" borderId="10" xfId="11" applyNumberFormat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66" xfId="1" applyFont="1" applyFill="1" applyBorder="1" applyAlignment="1">
      <alignment horizontal="center" vertical="center" wrapText="1"/>
    </xf>
    <xf numFmtId="0" fontId="25" fillId="0" borderId="32" xfId="1" applyFont="1" applyFill="1" applyBorder="1" applyAlignment="1">
      <alignment horizontal="center" vertical="center" wrapText="1"/>
    </xf>
    <xf numFmtId="0" fontId="25" fillId="0" borderId="42" xfId="1" applyFont="1" applyFill="1" applyBorder="1" applyAlignment="1">
      <alignment horizontal="center" vertical="center" wrapText="1"/>
    </xf>
    <xf numFmtId="0" fontId="25" fillId="0" borderId="34" xfId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168" fontId="24" fillId="0" borderId="3" xfId="0" applyNumberFormat="1" applyFont="1" applyBorder="1" applyAlignment="1">
      <alignment horizontal="center" vertical="center" wrapText="1"/>
    </xf>
    <xf numFmtId="168" fontId="24" fillId="0" borderId="31" xfId="0" applyNumberFormat="1" applyFont="1" applyBorder="1" applyAlignment="1">
      <alignment horizontal="center" vertical="center" wrapText="1"/>
    </xf>
    <xf numFmtId="168" fontId="24" fillId="0" borderId="29" xfId="0" applyNumberFormat="1" applyFont="1" applyBorder="1" applyAlignment="1">
      <alignment horizontal="center"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2" fontId="24" fillId="0" borderId="16" xfId="0" applyNumberFormat="1" applyFont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8" fontId="24" fillId="0" borderId="77" xfId="1" applyNumberFormat="1" applyFont="1" applyFill="1" applyBorder="1" applyAlignment="1">
      <alignment horizontal="center" vertical="center"/>
    </xf>
    <xf numFmtId="0" fontId="25" fillId="0" borderId="77" xfId="1" applyFont="1" applyFill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168" fontId="24" fillId="0" borderId="19" xfId="0" applyNumberFormat="1" applyFont="1" applyBorder="1" applyAlignment="1">
      <alignment horizontal="center" vertical="center"/>
    </xf>
    <xf numFmtId="168" fontId="24" fillId="0" borderId="78" xfId="0" applyNumberFormat="1" applyFont="1" applyBorder="1" applyAlignment="1">
      <alignment horizontal="center" vertical="center"/>
    </xf>
    <xf numFmtId="168" fontId="24" fillId="0" borderId="11" xfId="1" applyNumberFormat="1" applyFont="1" applyFill="1" applyBorder="1" applyAlignment="1">
      <alignment horizontal="center" vertical="center"/>
    </xf>
    <xf numFmtId="168" fontId="24" fillId="0" borderId="19" xfId="1" applyNumberFormat="1" applyFont="1" applyFill="1" applyBorder="1" applyAlignment="1">
      <alignment horizontal="center" vertical="center"/>
    </xf>
    <xf numFmtId="2" fontId="24" fillId="0" borderId="11" xfId="1" applyNumberFormat="1" applyFont="1" applyFill="1" applyBorder="1" applyAlignment="1">
      <alignment horizontal="center" vertical="center" wrapText="1"/>
    </xf>
    <xf numFmtId="2" fontId="24" fillId="0" borderId="19" xfId="1" applyNumberFormat="1" applyFont="1" applyFill="1" applyBorder="1" applyAlignment="1">
      <alignment horizontal="center" vertical="center" wrapText="1"/>
    </xf>
    <xf numFmtId="168" fontId="25" fillId="0" borderId="0" xfId="1" applyNumberFormat="1" applyFont="1" applyFill="1" applyBorder="1" applyAlignment="1">
      <alignment horizontal="center" vertical="center" wrapText="1"/>
    </xf>
    <xf numFmtId="168" fontId="24" fillId="0" borderId="0" xfId="11" applyNumberFormat="1" applyFont="1" applyFill="1" applyBorder="1" applyAlignment="1">
      <alignment horizontal="center" vertical="center"/>
    </xf>
    <xf numFmtId="168" fontId="22" fillId="0" borderId="0" xfId="0" applyNumberFormat="1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168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</cellXfs>
  <cellStyles count="12">
    <cellStyle name="20% - Accent1" xfId="7" builtinId="30"/>
    <cellStyle name="20% - Accent6" xfId="8" builtinId="50"/>
    <cellStyle name="40% - Accent1" xfId="9" builtinId="31"/>
    <cellStyle name="60% - Accent1" xfId="10" builtinId="32"/>
    <cellStyle name="60% - Accent5" xfId="11" builtinId="48"/>
    <cellStyle name="Bad" xfId="4" builtinId="27"/>
    <cellStyle name="Calculation" xfId="6" builtinId="22"/>
    <cellStyle name="Good" xfId="1" builtinId="26"/>
    <cellStyle name="Input" xfId="5" builtinId="20"/>
    <cellStyle name="Neutral" xfId="2" builtinId="28"/>
    <cellStyle name="Normal" xfId="0" builtinId="0"/>
    <cellStyle name="Percent" xfId="3" builtinId="5"/>
  </cellStyles>
  <dxfs count="4"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Response'!$R$5:$R$55</c:f>
              <c:numCache>
                <c:formatCode>General</c:formatCode>
                <c:ptCount val="51"/>
                <c:pt idx="0">
                  <c:v>4.4978407142999999E-2</c:v>
                </c:pt>
                <c:pt idx="1">
                  <c:v>4.8792258384000003E-2</c:v>
                </c:pt>
                <c:pt idx="2">
                  <c:v>5.4175353976999997E-2</c:v>
                </c:pt>
                <c:pt idx="3">
                  <c:v>5.9642041085999999E-2</c:v>
                </c:pt>
                <c:pt idx="4">
                  <c:v>6.4627812338999988E-2</c:v>
                </c:pt>
                <c:pt idx="5">
                  <c:v>6.9082950286999997E-2</c:v>
                </c:pt>
                <c:pt idx="6">
                  <c:v>7.2973014439000006E-2</c:v>
                </c:pt>
                <c:pt idx="7">
                  <c:v>7.6193253346999987E-2</c:v>
                </c:pt>
                <c:pt idx="8">
                  <c:v>7.8931389463999996E-2</c:v>
                </c:pt>
                <c:pt idx="9">
                  <c:v>8.0943476734E-2</c:v>
                </c:pt>
                <c:pt idx="10">
                  <c:v>8.2788390703000009E-2</c:v>
                </c:pt>
                <c:pt idx="11">
                  <c:v>8.3446860908000006E-2</c:v>
                </c:pt>
                <c:pt idx="12">
                  <c:v>8.3328381773999996E-2</c:v>
                </c:pt>
                <c:pt idx="13">
                  <c:v>8.2753447312000003E-2</c:v>
                </c:pt>
                <c:pt idx="14">
                  <c:v>8.1481594619000008E-2</c:v>
                </c:pt>
                <c:pt idx="15">
                  <c:v>7.958771941300001E-2</c:v>
                </c:pt>
                <c:pt idx="16">
                  <c:v>7.6841178657999998E-2</c:v>
                </c:pt>
                <c:pt idx="17">
                  <c:v>7.4338858263999996E-2</c:v>
                </c:pt>
                <c:pt idx="18">
                  <c:v>7.1214950318999992E-2</c:v>
                </c:pt>
                <c:pt idx="19">
                  <c:v>6.8128395425999994E-2</c:v>
                </c:pt>
                <c:pt idx="20">
                  <c:v>6.5513124675000006E-2</c:v>
                </c:pt>
                <c:pt idx="21">
                  <c:v>6.3283067977999999E-2</c:v>
                </c:pt>
                <c:pt idx="22">
                  <c:v>6.1876744902999999E-2</c:v>
                </c:pt>
                <c:pt idx="23">
                  <c:v>6.1695378269999997E-2</c:v>
                </c:pt>
                <c:pt idx="24">
                  <c:v>6.3436721290000012E-2</c:v>
                </c:pt>
                <c:pt idx="25">
                  <c:v>6.7815510864999998E-2</c:v>
                </c:pt>
                <c:pt idx="26">
                  <c:v>7.3974699646000008E-2</c:v>
                </c:pt>
                <c:pt idx="27">
                  <c:v>8.1386146622E-2</c:v>
                </c:pt>
                <c:pt idx="28">
                  <c:v>8.9555481854999994E-2</c:v>
                </c:pt>
                <c:pt idx="29">
                  <c:v>9.8827728518999999E-2</c:v>
                </c:pt>
                <c:pt idx="30">
                  <c:v>0.10839832619500001</c:v>
                </c:pt>
                <c:pt idx="31">
                  <c:v>0.117930285661</c:v>
                </c:pt>
                <c:pt idx="32">
                  <c:v>0.12708124050699998</c:v>
                </c:pt>
                <c:pt idx="33">
                  <c:v>0.13400143182499999</c:v>
                </c:pt>
                <c:pt idx="34">
                  <c:v>0.13970905683500001</c:v>
                </c:pt>
                <c:pt idx="35">
                  <c:v>0.14508660029199999</c:v>
                </c:pt>
                <c:pt idx="36">
                  <c:v>0.15073272335900001</c:v>
                </c:pt>
                <c:pt idx="37">
                  <c:v>0.155027629517</c:v>
                </c:pt>
                <c:pt idx="38">
                  <c:v>0.15664423354099999</c:v>
                </c:pt>
                <c:pt idx="39">
                  <c:v>0.156309083584</c:v>
                </c:pt>
                <c:pt idx="40">
                  <c:v>0.15308701694500002</c:v>
                </c:pt>
                <c:pt idx="41">
                  <c:v>0.1524151785</c:v>
                </c:pt>
                <c:pt idx="42">
                  <c:v>0.14277274944900001</c:v>
                </c:pt>
                <c:pt idx="43">
                  <c:v>0.12914696858500002</c:v>
                </c:pt>
                <c:pt idx="44">
                  <c:v>0.112758301832</c:v>
                </c:pt>
                <c:pt idx="45">
                  <c:v>9.4225379254E-2</c:v>
                </c:pt>
                <c:pt idx="46">
                  <c:v>7.5383499709000004E-2</c:v>
                </c:pt>
                <c:pt idx="47">
                  <c:v>6.0110737186000004E-2</c:v>
                </c:pt>
                <c:pt idx="48">
                  <c:v>4.8646927207E-2</c:v>
                </c:pt>
                <c:pt idx="49">
                  <c:v>3.8951659713000006E-2</c:v>
                </c:pt>
                <c:pt idx="50">
                  <c:v>3.0617849508000002E-2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66-46E0-A095-05924DF3F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67776"/>
        <c:axId val="95469568"/>
      </c:scatterChart>
      <c:valAx>
        <c:axId val="95467776"/>
        <c:scaling>
          <c:orientation val="minMax"/>
          <c:max val="11000"/>
          <c:min val="6000"/>
        </c:scaling>
        <c:delete val="0"/>
        <c:axPos val="b"/>
        <c:numFmt formatCode="General" sourceLinked="1"/>
        <c:majorTickMark val="out"/>
        <c:minorTickMark val="none"/>
        <c:tickLblPos val="nextTo"/>
        <c:crossAx val="95469568"/>
        <c:crosses val="autoZero"/>
        <c:crossBetween val="midCat"/>
      </c:valAx>
      <c:valAx>
        <c:axId val="9546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67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67356123949659E-2"/>
          <c:y val="3.0651949635138676E-2"/>
          <c:w val="0.81479580317380707"/>
          <c:h val="0.90470512912216061"/>
        </c:manualLayout>
      </c:layout>
      <c:scatterChart>
        <c:scatterStyle val="smoothMarker"/>
        <c:varyColors val="0"/>
        <c:ser>
          <c:idx val="0"/>
          <c:order val="0"/>
          <c:tx>
            <c:v>Original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Uc'!$B$4:$B$54</c:f>
              <c:numCache>
                <c:formatCode>General</c:formatCode>
                <c:ptCount val="51"/>
                <c:pt idx="0">
                  <c:v>0.33286772076190541</c:v>
                </c:pt>
                <c:pt idx="1">
                  <c:v>0.33613849147706121</c:v>
                </c:pt>
                <c:pt idx="2">
                  <c:v>0.34593303855918506</c:v>
                </c:pt>
                <c:pt idx="3">
                  <c:v>0.35002834498023289</c:v>
                </c:pt>
                <c:pt idx="4">
                  <c:v>0.35617628672227675</c:v>
                </c:pt>
                <c:pt idx="5">
                  <c:v>0.35994379847001945</c:v>
                </c:pt>
                <c:pt idx="6">
                  <c:v>0.36462055795280324</c:v>
                </c:pt>
                <c:pt idx="7">
                  <c:v>0.37202543811989863</c:v>
                </c:pt>
                <c:pt idx="8">
                  <c:v>0.37810180131556043</c:v>
                </c:pt>
                <c:pt idx="9">
                  <c:v>0.38438955486775123</c:v>
                </c:pt>
                <c:pt idx="10">
                  <c:v>0.38915652343410168</c:v>
                </c:pt>
                <c:pt idx="11">
                  <c:v>0.3964322516455725</c:v>
                </c:pt>
                <c:pt idx="12">
                  <c:v>0.40392639335292646</c:v>
                </c:pt>
                <c:pt idx="13">
                  <c:v>0.40504572158773311</c:v>
                </c:pt>
                <c:pt idx="14">
                  <c:v>0.41367568491819712</c:v>
                </c:pt>
                <c:pt idx="15">
                  <c:v>0.42164154208150723</c:v>
                </c:pt>
                <c:pt idx="16">
                  <c:v>0.42301524562463522</c:v>
                </c:pt>
                <c:pt idx="17">
                  <c:v>0.42930208134696668</c:v>
                </c:pt>
                <c:pt idx="18">
                  <c:v>0.43681334479278716</c:v>
                </c:pt>
                <c:pt idx="19">
                  <c:v>0.44373224970955505</c:v>
                </c:pt>
                <c:pt idx="20">
                  <c:v>0.44806482254079993</c:v>
                </c:pt>
                <c:pt idx="21">
                  <c:v>0.45006591319215844</c:v>
                </c:pt>
                <c:pt idx="22">
                  <c:v>0.46075864464412963</c:v>
                </c:pt>
                <c:pt idx="23">
                  <c:v>0.4664168861145449</c:v>
                </c:pt>
                <c:pt idx="24">
                  <c:v>0.47071925754021876</c:v>
                </c:pt>
                <c:pt idx="25">
                  <c:v>0.47485497352463407</c:v>
                </c:pt>
                <c:pt idx="26">
                  <c:v>0.48027554050155113</c:v>
                </c:pt>
                <c:pt idx="27">
                  <c:v>0.48912593407439814</c:v>
                </c:pt>
                <c:pt idx="28">
                  <c:v>0.49272423238610868</c:v>
                </c:pt>
                <c:pt idx="29">
                  <c:v>0.49863380698763704</c:v>
                </c:pt>
                <c:pt idx="30">
                  <c:v>0.50489485609204243</c:v>
                </c:pt>
                <c:pt idx="31">
                  <c:v>0.51140649263799387</c:v>
                </c:pt>
                <c:pt idx="32">
                  <c:v>0.51695486246287436</c:v>
                </c:pt>
                <c:pt idx="33">
                  <c:v>0.5230208781314114</c:v>
                </c:pt>
                <c:pt idx="34">
                  <c:v>0.52888687014085956</c:v>
                </c:pt>
                <c:pt idx="35">
                  <c:v>0.5338996606724199</c:v>
                </c:pt>
                <c:pt idx="36">
                  <c:v>0.5382423149871941</c:v>
                </c:pt>
                <c:pt idx="37">
                  <c:v>0.54255524566298863</c:v>
                </c:pt>
                <c:pt idx="38">
                  <c:v>0.54288143048420101</c:v>
                </c:pt>
                <c:pt idx="39">
                  <c:v>0.53895837353699472</c:v>
                </c:pt>
                <c:pt idx="40">
                  <c:v>0.53056229880859318</c:v>
                </c:pt>
                <c:pt idx="41">
                  <c:v>0.51411028947277604</c:v>
                </c:pt>
                <c:pt idx="42">
                  <c:v>0.48622867768376793</c:v>
                </c:pt>
                <c:pt idx="43">
                  <c:v>0.44839304362135596</c:v>
                </c:pt>
                <c:pt idx="44">
                  <c:v>0.39639303195136733</c:v>
                </c:pt>
                <c:pt idx="45">
                  <c:v>0.33949338377106414</c:v>
                </c:pt>
                <c:pt idx="46">
                  <c:v>0.27776832273632868</c:v>
                </c:pt>
                <c:pt idx="47">
                  <c:v>0.2269310638885696</c:v>
                </c:pt>
                <c:pt idx="48">
                  <c:v>0.18872032914738826</c:v>
                </c:pt>
                <c:pt idx="49">
                  <c:v>0.15652123550097158</c:v>
                </c:pt>
                <c:pt idx="50">
                  <c:v>0.12663712625738019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45-48B3-8F27-C5E27BFCC29F}"/>
            </c:ext>
          </c:extLst>
        </c:ser>
        <c:ser>
          <c:idx val="2"/>
          <c:order val="1"/>
          <c:tx>
            <c:v>+0.2nm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Uc'!$E$4:$E$54</c:f>
              <c:numCache>
                <c:formatCode>General</c:formatCode>
                <c:ptCount val="51"/>
                <c:pt idx="0">
                  <c:v>0.33288897222685598</c:v>
                </c:pt>
                <c:pt idx="1">
                  <c:v>0.33629488485965398</c:v>
                </c:pt>
                <c:pt idx="2">
                  <c:v>0.34607786337920499</c:v>
                </c:pt>
                <c:pt idx="3">
                  <c:v>0.35011926645396502</c:v>
                </c:pt>
                <c:pt idx="4">
                  <c:v>0.35628479859497802</c:v>
                </c:pt>
                <c:pt idx="5">
                  <c:v>0.36001092651629801</c:v>
                </c:pt>
                <c:pt idx="6">
                  <c:v>0.36475129581708599</c:v>
                </c:pt>
                <c:pt idx="7">
                  <c:v>0.37216349828720402</c:v>
                </c:pt>
                <c:pt idx="8">
                  <c:v>0.37822611548271601</c:v>
                </c:pt>
                <c:pt idx="9">
                  <c:v>0.384496324847722</c:v>
                </c:pt>
                <c:pt idx="10">
                  <c:v>0.389266619968551</c:v>
                </c:pt>
                <c:pt idx="11">
                  <c:v>0.39661064952327701</c:v>
                </c:pt>
                <c:pt idx="12">
                  <c:v>0.40398910685316602</c:v>
                </c:pt>
                <c:pt idx="13">
                  <c:v>0.40512573921301998</c:v>
                </c:pt>
                <c:pt idx="14">
                  <c:v>0.41388680577491099</c:v>
                </c:pt>
                <c:pt idx="15">
                  <c:v>0.421711945907212</c:v>
                </c:pt>
                <c:pt idx="16">
                  <c:v>0.42307506456543098</c:v>
                </c:pt>
                <c:pt idx="17">
                  <c:v>0.42945790036298498</c:v>
                </c:pt>
                <c:pt idx="18">
                  <c:v>0.43695959051698702</c:v>
                </c:pt>
                <c:pt idx="19">
                  <c:v>0.443856531116472</c:v>
                </c:pt>
                <c:pt idx="20">
                  <c:v>0.44809343829411102</c:v>
                </c:pt>
                <c:pt idx="21">
                  <c:v>0.45020447898732302</c:v>
                </c:pt>
                <c:pt idx="22">
                  <c:v>0.46094771519627697</c:v>
                </c:pt>
                <c:pt idx="23">
                  <c:v>0.46649708452711802</c:v>
                </c:pt>
                <c:pt idx="24">
                  <c:v>0.470805412581208</c:v>
                </c:pt>
                <c:pt idx="25">
                  <c:v>0.47493625181823101</c:v>
                </c:pt>
                <c:pt idx="26">
                  <c:v>0.48043920824484898</c:v>
                </c:pt>
                <c:pt idx="27">
                  <c:v>0.489250288777138</c:v>
                </c:pt>
                <c:pt idx="28">
                  <c:v>0.49280382533758599</c:v>
                </c:pt>
                <c:pt idx="29">
                  <c:v>0.49876431070691801</c:v>
                </c:pt>
                <c:pt idx="30">
                  <c:v>0.50502390664810604</c:v>
                </c:pt>
                <c:pt idx="31">
                  <c:v>0.51152643882757798</c:v>
                </c:pt>
                <c:pt idx="32">
                  <c:v>0.51706848345795897</c:v>
                </c:pt>
                <c:pt idx="33">
                  <c:v>0.52314392652474895</c:v>
                </c:pt>
                <c:pt idx="34">
                  <c:v>0.52899673077929199</c:v>
                </c:pt>
                <c:pt idx="35">
                  <c:v>0.53398887430056297</c:v>
                </c:pt>
                <c:pt idx="36">
                  <c:v>0.53833612748680804</c:v>
                </c:pt>
                <c:pt idx="37">
                  <c:v>0.54261004981127703</c:v>
                </c:pt>
                <c:pt idx="38">
                  <c:v>0.54284196212626101</c:v>
                </c:pt>
                <c:pt idx="39">
                  <c:v>0.538840529612577</c:v>
                </c:pt>
                <c:pt idx="40">
                  <c:v>0.53032859867899296</c:v>
                </c:pt>
                <c:pt idx="41">
                  <c:v>0.51366235476086697</c:v>
                </c:pt>
                <c:pt idx="42">
                  <c:v>0.485580395675211</c:v>
                </c:pt>
                <c:pt idx="43">
                  <c:v>0.44747909310683398</c:v>
                </c:pt>
                <c:pt idx="44">
                  <c:v>0.39529005413886498</c:v>
                </c:pt>
                <c:pt idx="45">
                  <c:v>0.33827938697455201</c:v>
                </c:pt>
                <c:pt idx="46">
                  <c:v>0.27660414039226899</c:v>
                </c:pt>
                <c:pt idx="47">
                  <c:v>0.22606113014076801</c:v>
                </c:pt>
                <c:pt idx="48">
                  <c:v>0.188036465777182</c:v>
                </c:pt>
                <c:pt idx="49">
                  <c:v>0.15590921742240299</c:v>
                </c:pt>
                <c:pt idx="50">
                  <c:v>0.12604682922986701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45-48B3-8F27-C5E27BFCC29F}"/>
            </c:ext>
          </c:extLst>
        </c:ser>
        <c:ser>
          <c:idx val="1"/>
          <c:order val="2"/>
          <c:tx>
            <c:v>-0.2nm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Uc'!$G$4:$G$54</c:f>
              <c:numCache>
                <c:formatCode>General</c:formatCode>
                <c:ptCount val="51"/>
                <c:pt idx="0">
                  <c:v>0.33284646929695499</c:v>
                </c:pt>
                <c:pt idx="1">
                  <c:v>0.335987346043427</c:v>
                </c:pt>
                <c:pt idx="2">
                  <c:v>0.34578272903226498</c:v>
                </c:pt>
                <c:pt idx="3">
                  <c:v>0.34994059600669902</c:v>
                </c:pt>
                <c:pt idx="4">
                  <c:v>0.35606539840092499</c:v>
                </c:pt>
                <c:pt idx="5">
                  <c:v>0.35987735246810199</c:v>
                </c:pt>
                <c:pt idx="6">
                  <c:v>0.36449163878785501</c:v>
                </c:pt>
                <c:pt idx="7">
                  <c:v>0.371885921596456</c:v>
                </c:pt>
                <c:pt idx="8">
                  <c:v>0.37797835020525</c:v>
                </c:pt>
                <c:pt idx="9">
                  <c:v>0.38428127017673303</c:v>
                </c:pt>
                <c:pt idx="10">
                  <c:v>0.38904801889679003</c:v>
                </c:pt>
                <c:pt idx="11">
                  <c:v>0.396254970954384</c:v>
                </c:pt>
                <c:pt idx="12">
                  <c:v>0.40385810887882601</c:v>
                </c:pt>
                <c:pt idx="13">
                  <c:v>0.40497173494844202</c:v>
                </c:pt>
                <c:pt idx="14">
                  <c:v>0.41346386013407299</c:v>
                </c:pt>
                <c:pt idx="15">
                  <c:v>0.42156634709819901</c:v>
                </c:pt>
                <c:pt idx="16">
                  <c:v>0.42295961353964301</c:v>
                </c:pt>
                <c:pt idx="17">
                  <c:v>0.42914597603064503</c:v>
                </c:pt>
                <c:pt idx="18">
                  <c:v>0.43666701101588101</c:v>
                </c:pt>
                <c:pt idx="19">
                  <c:v>0.44360718373580299</c:v>
                </c:pt>
                <c:pt idx="20">
                  <c:v>0.44803324390112098</c:v>
                </c:pt>
                <c:pt idx="21">
                  <c:v>0.44993447409825499</c:v>
                </c:pt>
                <c:pt idx="22">
                  <c:v>0.46056469211719903</c:v>
                </c:pt>
                <c:pt idx="23">
                  <c:v>0.46633714536189502</c:v>
                </c:pt>
                <c:pt idx="24">
                  <c:v>0.47063287983096902</c:v>
                </c:pt>
                <c:pt idx="25">
                  <c:v>0.47477373036942999</c:v>
                </c:pt>
                <c:pt idx="26">
                  <c:v>0.48011504406307598</c:v>
                </c:pt>
                <c:pt idx="27">
                  <c:v>0.48899700398262602</c:v>
                </c:pt>
                <c:pt idx="28">
                  <c:v>0.492647294619661</c:v>
                </c:pt>
                <c:pt idx="29">
                  <c:v>0.49850272879497998</c:v>
                </c:pt>
                <c:pt idx="30">
                  <c:v>0.504766306654578</c:v>
                </c:pt>
                <c:pt idx="31">
                  <c:v>0.511285708953513</c:v>
                </c:pt>
                <c:pt idx="32">
                  <c:v>0.51684180004677904</c:v>
                </c:pt>
                <c:pt idx="33">
                  <c:v>0.52289765767838003</c:v>
                </c:pt>
                <c:pt idx="34">
                  <c:v>0.528776659621367</c:v>
                </c:pt>
                <c:pt idx="35">
                  <c:v>0.53380997763461002</c:v>
                </c:pt>
                <c:pt idx="36">
                  <c:v>0.53814912533916204</c:v>
                </c:pt>
                <c:pt idx="37">
                  <c:v>0.54249831140182403</c:v>
                </c:pt>
                <c:pt idx="38">
                  <c:v>0.54291925780822403</c:v>
                </c:pt>
                <c:pt idx="39">
                  <c:v>0.53907471383947103</c:v>
                </c:pt>
                <c:pt idx="40">
                  <c:v>0.53079289234407201</c:v>
                </c:pt>
                <c:pt idx="41">
                  <c:v>0.51455282161404303</c:v>
                </c:pt>
                <c:pt idx="42">
                  <c:v>0.48687428431711199</c:v>
                </c:pt>
                <c:pt idx="43">
                  <c:v>0.44929916306643097</c:v>
                </c:pt>
                <c:pt idx="44">
                  <c:v>0.39749612271138401</c:v>
                </c:pt>
                <c:pt idx="45">
                  <c:v>0.34070292719520101</c:v>
                </c:pt>
                <c:pt idx="46">
                  <c:v>0.27893874974345301</c:v>
                </c:pt>
                <c:pt idx="47">
                  <c:v>0.227806491285791</c:v>
                </c:pt>
                <c:pt idx="48">
                  <c:v>0.18940621008587</c:v>
                </c:pt>
                <c:pt idx="49">
                  <c:v>0.157134140941457</c:v>
                </c:pt>
                <c:pt idx="50">
                  <c:v>0.127227423284893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B45-48B3-8F27-C5E27BFCC29F}"/>
            </c:ext>
          </c:extLst>
        </c:ser>
        <c:ser>
          <c:idx val="3"/>
          <c:order val="3"/>
          <c:tx>
            <c:v>signal ratios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Uc'!$R$4:$R$54</c:f>
              <c:numCache>
                <c:formatCode>General</c:formatCode>
                <c:ptCount val="51"/>
                <c:pt idx="0">
                  <c:v>1.5200685763404038</c:v>
                </c:pt>
                <c:pt idx="1">
                  <c:v>1.5354456978558642</c:v>
                </c:pt>
                <c:pt idx="2">
                  <c:v>1.5792384924356802</c:v>
                </c:pt>
                <c:pt idx="3">
                  <c:v>1.5986951607713786</c:v>
                </c:pt>
                <c:pt idx="4">
                  <c:v>1.6267907538934896</c:v>
                </c:pt>
                <c:pt idx="5">
                  <c:v>1.6443354516525635</c:v>
                </c:pt>
                <c:pt idx="6">
                  <c:v>1.6656377180169628</c:v>
                </c:pt>
                <c:pt idx="7">
                  <c:v>1.7004759550994664</c:v>
                </c:pt>
                <c:pt idx="8">
                  <c:v>1.7278617253799566</c:v>
                </c:pt>
                <c:pt idx="9">
                  <c:v>1.7581190876558113</c:v>
                </c:pt>
                <c:pt idx="10">
                  <c:v>1.7791746350985906</c:v>
                </c:pt>
                <c:pt idx="11">
                  <c:v>1.812625995961336</c:v>
                </c:pt>
                <c:pt idx="12">
                  <c:v>1.8473215446444389</c:v>
                </c:pt>
                <c:pt idx="13">
                  <c:v>1.8536856509658397</c:v>
                </c:pt>
                <c:pt idx="14">
                  <c:v>1.8938914157170783</c:v>
                </c:pt>
                <c:pt idx="15">
                  <c:v>1.9306211869419891</c:v>
                </c:pt>
                <c:pt idx="16">
                  <c:v>1.9379652673770176</c:v>
                </c:pt>
                <c:pt idx="17">
                  <c:v>1.967893441001862</c:v>
                </c:pt>
                <c:pt idx="18">
                  <c:v>2.0022697964875529</c:v>
                </c:pt>
                <c:pt idx="19">
                  <c:v>2.0373248098046837</c:v>
                </c:pt>
                <c:pt idx="20">
                  <c:v>2.0560809372262705</c:v>
                </c:pt>
                <c:pt idx="21">
                  <c:v>2.0665611270492721</c:v>
                </c:pt>
                <c:pt idx="22">
                  <c:v>2.116472367808635</c:v>
                </c:pt>
                <c:pt idx="23">
                  <c:v>2.1432272900063154</c:v>
                </c:pt>
                <c:pt idx="24">
                  <c:v>2.1636366930901949</c:v>
                </c:pt>
                <c:pt idx="25">
                  <c:v>2.1843875526767689</c:v>
                </c:pt>
                <c:pt idx="26">
                  <c:v>2.2106398185091356</c:v>
                </c:pt>
                <c:pt idx="27">
                  <c:v>2.2510534919843628</c:v>
                </c:pt>
                <c:pt idx="28">
                  <c:v>2.2701218391793727</c:v>
                </c:pt>
                <c:pt idx="29">
                  <c:v>2.2983435589982375</c:v>
                </c:pt>
                <c:pt idx="30">
                  <c:v>2.3319939085378638</c:v>
                </c:pt>
                <c:pt idx="31">
                  <c:v>2.3617024682725751</c:v>
                </c:pt>
                <c:pt idx="32">
                  <c:v>2.3836187919104841</c:v>
                </c:pt>
                <c:pt idx="33">
                  <c:v>2.4130599511480404</c:v>
                </c:pt>
                <c:pt idx="34">
                  <c:v>2.4403990300183018</c:v>
                </c:pt>
                <c:pt idx="35">
                  <c:v>2.419184565556951</c:v>
                </c:pt>
                <c:pt idx="36">
                  <c:v>2.4390890352580943</c:v>
                </c:pt>
                <c:pt idx="37">
                  <c:v>2.4586534203220958</c:v>
                </c:pt>
                <c:pt idx="38">
                  <c:v>2.4607717057837752</c:v>
                </c:pt>
                <c:pt idx="39">
                  <c:v>2.4439629399949299</c:v>
                </c:pt>
                <c:pt idx="40">
                  <c:v>2.4067581016800883</c:v>
                </c:pt>
                <c:pt idx="41">
                  <c:v>2.3800932298554018</c:v>
                </c:pt>
                <c:pt idx="42">
                  <c:v>2.2518762151297018</c:v>
                </c:pt>
                <c:pt idx="43">
                  <c:v>2.0773382629433796</c:v>
                </c:pt>
                <c:pt idx="44">
                  <c:v>1.8375223211714369</c:v>
                </c:pt>
                <c:pt idx="45">
                  <c:v>1.5744651559099869</c:v>
                </c:pt>
                <c:pt idx="46">
                  <c:v>1.2883440422476484</c:v>
                </c:pt>
                <c:pt idx="47">
                  <c:v>1.052926835959423</c:v>
                </c:pt>
                <c:pt idx="48">
                  <c:v>0.87524631681153986</c:v>
                </c:pt>
                <c:pt idx="49">
                  <c:v>0.67226500812502765</c:v>
                </c:pt>
                <c:pt idx="50">
                  <c:v>0.54402813554811225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B45-48B3-8F27-C5E27BFC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313280"/>
        <c:axId val="1062313936"/>
      </c:scatterChart>
      <c:valAx>
        <c:axId val="1062313280"/>
        <c:scaling>
          <c:orientation val="minMax"/>
          <c:max val="1100"/>
          <c:min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313936"/>
        <c:crosses val="autoZero"/>
        <c:crossBetween val="midCat"/>
      </c:valAx>
      <c:valAx>
        <c:axId val="1062313936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313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Uc from repsonse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Uc'!$K$4:$K$54</c:f>
              <c:numCache>
                <c:formatCode>General</c:formatCode>
                <c:ptCount val="51"/>
                <c:pt idx="0">
                  <c:v>3.192178698169814E-3</c:v>
                </c:pt>
                <c:pt idx="1">
                  <c:v>2.2872924704004642E-2</c:v>
                </c:pt>
                <c:pt idx="2">
                  <c:v>2.1328863829339465E-2</c:v>
                </c:pt>
                <c:pt idx="3">
                  <c:v>1.2761141335285527E-2</c:v>
                </c:pt>
                <c:pt idx="4">
                  <c:v>1.5399691264683798E-2</c:v>
                </c:pt>
                <c:pt idx="5">
                  <c:v>9.2774239175510646E-3</c:v>
                </c:pt>
                <c:pt idx="6">
                  <c:v>1.7803235690328684E-2</c:v>
                </c:pt>
                <c:pt idx="7">
                  <c:v>1.8653071961338148E-2</c:v>
                </c:pt>
                <c:pt idx="8">
                  <c:v>1.6382180447427074E-2</c:v>
                </c:pt>
                <c:pt idx="9">
                  <c:v>1.3986766046681426E-2</c:v>
                </c:pt>
                <c:pt idx="10">
                  <c:v>1.404326142549801E-2</c:v>
                </c:pt>
                <c:pt idx="11">
                  <c:v>2.2429971793195908E-2</c:v>
                </c:pt>
                <c:pt idx="12">
                  <c:v>8.1077874889900585E-3</c:v>
                </c:pt>
                <c:pt idx="13">
                  <c:v>9.5053629979253828E-3</c:v>
                </c:pt>
                <c:pt idx="14">
                  <c:v>2.5560218805314935E-2</c:v>
                </c:pt>
                <c:pt idx="15">
                  <c:v>8.632854835305433E-3</c:v>
                </c:pt>
                <c:pt idx="16">
                  <c:v>6.823100761857135E-3</c:v>
                </c:pt>
                <c:pt idx="17">
                  <c:v>1.8164617986546679E-2</c:v>
                </c:pt>
                <c:pt idx="18">
                  <c:v>1.6745110044928378E-2</c:v>
                </c:pt>
                <c:pt idx="19">
                  <c:v>1.4048301697260053E-2</c:v>
                </c:pt>
                <c:pt idx="20">
                  <c:v>3.3585761457845731E-3</c:v>
                </c:pt>
                <c:pt idx="21">
                  <c:v>1.4998074790474641E-2</c:v>
                </c:pt>
                <c:pt idx="22">
                  <c:v>2.0782197118281547E-2</c:v>
                </c:pt>
                <c:pt idx="23">
                  <c:v>8.5727580831885235E-3</c:v>
                </c:pt>
                <c:pt idx="24">
                  <c:v>9.1632511032440859E-3</c:v>
                </c:pt>
                <c:pt idx="25">
                  <c:v>8.5563728855287471E-3</c:v>
                </c:pt>
                <c:pt idx="26">
                  <c:v>1.6873864814893721E-2</c:v>
                </c:pt>
                <c:pt idx="27">
                  <c:v>1.2945786395032636E-2</c:v>
                </c:pt>
                <c:pt idx="28">
                  <c:v>7.9421057275243304E-3</c:v>
                </c:pt>
                <c:pt idx="29">
                  <c:v>1.3114930650122463E-2</c:v>
                </c:pt>
                <c:pt idx="30">
                  <c:v>1.2755130618770641E-2</c:v>
                </c:pt>
                <c:pt idx="31">
                  <c:v>1.176802981240851E-2</c:v>
                </c:pt>
                <c:pt idx="32">
                  <c:v>1.0962437324794325E-2</c:v>
                </c:pt>
                <c:pt idx="33">
                  <c:v>1.177146346665444E-2</c:v>
                </c:pt>
                <c:pt idx="34">
                  <c:v>1.0402562927414549E-2</c:v>
                </c:pt>
                <c:pt idx="35">
                  <c:v>8.3768861047594304E-3</c:v>
                </c:pt>
                <c:pt idx="36">
                  <c:v>8.6857788044035922E-3</c:v>
                </c:pt>
                <c:pt idx="37">
                  <c:v>5.1487111379981462E-3</c:v>
                </c:pt>
                <c:pt idx="38">
                  <c:v>-3.5595103102928263E-3</c:v>
                </c:pt>
                <c:pt idx="39">
                  <c:v>-1.0862816053729138E-2</c:v>
                </c:pt>
                <c:pt idx="40">
                  <c:v>-2.1877433909342187E-2</c:v>
                </c:pt>
                <c:pt idx="41">
                  <c:v>-4.3301353396809177E-2</c:v>
                </c:pt>
                <c:pt idx="42">
                  <c:v>-6.6526754862771556E-2</c:v>
                </c:pt>
                <c:pt idx="43">
                  <c:v>-0.10147737489954968</c:v>
                </c:pt>
                <c:pt idx="44">
                  <c:v>-0.1391339147448229</c:v>
                </c:pt>
                <c:pt idx="45">
                  <c:v>-0.17846741177456596</c:v>
                </c:pt>
                <c:pt idx="46">
                  <c:v>-0.21012199377029114</c:v>
                </c:pt>
                <c:pt idx="47">
                  <c:v>-0.19227878227808709</c:v>
                </c:pt>
                <c:pt idx="48">
                  <c:v>-0.18145161081426647</c:v>
                </c:pt>
                <c:pt idx="49">
                  <c:v>-0.19564813603936329</c:v>
                </c:pt>
                <c:pt idx="50">
                  <c:v>-0.23306633882117953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EE-4709-A664-B4B6C2142D56}"/>
            </c:ext>
          </c:extLst>
        </c:ser>
        <c:ser>
          <c:idx val="1"/>
          <c:order val="1"/>
          <c:tx>
            <c:v>Uc from ratio of signals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'[3]Wavelength Uc'!$A$4:$A$54</c:f>
              <c:numCache>
                <c:formatCode>General</c:formatCode>
                <c:ptCount val="5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</c:numCache>
            </c:numRef>
          </c:xVal>
          <c:yVal>
            <c:numRef>
              <c:f>'[3]Wavelength Uc'!$V$4:$V$54</c:f>
              <c:numCache>
                <c:formatCode>General</c:formatCode>
                <c:ptCount val="51"/>
                <c:pt idx="0">
                  <c:v>3.8155372543847419E-3</c:v>
                </c:pt>
                <c:pt idx="1">
                  <c:v>2.2493332824937824E-2</c:v>
                </c:pt>
                <c:pt idx="2">
                  <c:v>2.1248113234935112E-2</c:v>
                </c:pt>
                <c:pt idx="3">
                  <c:v>1.3125572370762876E-2</c:v>
                </c:pt>
                <c:pt idx="4">
                  <c:v>1.5471287208425026E-2</c:v>
                </c:pt>
                <c:pt idx="5">
                  <c:v>9.2815121144580806E-3</c:v>
                </c:pt>
                <c:pt idx="6">
                  <c:v>1.8208932695823837E-2</c:v>
                </c:pt>
                <c:pt idx="7">
                  <c:v>1.8723821651968724E-2</c:v>
                </c:pt>
                <c:pt idx="8">
                  <c:v>1.6773778629546467E-2</c:v>
                </c:pt>
                <c:pt idx="9">
                  <c:v>1.43099287948631E-2</c:v>
                </c:pt>
                <c:pt idx="10">
                  <c:v>1.3671298818648009E-2</c:v>
                </c:pt>
                <c:pt idx="11">
                  <c:v>2.2657593404815664E-2</c:v>
                </c:pt>
                <c:pt idx="12">
                  <c:v>8.5691545680764893E-3</c:v>
                </c:pt>
                <c:pt idx="13">
                  <c:v>1.0139694545540723E-2</c:v>
                </c:pt>
                <c:pt idx="14">
                  <c:v>2.5714977592735413E-2</c:v>
                </c:pt>
                <c:pt idx="15">
                  <c:v>8.905245119306255E-3</c:v>
                </c:pt>
                <c:pt idx="16">
                  <c:v>7.6135379304103851E-3</c:v>
                </c:pt>
                <c:pt idx="17">
                  <c:v>1.8096399442547248E-2</c:v>
                </c:pt>
                <c:pt idx="18">
                  <c:v>1.7833406447713952E-2</c:v>
                </c:pt>
                <c:pt idx="19">
                  <c:v>1.4651079045960226E-2</c:v>
                </c:pt>
                <c:pt idx="20">
                  <c:v>3.0778520242904016E-3</c:v>
                </c:pt>
                <c:pt idx="21">
                  <c:v>1.5754597802401158E-2</c:v>
                </c:pt>
                <c:pt idx="22">
                  <c:v>2.1078302703489121E-2</c:v>
                </c:pt>
                <c:pt idx="23">
                  <c:v>8.8580960708315951E-3</c:v>
                </c:pt>
                <c:pt idx="24">
                  <c:v>9.6810972414583668E-3</c:v>
                </c:pt>
                <c:pt idx="25">
                  <c:v>9.4821705289272577E-3</c:v>
                </c:pt>
                <c:pt idx="26">
                  <c:v>1.6834412196713566E-2</c:v>
                </c:pt>
                <c:pt idx="27">
                  <c:v>1.3513861716888276E-2</c:v>
                </c:pt>
                <c:pt idx="28">
                  <c:v>8.611227693098163E-3</c:v>
                </c:pt>
                <c:pt idx="29">
                  <c:v>1.447172068848218E-2</c:v>
                </c:pt>
                <c:pt idx="30">
                  <c:v>1.4160032213677794E-2</c:v>
                </c:pt>
                <c:pt idx="31">
                  <c:v>1.0470693273899018E-2</c:v>
                </c:pt>
                <c:pt idx="32">
                  <c:v>9.6245196824702225E-3</c:v>
                </c:pt>
                <c:pt idx="33">
                  <c:v>1.557366221987568E-2</c:v>
                </c:pt>
                <c:pt idx="34">
                  <c:v>-1.2016107516359281E-3</c:v>
                </c:pt>
                <c:pt idx="35">
                  <c:v>-3.0870130461858325E-3</c:v>
                </c:pt>
                <c:pt idx="36">
                  <c:v>1.1842243135123059E-2</c:v>
                </c:pt>
                <c:pt idx="37">
                  <c:v>4.1997639780746547E-3</c:v>
                </c:pt>
                <c:pt idx="38">
                  <c:v>-2.0900140652700999E-3</c:v>
                </c:pt>
                <c:pt idx="39">
                  <c:v>-1.3840473841250062E-2</c:v>
                </c:pt>
                <c:pt idx="40">
                  <c:v>-8.9703451527493351E-3</c:v>
                </c:pt>
                <c:pt idx="41">
                  <c:v>-3.0016451503172854E-2</c:v>
                </c:pt>
                <c:pt idx="42">
                  <c:v>-6.9852760056642205E-2</c:v>
                </c:pt>
                <c:pt idx="43">
                  <c:v>-9.9943577255100599E-2</c:v>
                </c:pt>
                <c:pt idx="44">
                  <c:v>-0.13893209643621868</c:v>
                </c:pt>
                <c:pt idx="45">
                  <c:v>-0.17773079750879223</c:v>
                </c:pt>
                <c:pt idx="46">
                  <c:v>-0.21182651467970956</c:v>
                </c:pt>
                <c:pt idx="47">
                  <c:v>-0.18343737912991837</c:v>
                </c:pt>
                <c:pt idx="48">
                  <c:v>-0.22144439631562526</c:v>
                </c:pt>
                <c:pt idx="49">
                  <c:v>-0.2581755284545168</c:v>
                </c:pt>
                <c:pt idx="50">
                  <c:v>-0.19407377953996299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EE-4709-A664-B4B6C2142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200032"/>
        <c:axId val="549202000"/>
      </c:scatterChart>
      <c:valAx>
        <c:axId val="549200032"/>
        <c:scaling>
          <c:orientation val="minMax"/>
          <c:max val="1100"/>
          <c:min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02000"/>
        <c:crosses val="autoZero"/>
        <c:crossBetween val="midCat"/>
      </c:valAx>
      <c:valAx>
        <c:axId val="5492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200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Response'!$R$5:$R$55</c:f>
              <c:numCache>
                <c:formatCode>General</c:formatCode>
                <c:ptCount val="51"/>
                <c:pt idx="0">
                  <c:v>4.4978407142999999E-2</c:v>
                </c:pt>
                <c:pt idx="1">
                  <c:v>4.8792258384000003E-2</c:v>
                </c:pt>
                <c:pt idx="2">
                  <c:v>5.4175353976999997E-2</c:v>
                </c:pt>
                <c:pt idx="3">
                  <c:v>5.9642041085999999E-2</c:v>
                </c:pt>
                <c:pt idx="4">
                  <c:v>6.4627812338999988E-2</c:v>
                </c:pt>
                <c:pt idx="5">
                  <c:v>6.9082950286999997E-2</c:v>
                </c:pt>
                <c:pt idx="6">
                  <c:v>7.2973014439000006E-2</c:v>
                </c:pt>
                <c:pt idx="7">
                  <c:v>7.6193253346999987E-2</c:v>
                </c:pt>
                <c:pt idx="8">
                  <c:v>7.8931389463999996E-2</c:v>
                </c:pt>
                <c:pt idx="9">
                  <c:v>8.0943476734E-2</c:v>
                </c:pt>
                <c:pt idx="10">
                  <c:v>8.2788390703000009E-2</c:v>
                </c:pt>
                <c:pt idx="11">
                  <c:v>8.3446860908000006E-2</c:v>
                </c:pt>
                <c:pt idx="12">
                  <c:v>8.3328381773999996E-2</c:v>
                </c:pt>
                <c:pt idx="13">
                  <c:v>8.2753447312000003E-2</c:v>
                </c:pt>
                <c:pt idx="14">
                  <c:v>8.1481594619000008E-2</c:v>
                </c:pt>
                <c:pt idx="15">
                  <c:v>7.958771941300001E-2</c:v>
                </c:pt>
                <c:pt idx="16">
                  <c:v>7.6841178657999998E-2</c:v>
                </c:pt>
                <c:pt idx="17">
                  <c:v>7.4338858263999996E-2</c:v>
                </c:pt>
                <c:pt idx="18">
                  <c:v>7.1214950318999992E-2</c:v>
                </c:pt>
                <c:pt idx="19">
                  <c:v>6.8128395425999994E-2</c:v>
                </c:pt>
                <c:pt idx="20">
                  <c:v>6.5513124675000006E-2</c:v>
                </c:pt>
                <c:pt idx="21">
                  <c:v>6.3283067977999999E-2</c:v>
                </c:pt>
                <c:pt idx="22">
                  <c:v>6.1876744902999999E-2</c:v>
                </c:pt>
                <c:pt idx="23">
                  <c:v>6.1695378269999997E-2</c:v>
                </c:pt>
                <c:pt idx="24">
                  <c:v>6.3436721290000012E-2</c:v>
                </c:pt>
                <c:pt idx="25">
                  <c:v>6.7815510864999998E-2</c:v>
                </c:pt>
                <c:pt idx="26">
                  <c:v>7.3974699646000008E-2</c:v>
                </c:pt>
                <c:pt idx="27">
                  <c:v>8.1386146622E-2</c:v>
                </c:pt>
                <c:pt idx="28">
                  <c:v>8.9555481854999994E-2</c:v>
                </c:pt>
                <c:pt idx="29">
                  <c:v>9.8827728518999999E-2</c:v>
                </c:pt>
                <c:pt idx="30">
                  <c:v>0.10839832619500001</c:v>
                </c:pt>
                <c:pt idx="31">
                  <c:v>0.117930285661</c:v>
                </c:pt>
                <c:pt idx="32">
                  <c:v>0.12708124050699998</c:v>
                </c:pt>
                <c:pt idx="33">
                  <c:v>0.13400143182499999</c:v>
                </c:pt>
                <c:pt idx="34">
                  <c:v>0.13970905683500001</c:v>
                </c:pt>
                <c:pt idx="35">
                  <c:v>0.14508660029199999</c:v>
                </c:pt>
                <c:pt idx="36">
                  <c:v>0.15073272335900001</c:v>
                </c:pt>
                <c:pt idx="37">
                  <c:v>0.155027629517</c:v>
                </c:pt>
                <c:pt idx="38">
                  <c:v>0.15664423354099999</c:v>
                </c:pt>
                <c:pt idx="39">
                  <c:v>0.156309083584</c:v>
                </c:pt>
                <c:pt idx="40">
                  <c:v>0.15308701694500002</c:v>
                </c:pt>
                <c:pt idx="41">
                  <c:v>0.1524151785</c:v>
                </c:pt>
                <c:pt idx="42">
                  <c:v>0.14277274944900001</c:v>
                </c:pt>
                <c:pt idx="43">
                  <c:v>0.12914696858500002</c:v>
                </c:pt>
                <c:pt idx="44">
                  <c:v>0.112758301832</c:v>
                </c:pt>
                <c:pt idx="45">
                  <c:v>9.4225379254E-2</c:v>
                </c:pt>
                <c:pt idx="46">
                  <c:v>7.5383499709000004E-2</c:v>
                </c:pt>
                <c:pt idx="47">
                  <c:v>6.0110737186000004E-2</c:v>
                </c:pt>
                <c:pt idx="48">
                  <c:v>4.8646927207E-2</c:v>
                </c:pt>
                <c:pt idx="49">
                  <c:v>3.8951659713000006E-2</c:v>
                </c:pt>
                <c:pt idx="50">
                  <c:v>3.0617849508000002E-2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62-4820-883B-399D96EEA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67776"/>
        <c:axId val="95469568"/>
      </c:scatterChart>
      <c:valAx>
        <c:axId val="95467776"/>
        <c:scaling>
          <c:orientation val="minMax"/>
          <c:max val="11000"/>
          <c:min val="6000"/>
        </c:scaling>
        <c:delete val="0"/>
        <c:axPos val="b"/>
        <c:numFmt formatCode="General" sourceLinked="1"/>
        <c:majorTickMark val="out"/>
        <c:minorTickMark val="none"/>
        <c:tickLblPos val="nextTo"/>
        <c:crossAx val="95469568"/>
        <c:crosses val="autoZero"/>
        <c:crossBetween val="midCat"/>
      </c:valAx>
      <c:valAx>
        <c:axId val="9546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67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Response'!$B$5:$B$55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F1-466F-91EB-C6739249DA44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Response'!$U$5:$U$55</c:f>
              <c:numCache>
                <c:formatCode>General</c:formatCode>
                <c:ptCount val="51"/>
                <c:pt idx="0">
                  <c:v>1.351239676831635E-5</c:v>
                </c:pt>
                <c:pt idx="1">
                  <c:v>1.4515522506689685E-5</c:v>
                </c:pt>
                <c:pt idx="2">
                  <c:v>1.566064756423409E-5</c:v>
                </c:pt>
                <c:pt idx="3">
                  <c:v>1.7039203236345946E-5</c:v>
                </c:pt>
                <c:pt idx="4">
                  <c:v>1.8144894746851179E-5</c:v>
                </c:pt>
                <c:pt idx="5">
                  <c:v>1.9192704689077753E-5</c:v>
                </c:pt>
                <c:pt idx="6">
                  <c:v>2.0013411983326976E-5</c:v>
                </c:pt>
                <c:pt idx="7">
                  <c:v>2.0480656842192593E-5</c:v>
                </c:pt>
                <c:pt idx="8">
                  <c:v>2.0875697811903454E-5</c:v>
                </c:pt>
                <c:pt idx="9">
                  <c:v>2.1057668115318199E-5</c:v>
                </c:pt>
                <c:pt idx="10">
                  <c:v>2.1273802626366379E-5</c:v>
                </c:pt>
                <c:pt idx="11">
                  <c:v>2.1049463196199561E-5</c:v>
                </c:pt>
                <c:pt idx="12">
                  <c:v>2.062959567516864E-5</c:v>
                </c:pt>
                <c:pt idx="13">
                  <c:v>2.0430643480843574E-5</c:v>
                </c:pt>
                <c:pt idx="14">
                  <c:v>1.9696974608288302E-5</c:v>
                </c:pt>
                <c:pt idx="15">
                  <c:v>1.8875682652164992E-5</c:v>
                </c:pt>
                <c:pt idx="16">
                  <c:v>1.816510857535036E-5</c:v>
                </c:pt>
                <c:pt idx="17">
                  <c:v>1.7316211938865144E-5</c:v>
                </c:pt>
                <c:pt idx="18">
                  <c:v>1.6303290906275427E-5</c:v>
                </c:pt>
                <c:pt idx="19">
                  <c:v>1.5353491992207784E-5</c:v>
                </c:pt>
                <c:pt idx="20">
                  <c:v>1.4621349719779555E-5</c:v>
                </c:pt>
                <c:pt idx="21">
                  <c:v>1.4060844450350743E-5</c:v>
                </c:pt>
                <c:pt idx="22">
                  <c:v>1.342931828241464E-5</c:v>
                </c:pt>
                <c:pt idx="23">
                  <c:v>1.3227518150972035E-5</c:v>
                </c:pt>
                <c:pt idx="24">
                  <c:v>1.3476551102135419E-5</c:v>
                </c:pt>
                <c:pt idx="25">
                  <c:v>1.4281310009587997E-5</c:v>
                </c:pt>
                <c:pt idx="26">
                  <c:v>1.5402554035699658E-5</c:v>
                </c:pt>
                <c:pt idx="27">
                  <c:v>1.6639098635408036E-5</c:v>
                </c:pt>
                <c:pt idx="28">
                  <c:v>1.817557894835229E-5</c:v>
                </c:pt>
                <c:pt idx="29">
                  <c:v>1.9819700777217919E-5</c:v>
                </c:pt>
                <c:pt idx="30">
                  <c:v>2.1469485158557247E-5</c:v>
                </c:pt>
                <c:pt idx="31">
                  <c:v>2.3059989921652907E-5</c:v>
                </c:pt>
                <c:pt idx="32">
                  <c:v>2.4582656965747458E-5</c:v>
                </c:pt>
                <c:pt idx="33">
                  <c:v>2.5620665909885819E-5</c:v>
                </c:pt>
                <c:pt idx="34">
                  <c:v>2.6415678800608344E-5</c:v>
                </c:pt>
                <c:pt idx="35">
                  <c:v>2.7174881532846578E-5</c:v>
                </c:pt>
                <c:pt idx="36">
                  <c:v>2.8004621554621965E-5</c:v>
                </c:pt>
                <c:pt idx="37">
                  <c:v>2.8573611766956598E-5</c:v>
                </c:pt>
                <c:pt idx="38">
                  <c:v>2.8854225756310644E-5</c:v>
                </c:pt>
                <c:pt idx="39">
                  <c:v>2.9002069781047898E-5</c:v>
                </c:pt>
                <c:pt idx="40">
                  <c:v>2.8853730709619836E-5</c:v>
                </c:pt>
                <c:pt idx="41">
                  <c:v>2.9646397207164035E-5</c:v>
                </c:pt>
                <c:pt idx="42">
                  <c:v>2.9363292623775712E-5</c:v>
                </c:pt>
                <c:pt idx="43">
                  <c:v>2.8802179342919902E-5</c:v>
                </c:pt>
                <c:pt idx="44">
                  <c:v>2.8446085764149887E-5</c:v>
                </c:pt>
                <c:pt idx="45">
                  <c:v>2.7754702671183855E-5</c:v>
                </c:pt>
                <c:pt idx="46">
                  <c:v>2.7138983656015277E-5</c:v>
                </c:pt>
                <c:pt idx="47">
                  <c:v>2.6488545092053286E-5</c:v>
                </c:pt>
                <c:pt idx="48">
                  <c:v>2.5777258563918327E-5</c:v>
                </c:pt>
                <c:pt idx="49">
                  <c:v>2.48858626679817E-5</c:v>
                </c:pt>
                <c:pt idx="50">
                  <c:v>2.4177625008460462E-5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F1-466F-91EB-C6739249D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86816"/>
        <c:axId val="86788352"/>
      </c:scatterChart>
      <c:valAx>
        <c:axId val="8678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788352"/>
        <c:crosses val="autoZero"/>
        <c:crossBetween val="midCat"/>
      </c:valAx>
      <c:valAx>
        <c:axId val="8678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78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17410358921768E-2"/>
          <c:y val="4.9015783144101994E-2"/>
          <c:w val="0.82664200619225925"/>
          <c:h val="0.83476778816076924"/>
        </c:manualLayout>
      </c:layout>
      <c:scatterChart>
        <c:scatterStyle val="lineMarker"/>
        <c:varyColors val="0"/>
        <c:ser>
          <c:idx val="2"/>
          <c:order val="0"/>
          <c:tx>
            <c:v>PtSi NMISA Cal Xe</c:v>
          </c:tx>
          <c:spPr>
            <a:ln w="19050">
              <a:noFill/>
            </a:ln>
          </c:spPr>
          <c:marker>
            <c:symbol val="circle"/>
            <c:size val="8"/>
            <c:spPr>
              <a:noFill/>
              <a:ln w="25400"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RAW!$AI$7:$AI$27</c:f>
                <c:numCache>
                  <c:formatCode>General</c:formatCode>
                  <c:ptCount val="21"/>
                  <c:pt idx="0">
                    <c:v>4.5271924936261372E-2</c:v>
                  </c:pt>
                  <c:pt idx="1">
                    <c:v>4.5170118329618501E-2</c:v>
                  </c:pt>
                  <c:pt idx="2">
                    <c:v>3.8739937396577391E-2</c:v>
                  </c:pt>
                  <c:pt idx="3">
                    <c:v>1.5958852899554277E-2</c:v>
                  </c:pt>
                  <c:pt idx="4">
                    <c:v>4.6388029347942108E-3</c:v>
                  </c:pt>
                  <c:pt idx="5">
                    <c:v>1.8132172965009618E-3</c:v>
                  </c:pt>
                  <c:pt idx="6">
                    <c:v>9.7786636370319991E-4</c:v>
                  </c:pt>
                  <c:pt idx="7">
                    <c:v>6.3985520756016647E-4</c:v>
                  </c:pt>
                  <c:pt idx="8">
                    <c:v>7.472142815186767E-4</c:v>
                  </c:pt>
                  <c:pt idx="9">
                    <c:v>8.2842366773620553E-4</c:v>
                  </c:pt>
                  <c:pt idx="10">
                    <c:v>9.0316827876559327E-4</c:v>
                  </c:pt>
                  <c:pt idx="11">
                    <c:v>1.0652883964464028E-3</c:v>
                  </c:pt>
                  <c:pt idx="12">
                    <c:v>9.906814333381002E-4</c:v>
                  </c:pt>
                  <c:pt idx="13">
                    <c:v>1.012957834002148E-3</c:v>
                  </c:pt>
                  <c:pt idx="14">
                    <c:v>1.0736669296863065E-3</c:v>
                  </c:pt>
                  <c:pt idx="15">
                    <c:v>1.0913993728601074E-3</c:v>
                  </c:pt>
                  <c:pt idx="16">
                    <c:v>1.0931821766245956E-3</c:v>
                  </c:pt>
                  <c:pt idx="17">
                    <c:v>1.3539840578331293E-3</c:v>
                  </c:pt>
                  <c:pt idx="18">
                    <c:v>1.8486213312877101E-3</c:v>
                  </c:pt>
                  <c:pt idx="19">
                    <c:v>2.2823092675023932E-3</c:v>
                  </c:pt>
                  <c:pt idx="20">
                    <c:v>2.5193623238669196E-3</c:v>
                  </c:pt>
                </c:numCache>
              </c:numRef>
            </c:plus>
            <c:minus>
              <c:numRef>
                <c:f>RAW!$AI$7:$AI$27</c:f>
                <c:numCache>
                  <c:formatCode>General</c:formatCode>
                  <c:ptCount val="21"/>
                  <c:pt idx="0">
                    <c:v>4.5271924936261372E-2</c:v>
                  </c:pt>
                  <c:pt idx="1">
                    <c:v>4.5170118329618501E-2</c:v>
                  </c:pt>
                  <c:pt idx="2">
                    <c:v>3.8739937396577391E-2</c:v>
                  </c:pt>
                  <c:pt idx="3">
                    <c:v>1.5958852899554277E-2</c:v>
                  </c:pt>
                  <c:pt idx="4">
                    <c:v>4.6388029347942108E-3</c:v>
                  </c:pt>
                  <c:pt idx="5">
                    <c:v>1.8132172965009618E-3</c:v>
                  </c:pt>
                  <c:pt idx="6">
                    <c:v>9.7786636370319991E-4</c:v>
                  </c:pt>
                  <c:pt idx="7">
                    <c:v>6.3985520756016647E-4</c:v>
                  </c:pt>
                  <c:pt idx="8">
                    <c:v>7.472142815186767E-4</c:v>
                  </c:pt>
                  <c:pt idx="9">
                    <c:v>8.2842366773620553E-4</c:v>
                  </c:pt>
                  <c:pt idx="10">
                    <c:v>9.0316827876559327E-4</c:v>
                  </c:pt>
                  <c:pt idx="11">
                    <c:v>1.0652883964464028E-3</c:v>
                  </c:pt>
                  <c:pt idx="12">
                    <c:v>9.906814333381002E-4</c:v>
                  </c:pt>
                  <c:pt idx="13">
                    <c:v>1.012957834002148E-3</c:v>
                  </c:pt>
                  <c:pt idx="14">
                    <c:v>1.0736669296863065E-3</c:v>
                  </c:pt>
                  <c:pt idx="15">
                    <c:v>1.0913993728601074E-3</c:v>
                  </c:pt>
                  <c:pt idx="16">
                    <c:v>1.0931821766245956E-3</c:v>
                  </c:pt>
                  <c:pt idx="17">
                    <c:v>1.3539840578331293E-3</c:v>
                  </c:pt>
                  <c:pt idx="18">
                    <c:v>1.8486213312877101E-3</c:v>
                  </c:pt>
                  <c:pt idx="19">
                    <c:v>2.2823092675023932E-3</c:v>
                  </c:pt>
                  <c:pt idx="20">
                    <c:v>2.5193623238669196E-3</c:v>
                  </c:pt>
                </c:numCache>
              </c:numRef>
            </c:minus>
            <c:spPr>
              <a:ln w="41275">
                <a:solidFill>
                  <a:schemeClr val="accent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ln>
                <a:solidFill>
                  <a:schemeClr val="accent1"/>
                </a:solidFill>
              </a:ln>
            </c:spPr>
          </c:errBars>
          <c:xVal>
            <c:numRef>
              <c:f>RAW!$A$7:$A$27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RAW!$Z$7:$Z$27</c:f>
              <c:numCache>
                <c:formatCode>0.0000</c:formatCode>
                <c:ptCount val="21"/>
                <c:pt idx="0">
                  <c:v>2.3665407703220794E-2</c:v>
                </c:pt>
                <c:pt idx="1">
                  <c:v>2.462929025606243E-2</c:v>
                </c:pt>
                <c:pt idx="2">
                  <c:v>2.5554048414628886E-2</c:v>
                </c:pt>
                <c:pt idx="3">
                  <c:v>2.6465759369078398E-2</c:v>
                </c:pt>
                <c:pt idx="4">
                  <c:v>2.7127502542656202E-2</c:v>
                </c:pt>
                <c:pt idx="5">
                  <c:v>2.518357356251336E-2</c:v>
                </c:pt>
                <c:pt idx="6">
                  <c:v>2.2741078225655815E-2</c:v>
                </c:pt>
                <c:pt idx="7">
                  <c:v>2.0640490566456983E-2</c:v>
                </c:pt>
                <c:pt idx="8">
                  <c:v>2.1976890632902254E-2</c:v>
                </c:pt>
                <c:pt idx="9">
                  <c:v>2.6723344120522758E-2</c:v>
                </c:pt>
                <c:pt idx="10">
                  <c:v>3.1143733750537701E-2</c:v>
                </c:pt>
                <c:pt idx="11">
                  <c:v>3.3290262388950088E-2</c:v>
                </c:pt>
                <c:pt idx="12">
                  <c:v>3.4161428735796563E-2</c:v>
                </c:pt>
                <c:pt idx="13">
                  <c:v>3.4929580482832692E-2</c:v>
                </c:pt>
                <c:pt idx="14">
                  <c:v>3.5788897656210218E-2</c:v>
                </c:pt>
                <c:pt idx="15">
                  <c:v>3.6379979095336919E-2</c:v>
                </c:pt>
                <c:pt idx="16">
                  <c:v>3.6439405887486523E-2</c:v>
                </c:pt>
                <c:pt idx="17">
                  <c:v>4.2312001807285289E-2</c:v>
                </c:pt>
                <c:pt idx="18">
                  <c:v>6.1620711042923673E-2</c:v>
                </c:pt>
                <c:pt idx="19">
                  <c:v>8.1511045267942603E-2</c:v>
                </c:pt>
                <c:pt idx="2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AF-4CA4-8724-C1D64DE14738}"/>
            </c:ext>
          </c:extLst>
        </c:ser>
        <c:ser>
          <c:idx val="3"/>
          <c:order val="1"/>
          <c:tx>
            <c:v>PtSi PTB Cal</c:v>
          </c:tx>
          <c:spPr>
            <a:ln w="19050">
              <a:noFill/>
            </a:ln>
          </c:spPr>
          <c:marker>
            <c:symbol val="circle"/>
            <c:size val="8"/>
            <c:spPr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[2]Sheet1!$V$5:$V$25</c:f>
                <c:numCache>
                  <c:formatCode>General</c:formatCode>
                  <c:ptCount val="21"/>
                  <c:pt idx="0">
                    <c:v>2.9E-4</c:v>
                  </c:pt>
                  <c:pt idx="1">
                    <c:v>2.0000000000000001E-4</c:v>
                  </c:pt>
                  <c:pt idx="2">
                    <c:v>1.7000000000000001E-4</c:v>
                  </c:pt>
                  <c:pt idx="3">
                    <c:v>1.6000000000000001E-4</c:v>
                  </c:pt>
                  <c:pt idx="4">
                    <c:v>1.7000000000000001E-4</c:v>
                  </c:pt>
                  <c:pt idx="5">
                    <c:v>1.4999999999999999E-4</c:v>
                  </c:pt>
                  <c:pt idx="6">
                    <c:v>9.7999999999999997E-5</c:v>
                  </c:pt>
                  <c:pt idx="7">
                    <c:v>1E-4</c:v>
                  </c:pt>
                  <c:pt idx="8">
                    <c:v>1.2999999999999999E-4</c:v>
                  </c:pt>
                  <c:pt idx="9">
                    <c:v>1.2999999999999999E-4</c:v>
                  </c:pt>
                  <c:pt idx="10">
                    <c:v>1.1E-4</c:v>
                  </c:pt>
                  <c:pt idx="11">
                    <c:v>9.5000000000000005E-5</c:v>
                  </c:pt>
                  <c:pt idx="12">
                    <c:v>9.6000000000000002E-5</c:v>
                  </c:pt>
                  <c:pt idx="13">
                    <c:v>8.8999999999999995E-5</c:v>
                  </c:pt>
                  <c:pt idx="14">
                    <c:v>9.0000000000000006E-5</c:v>
                  </c:pt>
                  <c:pt idx="15">
                    <c:v>9.2E-5</c:v>
                  </c:pt>
                  <c:pt idx="16">
                    <c:v>1E-4</c:v>
                  </c:pt>
                  <c:pt idx="17">
                    <c:v>2.5999999999999998E-4</c:v>
                  </c:pt>
                  <c:pt idx="18">
                    <c:v>4.2000000000000002E-4</c:v>
                  </c:pt>
                  <c:pt idx="19">
                    <c:v>3.6000000000000002E-4</c:v>
                  </c:pt>
                  <c:pt idx="20">
                    <c:v>3.2000000000000003E-4</c:v>
                  </c:pt>
                </c:numCache>
              </c:numRef>
            </c:plus>
            <c:minus>
              <c:numRef>
                <c:f>[2]Sheet1!$V$5:$V$25</c:f>
                <c:numCache>
                  <c:formatCode>General</c:formatCode>
                  <c:ptCount val="21"/>
                  <c:pt idx="0">
                    <c:v>2.9E-4</c:v>
                  </c:pt>
                  <c:pt idx="1">
                    <c:v>2.0000000000000001E-4</c:v>
                  </c:pt>
                  <c:pt idx="2">
                    <c:v>1.7000000000000001E-4</c:v>
                  </c:pt>
                  <c:pt idx="3">
                    <c:v>1.6000000000000001E-4</c:v>
                  </c:pt>
                  <c:pt idx="4">
                    <c:v>1.7000000000000001E-4</c:v>
                  </c:pt>
                  <c:pt idx="5">
                    <c:v>1.4999999999999999E-4</c:v>
                  </c:pt>
                  <c:pt idx="6">
                    <c:v>9.7999999999999997E-5</c:v>
                  </c:pt>
                  <c:pt idx="7">
                    <c:v>1E-4</c:v>
                  </c:pt>
                  <c:pt idx="8">
                    <c:v>1.2999999999999999E-4</c:v>
                  </c:pt>
                  <c:pt idx="9">
                    <c:v>1.2999999999999999E-4</c:v>
                  </c:pt>
                  <c:pt idx="10">
                    <c:v>1.1E-4</c:v>
                  </c:pt>
                  <c:pt idx="11">
                    <c:v>9.5000000000000005E-5</c:v>
                  </c:pt>
                  <c:pt idx="12">
                    <c:v>9.6000000000000002E-5</c:v>
                  </c:pt>
                  <c:pt idx="13">
                    <c:v>8.8999999999999995E-5</c:v>
                  </c:pt>
                  <c:pt idx="14">
                    <c:v>9.0000000000000006E-5</c:v>
                  </c:pt>
                  <c:pt idx="15">
                    <c:v>9.2E-5</c:v>
                  </c:pt>
                  <c:pt idx="16">
                    <c:v>1E-4</c:v>
                  </c:pt>
                  <c:pt idx="17">
                    <c:v>2.5999999999999998E-4</c:v>
                  </c:pt>
                  <c:pt idx="18">
                    <c:v>4.2000000000000002E-4</c:v>
                  </c:pt>
                  <c:pt idx="19">
                    <c:v>3.6000000000000002E-4</c:v>
                  </c:pt>
                  <c:pt idx="20">
                    <c:v>3.2000000000000003E-4</c:v>
                  </c:pt>
                </c:numCache>
              </c:numRef>
            </c:minus>
            <c:spPr>
              <a:ln w="44450">
                <a:solidFill>
                  <a:srgbClr val="FF0000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ln>
                <a:solidFill>
                  <a:srgbClr val="FF0000"/>
                </a:solidFill>
              </a:ln>
            </c:spPr>
          </c:errBars>
          <c:xVal>
            <c:numRef>
              <c:f>RAW!$A$7:$A$27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RAW!$AA$7:$AA$27</c:f>
              <c:numCache>
                <c:formatCode>0.00000</c:formatCode>
                <c:ptCount val="21"/>
                <c:pt idx="0">
                  <c:v>2.6759999999999999E-2</c:v>
                </c:pt>
                <c:pt idx="1">
                  <c:v>2.6200000000000001E-2</c:v>
                </c:pt>
                <c:pt idx="2">
                  <c:v>2.564E-2</c:v>
                </c:pt>
                <c:pt idx="3">
                  <c:v>2.5999999999999999E-2</c:v>
                </c:pt>
                <c:pt idx="4">
                  <c:v>2.6769999999999999E-2</c:v>
                </c:pt>
                <c:pt idx="5">
                  <c:v>2.4729999999999999E-2</c:v>
                </c:pt>
                <c:pt idx="6">
                  <c:v>2.2395999999999999E-2</c:v>
                </c:pt>
                <c:pt idx="7">
                  <c:v>2.0250000000000001E-2</c:v>
                </c:pt>
                <c:pt idx="8">
                  <c:v>2.146E-2</c:v>
                </c:pt>
                <c:pt idx="9">
                  <c:v>2.6179999999999998E-2</c:v>
                </c:pt>
                <c:pt idx="10">
                  <c:v>3.0630000000000001E-2</c:v>
                </c:pt>
                <c:pt idx="11">
                  <c:v>3.2731999999999997E-2</c:v>
                </c:pt>
                <c:pt idx="12">
                  <c:v>3.3631000000000001E-2</c:v>
                </c:pt>
                <c:pt idx="13">
                  <c:v>3.4394000000000001E-2</c:v>
                </c:pt>
                <c:pt idx="14">
                  <c:v>3.5340000000000003E-2</c:v>
                </c:pt>
                <c:pt idx="15">
                  <c:v>3.5982E-2</c:v>
                </c:pt>
                <c:pt idx="16">
                  <c:v>3.585E-2</c:v>
                </c:pt>
                <c:pt idx="17">
                  <c:v>4.1169999999999998E-2</c:v>
                </c:pt>
                <c:pt idx="18">
                  <c:v>6.0400000000000002E-2</c:v>
                </c:pt>
                <c:pt idx="19">
                  <c:v>8.0509999999999998E-2</c:v>
                </c:pt>
                <c:pt idx="20">
                  <c:v>9.5990000000000006E-2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AF-4CA4-8724-C1D64DE14738}"/>
            </c:ext>
          </c:extLst>
        </c:ser>
        <c:ser>
          <c:idx val="0"/>
          <c:order val="2"/>
          <c:tx>
            <c:v>PtSi NMISA Cal LDLS</c:v>
          </c:tx>
          <c:spPr>
            <a:ln w="28575">
              <a:noFill/>
            </a:ln>
          </c:spPr>
          <c:marker>
            <c:symbol val="x"/>
            <c:size val="11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[2]Sheet1!$A$31:$A$51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[2]Sheet1!$T$31:$T$51</c:f>
              <c:numCache>
                <c:formatCode>General</c:formatCode>
                <c:ptCount val="21"/>
                <c:pt idx="0">
                  <c:v>2.7236338761064963E-2</c:v>
                </c:pt>
                <c:pt idx="1">
                  <c:v>2.6230905684393319E-2</c:v>
                </c:pt>
                <c:pt idx="2">
                  <c:v>2.6116846321283377E-2</c:v>
                </c:pt>
                <c:pt idx="3">
                  <c:v>2.6797391152773714E-2</c:v>
                </c:pt>
                <c:pt idx="4">
                  <c:v>2.7357477713875197E-2</c:v>
                </c:pt>
                <c:pt idx="5">
                  <c:v>2.5524401913516705E-2</c:v>
                </c:pt>
                <c:pt idx="6">
                  <c:v>2.2938035858517669E-2</c:v>
                </c:pt>
                <c:pt idx="7">
                  <c:v>2.0720982207724333E-2</c:v>
                </c:pt>
                <c:pt idx="8">
                  <c:v>2.2445923624041662E-2</c:v>
                </c:pt>
                <c:pt idx="9">
                  <c:v>2.7128746525582729E-2</c:v>
                </c:pt>
                <c:pt idx="10">
                  <c:v>3.1517417429708129E-2</c:v>
                </c:pt>
                <c:pt idx="11">
                  <c:v>3.3533604195778548E-2</c:v>
                </c:pt>
                <c:pt idx="12">
                  <c:v>3.4456061767389481E-2</c:v>
                </c:pt>
                <c:pt idx="13">
                  <c:v>3.5013713547306174E-2</c:v>
                </c:pt>
                <c:pt idx="14">
                  <c:v>3.6033342569628347E-2</c:v>
                </c:pt>
                <c:pt idx="15">
                  <c:v>3.6499892857290751E-2</c:v>
                </c:pt>
                <c:pt idx="16">
                  <c:v>3.6764752183292809E-2</c:v>
                </c:pt>
                <c:pt idx="17">
                  <c:v>4.4166263823784239E-2</c:v>
                </c:pt>
                <c:pt idx="18">
                  <c:v>6.4396011424514607E-2</c:v>
                </c:pt>
                <c:pt idx="19">
                  <c:v>8.3256271493162878E-2</c:v>
                </c:pt>
                <c:pt idx="20">
                  <c:v>9.7696045261242551E-2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AF-4CA4-8724-C1D64DE14738}"/>
            </c:ext>
          </c:extLst>
        </c:ser>
        <c:ser>
          <c:idx val="1"/>
          <c:order val="3"/>
          <c:tx>
            <c:v>PtSi NMISA Cal Xe Temp correct</c:v>
          </c:tx>
          <c:spPr>
            <a:ln w="19050">
              <a:noFill/>
            </a:ln>
          </c:spPr>
          <c:xVal>
            <c:numRef>
              <c:f>RAW!$A$7:$A$27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RAW!#REF!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42-498C-A00B-8DFC4AF6D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22608"/>
        <c:axId val="769726216"/>
      </c:scatterChart>
      <c:valAx>
        <c:axId val="769722608"/>
        <c:scaling>
          <c:orientation val="minMax"/>
          <c:max val="4000"/>
          <c:min val="2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26216"/>
        <c:crosses val="autoZero"/>
        <c:crossBetween val="midCat"/>
      </c:valAx>
      <c:valAx>
        <c:axId val="769726216"/>
        <c:scaling>
          <c:orientation val="minMax"/>
          <c:max val="4.5000000000000012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2260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9080639554137643"/>
          <c:y val="0.93675487491521769"/>
          <c:w val="0.4608519091548785"/>
          <c:h val="3.3818466507014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34366657304476"/>
          <c:y val="8.7739631188760145E-2"/>
          <c:w val="0.84768240740740752"/>
          <c:h val="0.80919632136001585"/>
        </c:manualLayout>
      </c:layout>
      <c:scatterChart>
        <c:scatterStyle val="lineMarker"/>
        <c:varyColors val="0"/>
        <c:ser>
          <c:idx val="0"/>
          <c:order val="0"/>
          <c:tx>
            <c:v>Output signal with LDLS and shutter open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Sheet1!$A$5:$A$13</c:f>
              <c:numCache>
                <c:formatCode>General</c:formatCode>
                <c:ptCount val="9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</c:numCache>
            </c:numRef>
          </c:xVal>
          <c:yVal>
            <c:numRef>
              <c:f>Sheet1!$J$5:$J$13</c:f>
              <c:numCache>
                <c:formatCode>0.00E+00</c:formatCode>
                <c:ptCount val="9"/>
                <c:pt idx="0">
                  <c:v>3.2594684201141394E-2</c:v>
                </c:pt>
                <c:pt idx="1">
                  <c:v>9.3603038504069008E-2</c:v>
                </c:pt>
                <c:pt idx="2">
                  <c:v>0.21503930458144768</c:v>
                </c:pt>
                <c:pt idx="3">
                  <c:v>0.43953883154912526</c:v>
                </c:pt>
                <c:pt idx="4">
                  <c:v>0.58333836538225459</c:v>
                </c:pt>
                <c:pt idx="5">
                  <c:v>0.68400610203714851</c:v>
                </c:pt>
                <c:pt idx="6">
                  <c:v>0.74677858738057257</c:v>
                </c:pt>
                <c:pt idx="7">
                  <c:v>0.83945718154516558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C-4C46-AF5B-D52F0A731C73}"/>
            </c:ext>
          </c:extLst>
        </c:ser>
        <c:ser>
          <c:idx val="1"/>
          <c:order val="1"/>
          <c:tx>
            <c:v>Output signal with LDLS and shutter closed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Sheet1!$A$5:$A$13</c:f>
              <c:numCache>
                <c:formatCode>General</c:formatCode>
                <c:ptCount val="9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</c:numCache>
            </c:numRef>
          </c:xVal>
          <c:yVal>
            <c:numRef>
              <c:f>Sheet1!$K$5:$K$13</c:f>
              <c:numCache>
                <c:formatCode>0.00E+00</c:formatCode>
                <c:ptCount val="9"/>
                <c:pt idx="0">
                  <c:v>1.3366122498001138E-3</c:v>
                </c:pt>
                <c:pt idx="1">
                  <c:v>1.3351777238458974E-3</c:v>
                </c:pt>
                <c:pt idx="2">
                  <c:v>1.3342132526162115E-3</c:v>
                </c:pt>
                <c:pt idx="3">
                  <c:v>1.3335159861076031E-3</c:v>
                </c:pt>
                <c:pt idx="4">
                  <c:v>1.3329361948890492E-3</c:v>
                </c:pt>
                <c:pt idx="5">
                  <c:v>1.3325082421453301E-3</c:v>
                </c:pt>
                <c:pt idx="6">
                  <c:v>1.3321579887170891E-3</c:v>
                </c:pt>
                <c:pt idx="7">
                  <c:v>1.3318852035534335E-3</c:v>
                </c:pt>
                <c:pt idx="8">
                  <c:v>1.3318517420306706E-3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C-4C46-AF5B-D52F0A731C73}"/>
            </c:ext>
          </c:extLst>
        </c:ser>
        <c:ser>
          <c:idx val="2"/>
          <c:order val="2"/>
          <c:tx>
            <c:v>Output signal with Xe-arc source and shutter open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Sheet1!$A$5:$A$13</c:f>
              <c:numCache>
                <c:formatCode>General</c:formatCode>
                <c:ptCount val="9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</c:numCache>
            </c:numRef>
          </c:xVal>
          <c:yVal>
            <c:numRef>
              <c:f>Sheet1!$D$5:$D$13</c:f>
              <c:numCache>
                <c:formatCode>0.00E+00</c:formatCode>
                <c:ptCount val="9"/>
                <c:pt idx="0">
                  <c:v>1.4007516491260929E-3</c:v>
                </c:pt>
                <c:pt idx="1">
                  <c:v>1.4595187855455682E-3</c:v>
                </c:pt>
                <c:pt idx="2">
                  <c:v>1.7650255737482164E-3</c:v>
                </c:pt>
                <c:pt idx="3">
                  <c:v>4.4383415920431803E-3</c:v>
                </c:pt>
                <c:pt idx="4">
                  <c:v>1.5922092699271809E-2</c:v>
                </c:pt>
                <c:pt idx="5">
                  <c:v>3.9325806430693798E-2</c:v>
                </c:pt>
                <c:pt idx="6">
                  <c:v>7.461312856273343E-2</c:v>
                </c:pt>
                <c:pt idx="7">
                  <c:v>0.12231322340053059</c:v>
                </c:pt>
                <c:pt idx="8">
                  <c:v>0.18024640177225729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8C-4C46-AF5B-D52F0A731C73}"/>
            </c:ext>
          </c:extLst>
        </c:ser>
        <c:ser>
          <c:idx val="3"/>
          <c:order val="3"/>
          <c:tx>
            <c:v>Output signal with Xe-arc source and shutter closed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Sheet1!$A$5:$A$13</c:f>
              <c:numCache>
                <c:formatCode>General</c:formatCode>
                <c:ptCount val="9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</c:numCache>
            </c:numRef>
          </c:xVal>
          <c:yVal>
            <c:numRef>
              <c:f>Sheet1!$E$5:$E$13</c:f>
              <c:numCache>
                <c:formatCode>0.00E+00</c:formatCode>
                <c:ptCount val="9"/>
                <c:pt idx="0">
                  <c:v>1.3389318006983802E-3</c:v>
                </c:pt>
                <c:pt idx="1">
                  <c:v>1.3379985438806492E-3</c:v>
                </c:pt>
                <c:pt idx="2">
                  <c:v>1.3373016140864505E-3</c:v>
                </c:pt>
                <c:pt idx="3">
                  <c:v>1.3367518468042196E-3</c:v>
                </c:pt>
                <c:pt idx="4">
                  <c:v>1.3361980234517586E-3</c:v>
                </c:pt>
                <c:pt idx="5">
                  <c:v>1.3358426601358046E-3</c:v>
                </c:pt>
                <c:pt idx="6">
                  <c:v>1.3354668600866944E-3</c:v>
                </c:pt>
                <c:pt idx="7">
                  <c:v>1.3352477674873112E-3</c:v>
                </c:pt>
                <c:pt idx="8">
                  <c:v>1.3349754697846838E-3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8C-4C46-AF5B-D52F0A731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  <c:max val="28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</a:t>
                </a:r>
                <a:r>
                  <a:rPr lang="en-ZA" baseline="0"/>
                  <a:t> [nm]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4883171296296298"/>
              <c:y val="0.944902777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  <c:majorUnit val="10"/>
      </c:valAx>
      <c:valAx>
        <c:axId val="6532911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Normalised</a:t>
                </a:r>
                <a:r>
                  <a:rPr lang="en-ZA" baseline="0"/>
                  <a:t> o</a:t>
                </a:r>
                <a:r>
                  <a:rPr lang="en-ZA"/>
                  <a:t>utput signal</a:t>
                </a:r>
              </a:p>
            </c:rich>
          </c:tx>
          <c:layout>
            <c:manualLayout>
              <c:xMode val="edge"/>
              <c:yMode val="edge"/>
              <c:x val="6.42565750347154E-3"/>
              <c:y val="0.282434132895394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37476851851853"/>
          <c:y val="2.6194135802469137E-2"/>
          <c:w val="0.62395787037037043"/>
          <c:h val="0.18160833333333334"/>
        </c:manualLayout>
      </c:layout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34375000000001"/>
          <c:y val="3.1127950690095364E-2"/>
          <c:w val="0.84768240740740752"/>
          <c:h val="0.8551933794651788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Sheet1!$H$5:$H$25</c:f>
              <c:numCache>
                <c:formatCode>General</c:formatCode>
                <c:ptCount val="21"/>
                <c:pt idx="0">
                  <c:v>0.231357177</c:v>
                </c:pt>
                <c:pt idx="1">
                  <c:v>0.66439467900000004</c:v>
                </c:pt>
                <c:pt idx="2">
                  <c:v>1.5263496999999999</c:v>
                </c:pt>
                <c:pt idx="3">
                  <c:v>3.1198480900000001</c:v>
                </c:pt>
                <c:pt idx="4">
                  <c:v>4.1405376599999997</c:v>
                </c:pt>
                <c:pt idx="5">
                  <c:v>4.8550775899999996</c:v>
                </c:pt>
                <c:pt idx="6">
                  <c:v>5.3006368999999998</c:v>
                </c:pt>
                <c:pt idx="7">
                  <c:v>5.9584698700000001</c:v>
                </c:pt>
                <c:pt idx="8">
                  <c:v>7.0980033300000001</c:v>
                </c:pt>
                <c:pt idx="9">
                  <c:v>9.7344148800000002E-2</c:v>
                </c:pt>
                <c:pt idx="10">
                  <c:v>0.11243209799999999</c:v>
                </c:pt>
                <c:pt idx="11">
                  <c:v>0.119248677</c:v>
                </c:pt>
                <c:pt idx="12">
                  <c:v>0.121850825</c:v>
                </c:pt>
                <c:pt idx="13">
                  <c:v>0.124485874</c:v>
                </c:pt>
                <c:pt idx="14">
                  <c:v>0.125326781</c:v>
                </c:pt>
                <c:pt idx="15">
                  <c:v>0.123032815</c:v>
                </c:pt>
                <c:pt idx="16">
                  <c:v>0.11723389400000001</c:v>
                </c:pt>
                <c:pt idx="17">
                  <c:v>0.114930962</c:v>
                </c:pt>
                <c:pt idx="18">
                  <c:v>0.121121298</c:v>
                </c:pt>
                <c:pt idx="19">
                  <c:v>0.12618294599999999</c:v>
                </c:pt>
                <c:pt idx="20">
                  <c:v>0.127051149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6-46BB-A286-79F7C376FF7E}"/>
            </c:ext>
          </c:extLst>
        </c:ser>
        <c:ser>
          <c:idx val="1"/>
          <c:order val="1"/>
          <c:tx>
            <c:v>Output signal with LDLS and shutter closed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Sheet1!$K$5:$K$25</c:f>
              <c:numCache>
                <c:formatCode>0.00E+00</c:formatCode>
                <c:ptCount val="21"/>
                <c:pt idx="0">
                  <c:v>1.3366122498001138E-3</c:v>
                </c:pt>
                <c:pt idx="1">
                  <c:v>1.3351777238458974E-3</c:v>
                </c:pt>
                <c:pt idx="2">
                  <c:v>1.3342132526162115E-3</c:v>
                </c:pt>
                <c:pt idx="3">
                  <c:v>1.3335159861076031E-3</c:v>
                </c:pt>
                <c:pt idx="4">
                  <c:v>1.3329361948890492E-3</c:v>
                </c:pt>
                <c:pt idx="5">
                  <c:v>1.3325082421453301E-3</c:v>
                </c:pt>
                <c:pt idx="6">
                  <c:v>1.3321579887170891E-3</c:v>
                </c:pt>
                <c:pt idx="7">
                  <c:v>1.3318852035534335E-3</c:v>
                </c:pt>
                <c:pt idx="8">
                  <c:v>1.3318517420306706E-3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D6-46BB-A286-79F7C376FF7E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Sheet1!$B$5:$B$25</c:f>
              <c:numCache>
                <c:formatCode>0.00E+00</c:formatCode>
                <c:ptCount val="21"/>
                <c:pt idx="0">
                  <c:v>9.9425398699999994E-3</c:v>
                </c:pt>
                <c:pt idx="1">
                  <c:v>1.0359669199999999E-2</c:v>
                </c:pt>
                <c:pt idx="2">
                  <c:v>1.25281574E-2</c:v>
                </c:pt>
                <c:pt idx="3">
                  <c:v>3.1503363399999998E-2</c:v>
                </c:pt>
                <c:pt idx="4">
                  <c:v>0.113015067</c:v>
                </c:pt>
                <c:pt idx="5">
                  <c:v>0.27913470499999998</c:v>
                </c:pt>
                <c:pt idx="6">
                  <c:v>0.52960423499999998</c:v>
                </c:pt>
                <c:pt idx="7">
                  <c:v>0.86817966700000004</c:v>
                </c:pt>
                <c:pt idx="8">
                  <c:v>1.27938956</c:v>
                </c:pt>
                <c:pt idx="9">
                  <c:v>1.8619711400000001</c:v>
                </c:pt>
                <c:pt idx="10">
                  <c:v>2.5508560299999998</c:v>
                </c:pt>
                <c:pt idx="11">
                  <c:v>3.1390098499999999</c:v>
                </c:pt>
                <c:pt idx="12">
                  <c:v>3.6094263899999999</c:v>
                </c:pt>
                <c:pt idx="13">
                  <c:v>4.0328645300000003</c:v>
                </c:pt>
                <c:pt idx="14">
                  <c:v>4.4234534099999996</c:v>
                </c:pt>
                <c:pt idx="15">
                  <c:v>4.69460371</c:v>
                </c:pt>
                <c:pt idx="16">
                  <c:v>4.7775955899999998</c:v>
                </c:pt>
                <c:pt idx="17">
                  <c:v>4.94338678</c:v>
                </c:pt>
                <c:pt idx="18">
                  <c:v>5.4794788900000002</c:v>
                </c:pt>
                <c:pt idx="19">
                  <c:v>6.0408513800000003</c:v>
                </c:pt>
                <c:pt idx="20">
                  <c:v>6.61706182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D6-46BB-A286-79F7C376FF7E}"/>
            </c:ext>
          </c:extLst>
        </c:ser>
        <c:ser>
          <c:idx val="3"/>
          <c:order val="3"/>
          <c:tx>
            <c:v>Output signal with Xe-arc source and shutter closed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Sheet1!$E$5:$E$25</c:f>
              <c:numCache>
                <c:formatCode>0.00E+00</c:formatCode>
                <c:ptCount val="21"/>
                <c:pt idx="0">
                  <c:v>1.3389318006983802E-3</c:v>
                </c:pt>
                <c:pt idx="1">
                  <c:v>1.3379985438806492E-3</c:v>
                </c:pt>
                <c:pt idx="2">
                  <c:v>1.3373016140864505E-3</c:v>
                </c:pt>
                <c:pt idx="3">
                  <c:v>1.3367518468042196E-3</c:v>
                </c:pt>
                <c:pt idx="4">
                  <c:v>1.3361980234517586E-3</c:v>
                </c:pt>
                <c:pt idx="5">
                  <c:v>1.3358426601358046E-3</c:v>
                </c:pt>
                <c:pt idx="6">
                  <c:v>1.3354668600866944E-3</c:v>
                </c:pt>
                <c:pt idx="7">
                  <c:v>1.3352477674873112E-3</c:v>
                </c:pt>
                <c:pt idx="8">
                  <c:v>1.3349754697846838E-3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D6-46BB-A286-79F7C376F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  <c:max val="28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</a:t>
                </a:r>
                <a:r>
                  <a:rPr lang="en-ZA" baseline="0"/>
                  <a:t> [nm]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4883171296296298"/>
              <c:y val="0.944902777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  <c:majorUnit val="10"/>
      </c:valAx>
      <c:valAx>
        <c:axId val="653291120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Normalised</a:t>
                </a:r>
                <a:r>
                  <a:rPr lang="en-ZA" baseline="0"/>
                  <a:t> o</a:t>
                </a:r>
                <a:r>
                  <a:rPr lang="en-ZA"/>
                  <a:t>utput signal</a:t>
                </a:r>
              </a:p>
            </c:rich>
          </c:tx>
          <c:layout>
            <c:manualLayout>
              <c:xMode val="edge"/>
              <c:yMode val="edge"/>
              <c:x val="6.42565750347154E-3"/>
              <c:y val="0.282434132895394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37476851851853"/>
          <c:y val="2.6194135802469137E-2"/>
          <c:w val="0.62395787037037043"/>
          <c:h val="0.18160833333333334"/>
        </c:manualLayout>
      </c:layout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34375000000001"/>
          <c:y val="2.758979988131622E-2"/>
          <c:w val="0.84768240740740752"/>
          <c:h val="0.8587314765543814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Sheet1!$C$29</c:f>
              <c:strCache>
                <c:ptCount val="1"/>
                <c:pt idx="0">
                  <c:v>LDLS 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Sheet1!$L$5:$L$25</c:f>
              <c:numCache>
                <c:formatCode>0.00E+00</c:formatCode>
                <c:ptCount val="21"/>
                <c:pt idx="0">
                  <c:v>3.2594684201141394E-2</c:v>
                </c:pt>
                <c:pt idx="1">
                  <c:v>9.3603038504069008E-2</c:v>
                </c:pt>
                <c:pt idx="2">
                  <c:v>0.21503930458144768</c:v>
                </c:pt>
                <c:pt idx="3">
                  <c:v>0.43953883154912526</c:v>
                </c:pt>
                <c:pt idx="4">
                  <c:v>0.58333836538225459</c:v>
                </c:pt>
                <c:pt idx="5">
                  <c:v>0.68400610203714851</c:v>
                </c:pt>
                <c:pt idx="6">
                  <c:v>0.74677858738057257</c:v>
                </c:pt>
                <c:pt idx="7">
                  <c:v>0.83945718154516558</c:v>
                </c:pt>
                <c:pt idx="8">
                  <c:v>1</c:v>
                </c:pt>
                <c:pt idx="9">
                  <c:v>1.3714300243925077E-2</c:v>
                </c:pt>
                <c:pt idx="10">
                  <c:v>1.5839961292325851E-2</c:v>
                </c:pt>
                <c:pt idx="11">
                  <c:v>1.6800312912786417E-2</c:v>
                </c:pt>
                <c:pt idx="12">
                  <c:v>1.7166915727552919E-2</c:v>
                </c:pt>
                <c:pt idx="13">
                  <c:v>1.7538153789510829E-2</c:v>
                </c:pt>
                <c:pt idx="14">
                  <c:v>1.7656624711670853E-2</c:v>
                </c:pt>
                <c:pt idx="15">
                  <c:v>1.7333440022491507E-2</c:v>
                </c:pt>
                <c:pt idx="16">
                  <c:v>1.6516460834063881E-2</c:v>
                </c:pt>
                <c:pt idx="17">
                  <c:v>1.6192012972752436E-2</c:v>
                </c:pt>
                <c:pt idx="18">
                  <c:v>1.7064136542184461E-2</c:v>
                </c:pt>
                <c:pt idx="19">
                  <c:v>1.7777245252433543E-2</c:v>
                </c:pt>
                <c:pt idx="20">
                  <c:v>1.7899561763096553E-2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49-4678-9EA8-6220DA594695}"/>
            </c:ext>
          </c:extLst>
        </c:ser>
        <c:ser>
          <c:idx val="2"/>
          <c:order val="1"/>
          <c:tx>
            <c:strRef>
              <c:f>Sheet1!$C$31</c:f>
              <c:strCache>
                <c:ptCount val="1"/>
                <c:pt idx="0">
                  <c:v>Xenon arc source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Sheet1!$F$5:$F$25</c:f>
              <c:numCache>
                <c:formatCode>0.00E+00</c:formatCode>
                <c:ptCount val="21"/>
                <c:pt idx="0">
                  <c:v>1.4007516491260929E-3</c:v>
                </c:pt>
                <c:pt idx="1">
                  <c:v>1.4595187855455682E-3</c:v>
                </c:pt>
                <c:pt idx="2">
                  <c:v>1.7650255737482164E-3</c:v>
                </c:pt>
                <c:pt idx="3">
                  <c:v>4.4383415920431803E-3</c:v>
                </c:pt>
                <c:pt idx="4">
                  <c:v>1.5922092699271809E-2</c:v>
                </c:pt>
                <c:pt idx="5">
                  <c:v>3.9325806430693798E-2</c:v>
                </c:pt>
                <c:pt idx="6">
                  <c:v>7.461312856273343E-2</c:v>
                </c:pt>
                <c:pt idx="7">
                  <c:v>0.12231322340053059</c:v>
                </c:pt>
                <c:pt idx="8">
                  <c:v>0.18024640177225729</c:v>
                </c:pt>
                <c:pt idx="9">
                  <c:v>0.26232322717154882</c:v>
                </c:pt>
                <c:pt idx="10">
                  <c:v>0.35937656146464497</c:v>
                </c:pt>
                <c:pt idx="11">
                  <c:v>0.44223843016991088</c:v>
                </c:pt>
                <c:pt idx="12">
                  <c:v>0.508512918660465</c:v>
                </c:pt>
                <c:pt idx="13">
                  <c:v>0.56816886982215609</c:v>
                </c:pt>
                <c:pt idx="14">
                  <c:v>0.62319686316630674</c:v>
                </c:pt>
                <c:pt idx="15">
                  <c:v>0.66139778917235303</c:v>
                </c:pt>
                <c:pt idx="16">
                  <c:v>0.67309007447309832</c:v>
                </c:pt>
                <c:pt idx="17">
                  <c:v>0.69644751490980206</c:v>
                </c:pt>
                <c:pt idx="18">
                  <c:v>0.77197468573179717</c:v>
                </c:pt>
                <c:pt idx="19">
                  <c:v>0.85106347505756952</c:v>
                </c:pt>
                <c:pt idx="20">
                  <c:v>0.93224270437190682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49-4678-9EA8-6220DA594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  <c:max val="4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</a:t>
                </a:r>
                <a:r>
                  <a:rPr lang="en-ZA" baseline="0"/>
                  <a:t> [nm]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4883171296296298"/>
              <c:y val="0.944902777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  <c:majorUnit val="20"/>
      </c:valAx>
      <c:valAx>
        <c:axId val="653291120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Normalised</a:t>
                </a:r>
                <a:r>
                  <a:rPr lang="en-ZA" baseline="0"/>
                  <a:t> o</a:t>
                </a:r>
                <a:r>
                  <a:rPr lang="en-ZA"/>
                  <a:t>utput signal</a:t>
                </a:r>
              </a:p>
            </c:rich>
          </c:tx>
          <c:layout>
            <c:manualLayout>
              <c:xMode val="edge"/>
              <c:yMode val="edge"/>
              <c:x val="6.42565750347154E-3"/>
              <c:y val="0.282434132895394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59243598800999"/>
          <c:y val="1.911756102045763E-2"/>
          <c:w val="0.30743273360985351"/>
          <c:h val="8.6076386663954965E-2"/>
        </c:manualLayout>
      </c:layout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657994626709489E-2"/>
          <c:y val="3.1017429469768171E-2"/>
          <c:w val="0.87697928427179817"/>
          <c:h val="0.89658756358178704"/>
        </c:manualLayout>
      </c:layout>
      <c:scatterChart>
        <c:scatterStyle val="smoothMarker"/>
        <c:varyColors val="0"/>
        <c:ser>
          <c:idx val="0"/>
          <c:order val="0"/>
          <c:tx>
            <c:v>UV-enhanced Si photodiode detector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'Uncertainty calc'!$A$20:$A$40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'Uncertainty calc'!$B$20:$B$40</c:f>
              <c:numCache>
                <c:formatCode>0.00000</c:formatCode>
                <c:ptCount val="21"/>
                <c:pt idx="0">
                  <c:v>0.1134</c:v>
                </c:pt>
                <c:pt idx="1">
                  <c:v>0.1163</c:v>
                </c:pt>
                <c:pt idx="2">
                  <c:v>0.12089999999999999</c:v>
                </c:pt>
                <c:pt idx="3">
                  <c:v>0.127</c:v>
                </c:pt>
                <c:pt idx="4">
                  <c:v>0.13039999999999999</c:v>
                </c:pt>
                <c:pt idx="5">
                  <c:v>0.12189999999999999</c:v>
                </c:pt>
                <c:pt idx="6">
                  <c:v>0.1103</c:v>
                </c:pt>
                <c:pt idx="7">
                  <c:v>0.10009999999999999</c:v>
                </c:pt>
                <c:pt idx="8">
                  <c:v>0.10249999999999999</c:v>
                </c:pt>
                <c:pt idx="9">
                  <c:v>0.1147</c:v>
                </c:pt>
                <c:pt idx="10">
                  <c:v>0.1295</c:v>
                </c:pt>
                <c:pt idx="11">
                  <c:v>0.13750000000000001</c:v>
                </c:pt>
                <c:pt idx="12">
                  <c:v>0.14219999999999999</c:v>
                </c:pt>
                <c:pt idx="13">
                  <c:v>0.14549999999999999</c:v>
                </c:pt>
                <c:pt idx="14">
                  <c:v>0.14779999999999999</c:v>
                </c:pt>
                <c:pt idx="15">
                  <c:v>0.14810000000000001</c:v>
                </c:pt>
                <c:pt idx="16">
                  <c:v>0.1447</c:v>
                </c:pt>
                <c:pt idx="17">
                  <c:v>0.1449</c:v>
                </c:pt>
                <c:pt idx="18">
                  <c:v>0.15670000000000001</c:v>
                </c:pt>
                <c:pt idx="19">
                  <c:v>0.1691</c:v>
                </c:pt>
                <c:pt idx="20">
                  <c:v>0.17979999999999999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7E-43E5-9E76-7E37788FA5D8}"/>
            </c:ext>
          </c:extLst>
        </c:ser>
        <c:ser>
          <c:idx val="1"/>
          <c:order val="1"/>
          <c:tx>
            <c:v>PtSi detector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'Uncertainty calc'!$A$20:$A$40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'Uncertainty calc'!$K$20:$K$40</c:f>
              <c:numCache>
                <c:formatCode>0.0000000</c:formatCode>
                <c:ptCount val="21"/>
                <c:pt idx="0">
                  <c:v>2.6759999999999999E-2</c:v>
                </c:pt>
                <c:pt idx="1">
                  <c:v>2.6200000000000001E-2</c:v>
                </c:pt>
                <c:pt idx="2">
                  <c:v>2.564E-2</c:v>
                </c:pt>
                <c:pt idx="3">
                  <c:v>2.5999999999999999E-2</c:v>
                </c:pt>
                <c:pt idx="4">
                  <c:v>2.6769999999999999E-2</c:v>
                </c:pt>
                <c:pt idx="5">
                  <c:v>2.4729999999999999E-2</c:v>
                </c:pt>
                <c:pt idx="6">
                  <c:v>2.2395999999999999E-2</c:v>
                </c:pt>
                <c:pt idx="7">
                  <c:v>2.0250000000000001E-2</c:v>
                </c:pt>
                <c:pt idx="8">
                  <c:v>2.146E-2</c:v>
                </c:pt>
                <c:pt idx="9">
                  <c:v>2.6179999999999998E-2</c:v>
                </c:pt>
                <c:pt idx="10">
                  <c:v>3.0630000000000001E-2</c:v>
                </c:pt>
                <c:pt idx="11">
                  <c:v>3.2731999999999997E-2</c:v>
                </c:pt>
                <c:pt idx="12">
                  <c:v>3.3631000000000001E-2</c:v>
                </c:pt>
                <c:pt idx="13">
                  <c:v>3.4394000000000001E-2</c:v>
                </c:pt>
                <c:pt idx="14">
                  <c:v>3.5340000000000003E-2</c:v>
                </c:pt>
                <c:pt idx="15">
                  <c:v>3.5982E-2</c:v>
                </c:pt>
                <c:pt idx="16">
                  <c:v>3.585E-2</c:v>
                </c:pt>
                <c:pt idx="17">
                  <c:v>4.1169999999999998E-2</c:v>
                </c:pt>
                <c:pt idx="18">
                  <c:v>6.0400000000000002E-2</c:v>
                </c:pt>
                <c:pt idx="19">
                  <c:v>8.0509999999999998E-2</c:v>
                </c:pt>
                <c:pt idx="20">
                  <c:v>9.5990000000000006E-2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7E-43E5-9E76-7E37788FA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343192"/>
        <c:axId val="904344832"/>
      </c:scatterChart>
      <c:valAx>
        <c:axId val="904343192"/>
        <c:scaling>
          <c:orientation val="minMax"/>
          <c:max val="40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344832"/>
        <c:crosses val="autoZero"/>
        <c:crossBetween val="midCat"/>
        <c:majorUnit val="10"/>
      </c:valAx>
      <c:valAx>
        <c:axId val="90434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343192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263736010227984"/>
          <c:y val="5.3291093764273628E-2"/>
          <c:w val="0.35795008663676497"/>
          <c:h val="0.2523042593621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62654320987656"/>
          <c:y val="4.3552009830331091E-2"/>
          <c:w val="0.74228611111111109"/>
          <c:h val="0.84892750902683134"/>
        </c:manualLayout>
      </c:layout>
      <c:scatterChart>
        <c:scatterStyle val="lineMarker"/>
        <c:varyColors val="0"/>
        <c:ser>
          <c:idx val="0"/>
          <c:order val="0"/>
          <c:tx>
            <c:v>Calculated spectral power responsivity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plus>
            <c:min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00FF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calc'!$J$26:$J$40</c:f>
              <c:numCache>
                <c:formatCode>0.00000</c:formatCode>
                <c:ptCount val="15"/>
                <c:pt idx="0">
                  <c:v>2.2741078225655815E-2</c:v>
                </c:pt>
                <c:pt idx="1">
                  <c:v>2.0640490566456983E-2</c:v>
                </c:pt>
                <c:pt idx="2">
                  <c:v>2.1976890632902254E-2</c:v>
                </c:pt>
                <c:pt idx="3">
                  <c:v>2.6723344120522758E-2</c:v>
                </c:pt>
                <c:pt idx="4">
                  <c:v>3.1143733750537701E-2</c:v>
                </c:pt>
                <c:pt idx="5" formatCode="0.0000">
                  <c:v>3.3290262388950088E-2</c:v>
                </c:pt>
                <c:pt idx="6">
                  <c:v>3.4161428735796563E-2</c:v>
                </c:pt>
                <c:pt idx="7" formatCode="0.0000">
                  <c:v>3.4929580482832692E-2</c:v>
                </c:pt>
                <c:pt idx="8" formatCode="0.0000">
                  <c:v>3.5788897656210218E-2</c:v>
                </c:pt>
                <c:pt idx="9" formatCode="0.0000">
                  <c:v>3.6379979095336919E-2</c:v>
                </c:pt>
                <c:pt idx="10" formatCode="0.0000">
                  <c:v>3.6439405887486523E-2</c:v>
                </c:pt>
                <c:pt idx="11" formatCode="0.0000">
                  <c:v>4.2312001807285289E-2</c:v>
                </c:pt>
                <c:pt idx="12" formatCode="0.0000">
                  <c:v>6.1620711042923673E-2</c:v>
                </c:pt>
                <c:pt idx="13" formatCode="0.0000">
                  <c:v>8.1511045267942603E-2</c:v>
                </c:pt>
                <c:pt idx="14" formatCode="0.000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C-4D0A-9664-3599D5553FED}"/>
            </c:ext>
          </c:extLst>
        </c:ser>
        <c:ser>
          <c:idx val="1"/>
          <c:order val="1"/>
          <c:tx>
            <c:v>PTB spectral power responsivity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calc'!$L$26:$L$40</c:f>
              <c:numCache>
                <c:formatCode>0.00000</c:formatCode>
                <c:ptCount val="15"/>
                <c:pt idx="0">
                  <c:v>2.2363637780000001E-2</c:v>
                </c:pt>
                <c:pt idx="1">
                  <c:v>2.0222460000000001E-2</c:v>
                </c:pt>
                <c:pt idx="2">
                  <c:v>2.1419869800000001E-2</c:v>
                </c:pt>
                <c:pt idx="3">
                  <c:v>2.6122142199999997E-2</c:v>
                </c:pt>
                <c:pt idx="4">
                  <c:v>3.0562307699999999E-2</c:v>
                </c:pt>
                <c:pt idx="5">
                  <c:v>3.2670791159999997E-2</c:v>
                </c:pt>
                <c:pt idx="6">
                  <c:v>3.3573827300000005E-2</c:v>
                </c:pt>
                <c:pt idx="7">
                  <c:v>3.434137718E-2</c:v>
                </c:pt>
                <c:pt idx="8">
                  <c:v>3.5285929800000004E-2</c:v>
                </c:pt>
                <c:pt idx="9">
                  <c:v>3.5933064479999999E-2</c:v>
                </c:pt>
                <c:pt idx="10">
                  <c:v>3.581038575E-2</c:v>
                </c:pt>
                <c:pt idx="11">
                  <c:v>4.1065016499999996E-2</c:v>
                </c:pt>
                <c:pt idx="12">
                  <c:v>6.0194640000000001E-2</c:v>
                </c:pt>
                <c:pt idx="13">
                  <c:v>8.0304699499999993E-2</c:v>
                </c:pt>
                <c:pt idx="14">
                  <c:v>9.5802339550000004E-2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9C-4D0A-9664-3599D5553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72920"/>
        <c:axId val="816571936"/>
      </c:scatterChart>
      <c:valAx>
        <c:axId val="816572920"/>
        <c:scaling>
          <c:orientation val="minMax"/>
          <c:max val="401"/>
          <c:min val="2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4538055555555556"/>
              <c:y val="0.94510359050990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1936"/>
        <c:crosses val="autoZero"/>
        <c:crossBetween val="midCat"/>
        <c:majorUnit val="20"/>
      </c:valAx>
      <c:valAx>
        <c:axId val="816571936"/>
        <c:scaling>
          <c:orientation val="minMax"/>
          <c:max val="0.1"/>
          <c:min val="1.95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Spectral power responsivity  [A W</a:t>
                </a:r>
                <a:r>
                  <a:rPr lang="en-ZA" baseline="30000"/>
                  <a:t>-1</a:t>
                </a:r>
                <a:r>
                  <a:rPr lang="en-ZA"/>
                  <a:t>]</a:t>
                </a:r>
              </a:p>
            </c:rich>
          </c:tx>
          <c:layout>
            <c:manualLayout>
              <c:xMode val="edge"/>
              <c:yMode val="edge"/>
              <c:x val="7.2932098765432097E-3"/>
              <c:y val="0.19971379657945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2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003765432098769"/>
          <c:y val="4.2899638926752602E-2"/>
          <c:w val="0.6049619444444444"/>
          <c:h val="9.0689197530864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Response'!$B$5:$B$55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F6-4734-B507-C25320661008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'[1]Spectral Response'!$A$5:$A$55</c:f>
              <c:numCache>
                <c:formatCode>General</c:formatCode>
                <c:ptCount val="51"/>
                <c:pt idx="0">
                  <c:v>6000</c:v>
                </c:pt>
                <c:pt idx="1">
                  <c:v>6100</c:v>
                </c:pt>
                <c:pt idx="2">
                  <c:v>6200</c:v>
                </c:pt>
                <c:pt idx="3">
                  <c:v>6300</c:v>
                </c:pt>
                <c:pt idx="4">
                  <c:v>6400</c:v>
                </c:pt>
                <c:pt idx="5">
                  <c:v>6500</c:v>
                </c:pt>
                <c:pt idx="6">
                  <c:v>6600</c:v>
                </c:pt>
                <c:pt idx="7">
                  <c:v>6700</c:v>
                </c:pt>
                <c:pt idx="8">
                  <c:v>6800</c:v>
                </c:pt>
                <c:pt idx="9">
                  <c:v>6900</c:v>
                </c:pt>
                <c:pt idx="10">
                  <c:v>7000</c:v>
                </c:pt>
                <c:pt idx="11">
                  <c:v>7100</c:v>
                </c:pt>
                <c:pt idx="12">
                  <c:v>7200</c:v>
                </c:pt>
                <c:pt idx="13">
                  <c:v>7300</c:v>
                </c:pt>
                <c:pt idx="14">
                  <c:v>7400</c:v>
                </c:pt>
                <c:pt idx="15">
                  <c:v>7500</c:v>
                </c:pt>
                <c:pt idx="16">
                  <c:v>7600</c:v>
                </c:pt>
                <c:pt idx="17">
                  <c:v>7700</c:v>
                </c:pt>
                <c:pt idx="18">
                  <c:v>7800</c:v>
                </c:pt>
                <c:pt idx="19">
                  <c:v>7900</c:v>
                </c:pt>
                <c:pt idx="20">
                  <c:v>8000</c:v>
                </c:pt>
                <c:pt idx="21">
                  <c:v>8100</c:v>
                </c:pt>
                <c:pt idx="22">
                  <c:v>8200</c:v>
                </c:pt>
                <c:pt idx="23">
                  <c:v>8300</c:v>
                </c:pt>
                <c:pt idx="24">
                  <c:v>8400</c:v>
                </c:pt>
                <c:pt idx="25">
                  <c:v>8500</c:v>
                </c:pt>
                <c:pt idx="26">
                  <c:v>8600</c:v>
                </c:pt>
                <c:pt idx="27">
                  <c:v>8700</c:v>
                </c:pt>
                <c:pt idx="28">
                  <c:v>8800</c:v>
                </c:pt>
                <c:pt idx="29">
                  <c:v>8900</c:v>
                </c:pt>
                <c:pt idx="30">
                  <c:v>9000</c:v>
                </c:pt>
                <c:pt idx="31">
                  <c:v>9100</c:v>
                </c:pt>
                <c:pt idx="32">
                  <c:v>9200</c:v>
                </c:pt>
                <c:pt idx="33">
                  <c:v>9300</c:v>
                </c:pt>
                <c:pt idx="34">
                  <c:v>9400</c:v>
                </c:pt>
                <c:pt idx="35">
                  <c:v>9500</c:v>
                </c:pt>
                <c:pt idx="36">
                  <c:v>9600</c:v>
                </c:pt>
                <c:pt idx="37">
                  <c:v>9700</c:v>
                </c:pt>
                <c:pt idx="38">
                  <c:v>9800</c:v>
                </c:pt>
                <c:pt idx="39">
                  <c:v>9900</c:v>
                </c:pt>
                <c:pt idx="40">
                  <c:v>10000</c:v>
                </c:pt>
                <c:pt idx="41">
                  <c:v>10100</c:v>
                </c:pt>
                <c:pt idx="42">
                  <c:v>10200</c:v>
                </c:pt>
                <c:pt idx="43">
                  <c:v>10300</c:v>
                </c:pt>
                <c:pt idx="44">
                  <c:v>10400</c:v>
                </c:pt>
                <c:pt idx="45">
                  <c:v>10500</c:v>
                </c:pt>
                <c:pt idx="46">
                  <c:v>10600</c:v>
                </c:pt>
                <c:pt idx="47">
                  <c:v>10700</c:v>
                </c:pt>
                <c:pt idx="48">
                  <c:v>10800</c:v>
                </c:pt>
                <c:pt idx="49">
                  <c:v>10900</c:v>
                </c:pt>
                <c:pt idx="50">
                  <c:v>11000</c:v>
                </c:pt>
              </c:numCache>
            </c:numRef>
          </c:xVal>
          <c:yVal>
            <c:numRef>
              <c:f>'[1]Spectral Response'!$U$5:$U$55</c:f>
              <c:numCache>
                <c:formatCode>General</c:formatCode>
                <c:ptCount val="51"/>
                <c:pt idx="0">
                  <c:v>1.351239676831635E-5</c:v>
                </c:pt>
                <c:pt idx="1">
                  <c:v>1.4515522506689685E-5</c:v>
                </c:pt>
                <c:pt idx="2">
                  <c:v>1.566064756423409E-5</c:v>
                </c:pt>
                <c:pt idx="3">
                  <c:v>1.7039203236345946E-5</c:v>
                </c:pt>
                <c:pt idx="4">
                  <c:v>1.8144894746851179E-5</c:v>
                </c:pt>
                <c:pt idx="5">
                  <c:v>1.9192704689077753E-5</c:v>
                </c:pt>
                <c:pt idx="6">
                  <c:v>2.0013411983326976E-5</c:v>
                </c:pt>
                <c:pt idx="7">
                  <c:v>2.0480656842192593E-5</c:v>
                </c:pt>
                <c:pt idx="8">
                  <c:v>2.0875697811903454E-5</c:v>
                </c:pt>
                <c:pt idx="9">
                  <c:v>2.1057668115318199E-5</c:v>
                </c:pt>
                <c:pt idx="10">
                  <c:v>2.1273802626366379E-5</c:v>
                </c:pt>
                <c:pt idx="11">
                  <c:v>2.1049463196199561E-5</c:v>
                </c:pt>
                <c:pt idx="12">
                  <c:v>2.062959567516864E-5</c:v>
                </c:pt>
                <c:pt idx="13">
                  <c:v>2.0430643480843574E-5</c:v>
                </c:pt>
                <c:pt idx="14">
                  <c:v>1.9696974608288302E-5</c:v>
                </c:pt>
                <c:pt idx="15">
                  <c:v>1.8875682652164992E-5</c:v>
                </c:pt>
                <c:pt idx="16">
                  <c:v>1.816510857535036E-5</c:v>
                </c:pt>
                <c:pt idx="17">
                  <c:v>1.7316211938865144E-5</c:v>
                </c:pt>
                <c:pt idx="18">
                  <c:v>1.6303290906275427E-5</c:v>
                </c:pt>
                <c:pt idx="19">
                  <c:v>1.5353491992207784E-5</c:v>
                </c:pt>
                <c:pt idx="20">
                  <c:v>1.4621349719779555E-5</c:v>
                </c:pt>
                <c:pt idx="21">
                  <c:v>1.4060844450350743E-5</c:v>
                </c:pt>
                <c:pt idx="22">
                  <c:v>1.342931828241464E-5</c:v>
                </c:pt>
                <c:pt idx="23">
                  <c:v>1.3227518150972035E-5</c:v>
                </c:pt>
                <c:pt idx="24">
                  <c:v>1.3476551102135419E-5</c:v>
                </c:pt>
                <c:pt idx="25">
                  <c:v>1.4281310009587997E-5</c:v>
                </c:pt>
                <c:pt idx="26">
                  <c:v>1.5402554035699658E-5</c:v>
                </c:pt>
                <c:pt idx="27">
                  <c:v>1.6639098635408036E-5</c:v>
                </c:pt>
                <c:pt idx="28">
                  <c:v>1.817557894835229E-5</c:v>
                </c:pt>
                <c:pt idx="29">
                  <c:v>1.9819700777217919E-5</c:v>
                </c:pt>
                <c:pt idx="30">
                  <c:v>2.1469485158557247E-5</c:v>
                </c:pt>
                <c:pt idx="31">
                  <c:v>2.3059989921652907E-5</c:v>
                </c:pt>
                <c:pt idx="32">
                  <c:v>2.4582656965747458E-5</c:v>
                </c:pt>
                <c:pt idx="33">
                  <c:v>2.5620665909885819E-5</c:v>
                </c:pt>
                <c:pt idx="34">
                  <c:v>2.6415678800608344E-5</c:v>
                </c:pt>
                <c:pt idx="35">
                  <c:v>2.7174881532846578E-5</c:v>
                </c:pt>
                <c:pt idx="36">
                  <c:v>2.8004621554621965E-5</c:v>
                </c:pt>
                <c:pt idx="37">
                  <c:v>2.8573611766956598E-5</c:v>
                </c:pt>
                <c:pt idx="38">
                  <c:v>2.8854225756310644E-5</c:v>
                </c:pt>
                <c:pt idx="39">
                  <c:v>2.9002069781047898E-5</c:v>
                </c:pt>
                <c:pt idx="40">
                  <c:v>2.8853730709619836E-5</c:v>
                </c:pt>
                <c:pt idx="41">
                  <c:v>2.9646397207164035E-5</c:v>
                </c:pt>
                <c:pt idx="42">
                  <c:v>2.9363292623775712E-5</c:v>
                </c:pt>
                <c:pt idx="43">
                  <c:v>2.8802179342919902E-5</c:v>
                </c:pt>
                <c:pt idx="44">
                  <c:v>2.8446085764149887E-5</c:v>
                </c:pt>
                <c:pt idx="45">
                  <c:v>2.7754702671183855E-5</c:v>
                </c:pt>
                <c:pt idx="46">
                  <c:v>2.7138983656015277E-5</c:v>
                </c:pt>
                <c:pt idx="47">
                  <c:v>2.6488545092053286E-5</c:v>
                </c:pt>
                <c:pt idx="48">
                  <c:v>2.5777258563918327E-5</c:v>
                </c:pt>
                <c:pt idx="49">
                  <c:v>2.48858626679817E-5</c:v>
                </c:pt>
                <c:pt idx="50">
                  <c:v>2.4177625008460462E-5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F6-4734-B507-C25320661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86816"/>
        <c:axId val="86788352"/>
      </c:scatterChart>
      <c:valAx>
        <c:axId val="8678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788352"/>
        <c:crosses val="autoZero"/>
        <c:crossBetween val="midCat"/>
      </c:valAx>
      <c:valAx>
        <c:axId val="8678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78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18765432098763"/>
          <c:y val="3.5709974359013942E-2"/>
          <c:w val="0.73872499999999997"/>
          <c:h val="0.85677324939679622"/>
        </c:manualLayout>
      </c:layout>
      <c:scatterChart>
        <c:scatterStyle val="lineMarker"/>
        <c:varyColors val="0"/>
        <c:ser>
          <c:idx val="0"/>
          <c:order val="0"/>
          <c:tx>
            <c:v>Calculated spectral power responsivity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plus>
            <c:min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00FF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calc'!$J$26:$J$40</c:f>
              <c:numCache>
                <c:formatCode>0.00000</c:formatCode>
                <c:ptCount val="15"/>
                <c:pt idx="0">
                  <c:v>2.2741078225655815E-2</c:v>
                </c:pt>
                <c:pt idx="1">
                  <c:v>2.0640490566456983E-2</c:v>
                </c:pt>
                <c:pt idx="2">
                  <c:v>2.1976890632902254E-2</c:v>
                </c:pt>
                <c:pt idx="3">
                  <c:v>2.6723344120522758E-2</c:v>
                </c:pt>
                <c:pt idx="4">
                  <c:v>3.1143733750537701E-2</c:v>
                </c:pt>
                <c:pt idx="5" formatCode="0.0000">
                  <c:v>3.3290262388950088E-2</c:v>
                </c:pt>
                <c:pt idx="6">
                  <c:v>3.4161428735796563E-2</c:v>
                </c:pt>
                <c:pt idx="7" formatCode="0.0000">
                  <c:v>3.4929580482832692E-2</c:v>
                </c:pt>
                <c:pt idx="8" formatCode="0.0000">
                  <c:v>3.5788897656210218E-2</c:v>
                </c:pt>
                <c:pt idx="9" formatCode="0.0000">
                  <c:v>3.6379979095336919E-2</c:v>
                </c:pt>
                <c:pt idx="10" formatCode="0.0000">
                  <c:v>3.6439405887486523E-2</c:v>
                </c:pt>
                <c:pt idx="11" formatCode="0.0000">
                  <c:v>4.2312001807285289E-2</c:v>
                </c:pt>
                <c:pt idx="12" formatCode="0.0000">
                  <c:v>6.1620711042923673E-2</c:v>
                </c:pt>
                <c:pt idx="13" formatCode="0.0000">
                  <c:v>8.1511045267942603E-2</c:v>
                </c:pt>
                <c:pt idx="14" formatCode="0.000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23-4E5E-AC77-844EBFDBF5DE}"/>
            </c:ext>
          </c:extLst>
        </c:ser>
        <c:ser>
          <c:idx val="1"/>
          <c:order val="1"/>
          <c:tx>
            <c:v>PTB spectral power responsivity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calc'!$L$26:$L$40</c:f>
              <c:numCache>
                <c:formatCode>0.00000</c:formatCode>
                <c:ptCount val="15"/>
                <c:pt idx="0">
                  <c:v>2.2363637780000001E-2</c:v>
                </c:pt>
                <c:pt idx="1">
                  <c:v>2.0222460000000001E-2</c:v>
                </c:pt>
                <c:pt idx="2">
                  <c:v>2.1419869800000001E-2</c:v>
                </c:pt>
                <c:pt idx="3">
                  <c:v>2.6122142199999997E-2</c:v>
                </c:pt>
                <c:pt idx="4">
                  <c:v>3.0562307699999999E-2</c:v>
                </c:pt>
                <c:pt idx="5">
                  <c:v>3.2670791159999997E-2</c:v>
                </c:pt>
                <c:pt idx="6">
                  <c:v>3.3573827300000005E-2</c:v>
                </c:pt>
                <c:pt idx="7">
                  <c:v>3.434137718E-2</c:v>
                </c:pt>
                <c:pt idx="8">
                  <c:v>3.5285929800000004E-2</c:v>
                </c:pt>
                <c:pt idx="9">
                  <c:v>3.5933064479999999E-2</c:v>
                </c:pt>
                <c:pt idx="10">
                  <c:v>3.581038575E-2</c:v>
                </c:pt>
                <c:pt idx="11">
                  <c:v>4.1065016499999996E-2</c:v>
                </c:pt>
                <c:pt idx="12">
                  <c:v>6.0194640000000001E-2</c:v>
                </c:pt>
                <c:pt idx="13">
                  <c:v>8.0304699499999993E-2</c:v>
                </c:pt>
                <c:pt idx="14">
                  <c:v>9.5802339550000004E-2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23-4E5E-AC77-844EBFDBF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72920"/>
        <c:axId val="816571936"/>
      </c:scatterChart>
      <c:valAx>
        <c:axId val="816572920"/>
        <c:scaling>
          <c:orientation val="minMax"/>
          <c:max val="371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5243611111111104"/>
              <c:y val="0.945104825476118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1936"/>
        <c:crosses val="autoZero"/>
        <c:crossBetween val="midCat"/>
        <c:majorUnit val="20"/>
      </c:valAx>
      <c:valAx>
        <c:axId val="816571936"/>
        <c:scaling>
          <c:orientation val="minMax"/>
          <c:max val="4.5000000000000012E-2"/>
          <c:min val="1.95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Spectral power responsivity  [A W</a:t>
                </a:r>
                <a:r>
                  <a:rPr lang="en-ZA" baseline="30000"/>
                  <a:t>-1</a:t>
                </a:r>
                <a:r>
                  <a:rPr lang="en-ZA"/>
                  <a:t>]</a:t>
                </a:r>
              </a:p>
            </c:rich>
          </c:tx>
          <c:layout>
            <c:manualLayout>
              <c:xMode val="edge"/>
              <c:yMode val="edge"/>
              <c:x val="7.2932098765432097E-3"/>
              <c:y val="0.21147684978642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2920"/>
        <c:crossesAt val="25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682962962962964"/>
          <c:y val="3.8978621191094041E-2"/>
          <c:w val="0.59790638888888892"/>
          <c:h val="8.6769444444444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17410358921768E-2"/>
          <c:y val="4.9015783144101994E-2"/>
          <c:w val="0.82664200619225925"/>
          <c:h val="0.83476778816076924"/>
        </c:manualLayout>
      </c:layout>
      <c:scatterChart>
        <c:scatterStyle val="lineMarker"/>
        <c:varyColors val="0"/>
        <c:ser>
          <c:idx val="2"/>
          <c:order val="0"/>
          <c:tx>
            <c:v>PtSi NMISA Cal Xe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[2]Sheet1!$Z$5:$Z$25</c:f>
                <c:numCache>
                  <c:formatCode>General</c:formatCode>
                  <c:ptCount val="21"/>
                  <c:pt idx="0">
                    <c:v>1.4708545114424294E-3</c:v>
                  </c:pt>
                  <c:pt idx="1">
                    <c:v>1.0634953948534E-3</c:v>
                  </c:pt>
                  <c:pt idx="2">
                    <c:v>6.0922181457892912E-4</c:v>
                  </c:pt>
                  <c:pt idx="3">
                    <c:v>5.5886624450795066E-4</c:v>
                  </c:pt>
                  <c:pt idx="4">
                    <c:v>5.6924301271401309E-4</c:v>
                  </c:pt>
                  <c:pt idx="5">
                    <c:v>4.40352899409228E-4</c:v>
                  </c:pt>
                  <c:pt idx="6">
                    <c:v>3.9039713228219335E-4</c:v>
                  </c:pt>
                  <c:pt idx="7">
                    <c:v>3.5351715220160855E-4</c:v>
                  </c:pt>
                  <c:pt idx="8">
                    <c:v>3.8216209170936571E-4</c:v>
                  </c:pt>
                  <c:pt idx="9">
                    <c:v>4.5791166219152208E-4</c:v>
                  </c:pt>
                  <c:pt idx="10">
                    <c:v>5.1981781954027766E-4</c:v>
                  </c:pt>
                  <c:pt idx="11">
                    <c:v>5.5116620066921959E-4</c:v>
                  </c:pt>
                  <c:pt idx="12">
                    <c:v>5.6530530345047655E-4</c:v>
                  </c:pt>
                  <c:pt idx="13">
                    <c:v>5.7648199906121234E-4</c:v>
                  </c:pt>
                  <c:pt idx="14">
                    <c:v>5.9043614676418691E-4</c:v>
                  </c:pt>
                  <c:pt idx="15">
                    <c:v>6.0024473974178681E-4</c:v>
                  </c:pt>
                  <c:pt idx="16">
                    <c:v>6.0259667573393458E-4</c:v>
                  </c:pt>
                  <c:pt idx="17">
                    <c:v>6.2296823662198319E-4</c:v>
                  </c:pt>
                  <c:pt idx="18">
                    <c:v>6.485214417797083E-4</c:v>
                  </c:pt>
                  <c:pt idx="19">
                    <c:v>6.4308165172937348E-4</c:v>
                  </c:pt>
                  <c:pt idx="20">
                    <c:v>5.7426945852372601E-4</c:v>
                  </c:pt>
                </c:numCache>
              </c:numRef>
            </c:plus>
            <c:minus>
              <c:numRef>
                <c:f>[2]Sheet1!$Z$5:$Z$25</c:f>
                <c:numCache>
                  <c:formatCode>General</c:formatCode>
                  <c:ptCount val="21"/>
                  <c:pt idx="0">
                    <c:v>1.4708545114424294E-3</c:v>
                  </c:pt>
                  <c:pt idx="1">
                    <c:v>1.0634953948534E-3</c:v>
                  </c:pt>
                  <c:pt idx="2">
                    <c:v>6.0922181457892912E-4</c:v>
                  </c:pt>
                  <c:pt idx="3">
                    <c:v>5.5886624450795066E-4</c:v>
                  </c:pt>
                  <c:pt idx="4">
                    <c:v>5.6924301271401309E-4</c:v>
                  </c:pt>
                  <c:pt idx="5">
                    <c:v>4.40352899409228E-4</c:v>
                  </c:pt>
                  <c:pt idx="6">
                    <c:v>3.9039713228219335E-4</c:v>
                  </c:pt>
                  <c:pt idx="7">
                    <c:v>3.5351715220160855E-4</c:v>
                  </c:pt>
                  <c:pt idx="8">
                    <c:v>3.8216209170936571E-4</c:v>
                  </c:pt>
                  <c:pt idx="9">
                    <c:v>4.5791166219152208E-4</c:v>
                  </c:pt>
                  <c:pt idx="10">
                    <c:v>5.1981781954027766E-4</c:v>
                  </c:pt>
                  <c:pt idx="11">
                    <c:v>5.5116620066921959E-4</c:v>
                  </c:pt>
                  <c:pt idx="12">
                    <c:v>5.6530530345047655E-4</c:v>
                  </c:pt>
                  <c:pt idx="13">
                    <c:v>5.7648199906121234E-4</c:v>
                  </c:pt>
                  <c:pt idx="14">
                    <c:v>5.9043614676418691E-4</c:v>
                  </c:pt>
                  <c:pt idx="15">
                    <c:v>6.0024473974178681E-4</c:v>
                  </c:pt>
                  <c:pt idx="16">
                    <c:v>6.0259667573393458E-4</c:v>
                  </c:pt>
                  <c:pt idx="17">
                    <c:v>6.2296823662198319E-4</c:v>
                  </c:pt>
                  <c:pt idx="18">
                    <c:v>6.485214417797083E-4</c:v>
                  </c:pt>
                  <c:pt idx="19">
                    <c:v>6.4308165172937348E-4</c:v>
                  </c:pt>
                  <c:pt idx="20">
                    <c:v>5.7426945852372601E-4</c:v>
                  </c:pt>
                </c:numCache>
              </c:numRef>
            </c:minus>
            <c:spPr>
              <a:ln>
                <a:solidFill>
                  <a:schemeClr val="accent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ln>
                <a:solidFill>
                  <a:schemeClr val="accent1"/>
                </a:solidFill>
              </a:ln>
            </c:spPr>
          </c:errBars>
          <c:xVal>
            <c:numRef>
              <c:f>[2]Sheet1!$A$5:$A$25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[2]Sheet1!$T$5:$T$25</c:f>
              <c:numCache>
                <c:formatCode>General</c:formatCode>
                <c:ptCount val="21"/>
                <c:pt idx="0">
                  <c:v>2.3665407703220794E-2</c:v>
                </c:pt>
                <c:pt idx="1">
                  <c:v>2.462929025606243E-2</c:v>
                </c:pt>
                <c:pt idx="2">
                  <c:v>2.5554048414628886E-2</c:v>
                </c:pt>
                <c:pt idx="3">
                  <c:v>2.6465759369078398E-2</c:v>
                </c:pt>
                <c:pt idx="4">
                  <c:v>2.7127502542656202E-2</c:v>
                </c:pt>
                <c:pt idx="5">
                  <c:v>2.518357356251336E-2</c:v>
                </c:pt>
                <c:pt idx="6">
                  <c:v>2.2741078225655815E-2</c:v>
                </c:pt>
                <c:pt idx="7">
                  <c:v>2.0640490566456983E-2</c:v>
                </c:pt>
                <c:pt idx="8">
                  <c:v>2.1976890632902254E-2</c:v>
                </c:pt>
                <c:pt idx="9">
                  <c:v>2.6723344120522758E-2</c:v>
                </c:pt>
                <c:pt idx="10">
                  <c:v>3.1143733750537701E-2</c:v>
                </c:pt>
                <c:pt idx="11">
                  <c:v>3.3290262388950088E-2</c:v>
                </c:pt>
                <c:pt idx="12">
                  <c:v>3.4161428735796563E-2</c:v>
                </c:pt>
                <c:pt idx="13">
                  <c:v>3.4929580482832692E-2</c:v>
                </c:pt>
                <c:pt idx="14">
                  <c:v>3.5788897656210218E-2</c:v>
                </c:pt>
                <c:pt idx="15">
                  <c:v>3.6379979095336919E-2</c:v>
                </c:pt>
                <c:pt idx="16">
                  <c:v>3.6439405887486523E-2</c:v>
                </c:pt>
                <c:pt idx="17">
                  <c:v>4.2312001807285289E-2</c:v>
                </c:pt>
                <c:pt idx="18">
                  <c:v>6.1620711042923673E-2</c:v>
                </c:pt>
                <c:pt idx="19">
                  <c:v>8.1511045267942603E-2</c:v>
                </c:pt>
                <c:pt idx="2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2E-46CD-B921-4630F57869EE}"/>
            </c:ext>
          </c:extLst>
        </c:ser>
        <c:ser>
          <c:idx val="3"/>
          <c:order val="1"/>
          <c:tx>
            <c:v>PtSi PTB Cal</c:v>
          </c:tx>
          <c:spPr>
            <a:ln w="28575">
              <a:noFill/>
            </a:ln>
          </c:spPr>
          <c:marker>
            <c:symbol val="circle"/>
            <c:size val="4"/>
            <c:spPr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[2]Sheet1!$V$5:$V$25</c:f>
                <c:numCache>
                  <c:formatCode>General</c:formatCode>
                  <c:ptCount val="21"/>
                  <c:pt idx="0">
                    <c:v>2.9E-4</c:v>
                  </c:pt>
                  <c:pt idx="1">
                    <c:v>2.0000000000000001E-4</c:v>
                  </c:pt>
                  <c:pt idx="2">
                    <c:v>1.7000000000000001E-4</c:v>
                  </c:pt>
                  <c:pt idx="3">
                    <c:v>1.6000000000000001E-4</c:v>
                  </c:pt>
                  <c:pt idx="4">
                    <c:v>1.7000000000000001E-4</c:v>
                  </c:pt>
                  <c:pt idx="5">
                    <c:v>1.4999999999999999E-4</c:v>
                  </c:pt>
                  <c:pt idx="6">
                    <c:v>9.7999999999999997E-5</c:v>
                  </c:pt>
                  <c:pt idx="7">
                    <c:v>1E-4</c:v>
                  </c:pt>
                  <c:pt idx="8">
                    <c:v>1.2999999999999999E-4</c:v>
                  </c:pt>
                  <c:pt idx="9">
                    <c:v>1.2999999999999999E-4</c:v>
                  </c:pt>
                  <c:pt idx="10">
                    <c:v>1.1E-4</c:v>
                  </c:pt>
                  <c:pt idx="11">
                    <c:v>9.5000000000000005E-5</c:v>
                  </c:pt>
                  <c:pt idx="12">
                    <c:v>9.6000000000000002E-5</c:v>
                  </c:pt>
                  <c:pt idx="13">
                    <c:v>8.8999999999999995E-5</c:v>
                  </c:pt>
                  <c:pt idx="14">
                    <c:v>9.0000000000000006E-5</c:v>
                  </c:pt>
                  <c:pt idx="15">
                    <c:v>9.2E-5</c:v>
                  </c:pt>
                  <c:pt idx="16">
                    <c:v>1E-4</c:v>
                  </c:pt>
                  <c:pt idx="17">
                    <c:v>2.5999999999999998E-4</c:v>
                  </c:pt>
                  <c:pt idx="18">
                    <c:v>4.2000000000000002E-4</c:v>
                  </c:pt>
                  <c:pt idx="19">
                    <c:v>3.6000000000000002E-4</c:v>
                  </c:pt>
                  <c:pt idx="20">
                    <c:v>3.2000000000000003E-4</c:v>
                  </c:pt>
                </c:numCache>
              </c:numRef>
            </c:plus>
            <c:minus>
              <c:numRef>
                <c:f>[2]Sheet1!$V$5:$V$25</c:f>
                <c:numCache>
                  <c:formatCode>General</c:formatCode>
                  <c:ptCount val="21"/>
                  <c:pt idx="0">
                    <c:v>2.9E-4</c:v>
                  </c:pt>
                  <c:pt idx="1">
                    <c:v>2.0000000000000001E-4</c:v>
                  </c:pt>
                  <c:pt idx="2">
                    <c:v>1.7000000000000001E-4</c:v>
                  </c:pt>
                  <c:pt idx="3">
                    <c:v>1.6000000000000001E-4</c:v>
                  </c:pt>
                  <c:pt idx="4">
                    <c:v>1.7000000000000001E-4</c:v>
                  </c:pt>
                  <c:pt idx="5">
                    <c:v>1.4999999999999999E-4</c:v>
                  </c:pt>
                  <c:pt idx="6">
                    <c:v>9.7999999999999997E-5</c:v>
                  </c:pt>
                  <c:pt idx="7">
                    <c:v>1E-4</c:v>
                  </c:pt>
                  <c:pt idx="8">
                    <c:v>1.2999999999999999E-4</c:v>
                  </c:pt>
                  <c:pt idx="9">
                    <c:v>1.2999999999999999E-4</c:v>
                  </c:pt>
                  <c:pt idx="10">
                    <c:v>1.1E-4</c:v>
                  </c:pt>
                  <c:pt idx="11">
                    <c:v>9.5000000000000005E-5</c:v>
                  </c:pt>
                  <c:pt idx="12">
                    <c:v>9.6000000000000002E-5</c:v>
                  </c:pt>
                  <c:pt idx="13">
                    <c:v>8.8999999999999995E-5</c:v>
                  </c:pt>
                  <c:pt idx="14">
                    <c:v>9.0000000000000006E-5</c:v>
                  </c:pt>
                  <c:pt idx="15">
                    <c:v>9.2E-5</c:v>
                  </c:pt>
                  <c:pt idx="16">
                    <c:v>1E-4</c:v>
                  </c:pt>
                  <c:pt idx="17">
                    <c:v>2.5999999999999998E-4</c:v>
                  </c:pt>
                  <c:pt idx="18">
                    <c:v>4.2000000000000002E-4</c:v>
                  </c:pt>
                  <c:pt idx="19">
                    <c:v>3.6000000000000002E-4</c:v>
                  </c:pt>
                  <c:pt idx="20">
                    <c:v>3.2000000000000003E-4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ln>
                <a:solidFill>
                  <a:srgbClr val="FF0000"/>
                </a:solidFill>
              </a:ln>
            </c:spPr>
          </c:errBars>
          <c:xVal>
            <c:numRef>
              <c:f>[2]Sheet1!$A$5:$A$25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[2]Sheet1!$U$5:$U$25</c:f>
              <c:numCache>
                <c:formatCode>General</c:formatCode>
                <c:ptCount val="21"/>
                <c:pt idx="0">
                  <c:v>2.6759999999999999E-2</c:v>
                </c:pt>
                <c:pt idx="1">
                  <c:v>2.6200000000000001E-2</c:v>
                </c:pt>
                <c:pt idx="2">
                  <c:v>2.564E-2</c:v>
                </c:pt>
                <c:pt idx="3">
                  <c:v>2.5999999999999999E-2</c:v>
                </c:pt>
                <c:pt idx="4">
                  <c:v>2.6769999999999999E-2</c:v>
                </c:pt>
                <c:pt idx="5">
                  <c:v>2.4729999999999999E-2</c:v>
                </c:pt>
                <c:pt idx="6">
                  <c:v>2.2395999999999999E-2</c:v>
                </c:pt>
                <c:pt idx="7">
                  <c:v>2.0250000000000001E-2</c:v>
                </c:pt>
                <c:pt idx="8">
                  <c:v>2.146E-2</c:v>
                </c:pt>
                <c:pt idx="9">
                  <c:v>2.6179999999999998E-2</c:v>
                </c:pt>
                <c:pt idx="10">
                  <c:v>3.0630000000000001E-2</c:v>
                </c:pt>
                <c:pt idx="11">
                  <c:v>3.2731999999999997E-2</c:v>
                </c:pt>
                <c:pt idx="12">
                  <c:v>3.3631000000000001E-2</c:v>
                </c:pt>
                <c:pt idx="13">
                  <c:v>3.4394000000000001E-2</c:v>
                </c:pt>
                <c:pt idx="14">
                  <c:v>3.5340000000000003E-2</c:v>
                </c:pt>
                <c:pt idx="15">
                  <c:v>3.5982E-2</c:v>
                </c:pt>
                <c:pt idx="16">
                  <c:v>3.585E-2</c:v>
                </c:pt>
                <c:pt idx="17">
                  <c:v>4.1169999999999998E-2</c:v>
                </c:pt>
                <c:pt idx="18">
                  <c:v>6.0400000000000002E-2</c:v>
                </c:pt>
                <c:pt idx="19">
                  <c:v>8.0509999999999998E-2</c:v>
                </c:pt>
                <c:pt idx="20">
                  <c:v>9.5990000000000006E-2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2E-46CD-B921-4630F57869EE}"/>
            </c:ext>
          </c:extLst>
        </c:ser>
        <c:ser>
          <c:idx val="0"/>
          <c:order val="2"/>
          <c:tx>
            <c:v>PtSi NMISA Cal LDLS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accent3"/>
                </a:solidFill>
              </a:ln>
            </c:spPr>
          </c:marker>
          <c:xVal>
            <c:numRef>
              <c:f>[2]Sheet1!$A$31:$A$51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[2]Sheet1!$T$31:$T$51</c:f>
              <c:numCache>
                <c:formatCode>General</c:formatCode>
                <c:ptCount val="21"/>
                <c:pt idx="0">
                  <c:v>2.7236338761064963E-2</c:v>
                </c:pt>
                <c:pt idx="1">
                  <c:v>2.6230905684393319E-2</c:v>
                </c:pt>
                <c:pt idx="2">
                  <c:v>2.6116846321283377E-2</c:v>
                </c:pt>
                <c:pt idx="3">
                  <c:v>2.6797391152773714E-2</c:v>
                </c:pt>
                <c:pt idx="4">
                  <c:v>2.7357477713875197E-2</c:v>
                </c:pt>
                <c:pt idx="5">
                  <c:v>2.5524401913516705E-2</c:v>
                </c:pt>
                <c:pt idx="6">
                  <c:v>2.2938035858517669E-2</c:v>
                </c:pt>
                <c:pt idx="7">
                  <c:v>2.0720982207724333E-2</c:v>
                </c:pt>
                <c:pt idx="8">
                  <c:v>2.2445923624041662E-2</c:v>
                </c:pt>
                <c:pt idx="9">
                  <c:v>2.7128746525582729E-2</c:v>
                </c:pt>
                <c:pt idx="10">
                  <c:v>3.1517417429708129E-2</c:v>
                </c:pt>
                <c:pt idx="11">
                  <c:v>3.3533604195778548E-2</c:v>
                </c:pt>
                <c:pt idx="12">
                  <c:v>3.4456061767389481E-2</c:v>
                </c:pt>
                <c:pt idx="13">
                  <c:v>3.5013713547306174E-2</c:v>
                </c:pt>
                <c:pt idx="14">
                  <c:v>3.6033342569628347E-2</c:v>
                </c:pt>
                <c:pt idx="15">
                  <c:v>3.6499892857290751E-2</c:v>
                </c:pt>
                <c:pt idx="16">
                  <c:v>3.6764752183292809E-2</c:v>
                </c:pt>
                <c:pt idx="17">
                  <c:v>4.4166263823784239E-2</c:v>
                </c:pt>
                <c:pt idx="18">
                  <c:v>6.4396011424514607E-2</c:v>
                </c:pt>
                <c:pt idx="19">
                  <c:v>8.3256271493162878E-2</c:v>
                </c:pt>
                <c:pt idx="20">
                  <c:v>9.7696045261242551E-2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2E-46CD-B921-4630F5786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22608"/>
        <c:axId val="769726216"/>
      </c:scatterChart>
      <c:valAx>
        <c:axId val="769722608"/>
        <c:scaling>
          <c:orientation val="minMax"/>
          <c:max val="4000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26216"/>
        <c:crosses val="autoZero"/>
        <c:crossBetween val="midCat"/>
      </c:valAx>
      <c:valAx>
        <c:axId val="769726216"/>
        <c:scaling>
          <c:orientation val="minMax"/>
          <c:max val="0.1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2260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9080639554137643"/>
          <c:y val="0.93675487491521769"/>
          <c:w val="0.61665481310456605"/>
          <c:h val="5.43064980451388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64642843380721"/>
          <c:y val="3.5098826121499796E-2"/>
          <c:w val="0.8535620487635931"/>
          <c:h val="0.85133672839506169"/>
        </c:manualLayout>
      </c:layout>
      <c:scatterChart>
        <c:scatterStyle val="lineMarker"/>
        <c:varyColors val="0"/>
        <c:ser>
          <c:idx val="0"/>
          <c:order val="0"/>
          <c:tx>
            <c:v>Output signal with shutter open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'Response calculation'!$B$5:$B$25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'Response calculation'!$H$5:$H$25</c:f>
              <c:numCache>
                <c:formatCode>0.00E+00</c:formatCode>
                <c:ptCount val="21"/>
                <c:pt idx="0">
                  <c:v>1.5025611276516682E-3</c:v>
                </c:pt>
                <c:pt idx="1">
                  <c:v>1.5655995790590936E-3</c:v>
                </c:pt>
                <c:pt idx="2">
                  <c:v>1.8933112219284057E-3</c:v>
                </c:pt>
                <c:pt idx="3">
                  <c:v>4.7609292850765593E-3</c:v>
                </c:pt>
                <c:pt idx="4">
                  <c:v>1.7079342776942653E-2</c:v>
                </c:pt>
                <c:pt idx="5">
                  <c:v>4.2184086017802984E-2</c:v>
                </c:pt>
                <c:pt idx="6">
                  <c:v>8.0036162485179863E-2</c:v>
                </c:pt>
                <c:pt idx="7">
                  <c:v>0.13120319722205648</c:v>
                </c:pt>
                <c:pt idx="8">
                  <c:v>0.19334707681482716</c:v>
                </c:pt>
                <c:pt idx="9">
                  <c:v>0.28138941280134511</c:v>
                </c:pt>
                <c:pt idx="10">
                  <c:v>0.38549678080535144</c:v>
                </c:pt>
                <c:pt idx="11">
                  <c:v>0.47438121864184124</c:v>
                </c:pt>
                <c:pt idx="12">
                  <c:v>0.54547267173635083</c:v>
                </c:pt>
                <c:pt idx="13">
                  <c:v>0.60946453874901241</c:v>
                </c:pt>
                <c:pt idx="14">
                  <c:v>0.66849207855821413</c:v>
                </c:pt>
                <c:pt idx="15">
                  <c:v>0.70946952555447029</c:v>
                </c:pt>
                <c:pt idx="16">
                  <c:v>0.7220116299291276</c:v>
                </c:pt>
                <c:pt idx="17">
                  <c:v>0.74706673663810508</c:v>
                </c:pt>
                <c:pt idx="18">
                  <c:v>0.82808337583281033</c:v>
                </c:pt>
                <c:pt idx="19">
                  <c:v>0.91292049920730534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53-AACB-D1D8E9445C48}"/>
            </c:ext>
          </c:extLst>
        </c:ser>
        <c:ser>
          <c:idx val="1"/>
          <c:order val="1"/>
          <c:tx>
            <c:v>Output signal with shutter closed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'Response calculation'!$B$5:$B$25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'Response calculation'!$O$5:$O$25</c:f>
              <c:numCache>
                <c:formatCode>0.00E+00</c:formatCode>
                <c:ptCount val="21"/>
                <c:pt idx="0">
                  <c:v>1.4362480869190366E-3</c:v>
                </c:pt>
                <c:pt idx="1">
                  <c:v>1.4352469990978564E-3</c:v>
                </c:pt>
                <c:pt idx="2">
                  <c:v>1.4344994150288896E-3</c:v>
                </c:pt>
                <c:pt idx="3">
                  <c:v>1.4339096895425408E-3</c:v>
                </c:pt>
                <c:pt idx="4">
                  <c:v>1.4333156131825287E-3</c:v>
                </c:pt>
                <c:pt idx="5">
                  <c:v>1.4329344213380795E-3</c:v>
                </c:pt>
                <c:pt idx="6">
                  <c:v>1.4325313073771464E-3</c:v>
                </c:pt>
                <c:pt idx="7">
                  <c:v>1.432296290682078E-3</c:v>
                </c:pt>
                <c:pt idx="8">
                  <c:v>1.4320042018286599E-3</c:v>
                </c:pt>
                <c:pt idx="9">
                  <c:v>1.4318447806189606E-3</c:v>
                </c:pt>
                <c:pt idx="10">
                  <c:v>1.4316138155710928E-3</c:v>
                </c:pt>
                <c:pt idx="11">
                  <c:v>1.4313326726634692E-3</c:v>
                </c:pt>
                <c:pt idx="12">
                  <c:v>1.4311380031809949E-3</c:v>
                </c:pt>
                <c:pt idx="13">
                  <c:v>1.4310024823071699E-3</c:v>
                </c:pt>
                <c:pt idx="14">
                  <c:v>1.4307619389900153E-3</c:v>
                </c:pt>
                <c:pt idx="15">
                  <c:v>1.4307724104049551E-3</c:v>
                </c:pt>
                <c:pt idx="16">
                  <c:v>1.430700180461666E-3</c:v>
                </c:pt>
                <c:pt idx="17">
                  <c:v>1.4305425954143495E-3</c:v>
                </c:pt>
                <c:pt idx="18">
                  <c:v>1.4305000115595111E-3</c:v>
                </c:pt>
                <c:pt idx="19">
                  <c:v>1.4303653566289335E-3</c:v>
                </c:pt>
                <c:pt idx="20">
                  <c:v>1.4302922849223131E-3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0-43A8-B087-47262A024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90792"/>
        <c:axId val="653291120"/>
      </c:scatterChart>
      <c:valAx>
        <c:axId val="653290792"/>
        <c:scaling>
          <c:orientation val="minMax"/>
          <c:max val="4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</a:t>
                </a:r>
                <a:r>
                  <a:rPr lang="en-ZA" baseline="0"/>
                  <a:t> [nm]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4883171296296298"/>
              <c:y val="0.944902777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1120"/>
        <c:crosses val="autoZero"/>
        <c:crossBetween val="midCat"/>
        <c:majorUnit val="20"/>
      </c:valAx>
      <c:valAx>
        <c:axId val="65329112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Normalised</a:t>
                </a:r>
                <a:r>
                  <a:rPr lang="en-ZA" baseline="0"/>
                  <a:t> o</a:t>
                </a:r>
                <a:r>
                  <a:rPr lang="en-ZA"/>
                  <a:t>utput signal</a:t>
                </a:r>
              </a:p>
            </c:rich>
          </c:tx>
          <c:layout>
            <c:manualLayout>
              <c:xMode val="edge"/>
              <c:yMode val="edge"/>
              <c:x val="6.42565750347154E-3"/>
              <c:y val="0.282434132895394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29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543500015618149"/>
          <c:y val="3.7953325640457398E-2"/>
          <c:w val="0.40347181808622185"/>
          <c:h val="8.7534165794213026E-2"/>
        </c:manualLayout>
      </c:layout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'Response calculation'!$A$5:$A$25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'Response calculation'!$R$5:$R$25</c:f>
              <c:numCache>
                <c:formatCode>0.00E+00</c:formatCode>
                <c:ptCount val="21"/>
                <c:pt idx="0">
                  <c:v>-1.34214551E-2</c:v>
                </c:pt>
                <c:pt idx="1">
                  <c:v>-1.33310298E-2</c:v>
                </c:pt>
                <c:pt idx="2">
                  <c:v>-1.2873264400000001E-2</c:v>
                </c:pt>
                <c:pt idx="3">
                  <c:v>-8.9283209300000006E-3</c:v>
                </c:pt>
                <c:pt idx="4">
                  <c:v>8.0205357199999994E-3</c:v>
                </c:pt>
                <c:pt idx="5">
                  <c:v>4.2189607900000002E-2</c:v>
                </c:pt>
                <c:pt idx="6">
                  <c:v>9.3717241699999995E-2</c:v>
                </c:pt>
                <c:pt idx="7">
                  <c:v>0.16354263599999999</c:v>
                </c:pt>
                <c:pt idx="8">
                  <c:v>0.25876070400000001</c:v>
                </c:pt>
                <c:pt idx="9">
                  <c:v>0.41808320599999999</c:v>
                </c:pt>
                <c:pt idx="10">
                  <c:v>0.59766191700000004</c:v>
                </c:pt>
                <c:pt idx="11">
                  <c:v>0.74417530600000004</c:v>
                </c:pt>
                <c:pt idx="12">
                  <c:v>0.85131550300000003</c:v>
                </c:pt>
                <c:pt idx="13">
                  <c:v>0.95235896099999995</c:v>
                </c:pt>
                <c:pt idx="14">
                  <c:v>1.0552988999999999</c:v>
                </c:pt>
                <c:pt idx="15">
                  <c:v>1.13735655</c:v>
                </c:pt>
                <c:pt idx="16">
                  <c:v>1.1872215399999999</c:v>
                </c:pt>
                <c:pt idx="17">
                  <c:v>1.4272224200000001</c:v>
                </c:pt>
                <c:pt idx="18">
                  <c:v>2.1375048099999998</c:v>
                </c:pt>
                <c:pt idx="19">
                  <c:v>2.8937779899999998</c:v>
                </c:pt>
                <c:pt idx="20">
                  <c:v>3.5474708800000001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78-4C51-9F51-32923576EA5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'Response calculation'!$A$5:$A$25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'Response calculation'!$U$5:$U$25</c:f>
              <c:numCache>
                <c:formatCode>0.00E+00</c:formatCode>
                <c:ptCount val="21"/>
                <c:pt idx="0">
                  <c:v>-1.35130276E-2</c:v>
                </c:pt>
                <c:pt idx="1">
                  <c:v>-1.3513695500000001E-2</c:v>
                </c:pt>
                <c:pt idx="2">
                  <c:v>-1.3514966099999999E-2</c:v>
                </c:pt>
                <c:pt idx="3">
                  <c:v>-1.3516086199999999E-2</c:v>
                </c:pt>
                <c:pt idx="4">
                  <c:v>-1.3517271900000001E-2</c:v>
                </c:pt>
                <c:pt idx="5">
                  <c:v>-1.3518541199999999E-2</c:v>
                </c:pt>
                <c:pt idx="6">
                  <c:v>-1.35194336E-2</c:v>
                </c:pt>
                <c:pt idx="7">
                  <c:v>-1.3520621300000001E-2</c:v>
                </c:pt>
                <c:pt idx="8">
                  <c:v>-1.35198705E-2</c:v>
                </c:pt>
                <c:pt idx="9">
                  <c:v>-1.3520127700000001E-2</c:v>
                </c:pt>
                <c:pt idx="10">
                  <c:v>-1.3520739699999999E-2</c:v>
                </c:pt>
                <c:pt idx="11">
                  <c:v>-1.35204195E-2</c:v>
                </c:pt>
                <c:pt idx="12">
                  <c:v>-1.35203346E-2</c:v>
                </c:pt>
                <c:pt idx="13">
                  <c:v>-1.3520880000000001E-2</c:v>
                </c:pt>
                <c:pt idx="14">
                  <c:v>-1.3521750399999999E-2</c:v>
                </c:pt>
                <c:pt idx="15">
                  <c:v>-1.3522295599999999E-2</c:v>
                </c:pt>
                <c:pt idx="16">
                  <c:v>-1.3523255200000001E-2</c:v>
                </c:pt>
                <c:pt idx="17">
                  <c:v>-1.3523373199999999E-2</c:v>
                </c:pt>
                <c:pt idx="18">
                  <c:v>-1.3523280299999999E-2</c:v>
                </c:pt>
                <c:pt idx="19">
                  <c:v>-1.35231528E-2</c:v>
                </c:pt>
                <c:pt idx="20">
                  <c:v>-1.3522566E-2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78-4C51-9F51-32923576E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009552"/>
        <c:axId val="907009880"/>
      </c:scatterChart>
      <c:valAx>
        <c:axId val="907009552"/>
        <c:scaling>
          <c:orientation val="minMax"/>
          <c:max val="4000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009880"/>
        <c:crosses val="autoZero"/>
        <c:crossBetween val="midCat"/>
      </c:valAx>
      <c:valAx>
        <c:axId val="90700988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00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'Response calculation'!$K$99</c:f>
              <c:strCache>
                <c:ptCount val="1"/>
                <c:pt idx="0">
                  <c:v>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'Response calculation'!$J$100:$J$120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'Response calculation'!$K$100:$K$120</c:f>
              <c:numCache>
                <c:formatCode>0.00E+00</c:formatCode>
                <c:ptCount val="21"/>
                <c:pt idx="0">
                  <c:v>4.387974900000001E-4</c:v>
                </c:pt>
                <c:pt idx="1">
                  <c:v>8.6255107999999928E-4</c:v>
                </c:pt>
                <c:pt idx="2">
                  <c:v>3.0359860899999997E-3</c:v>
                </c:pt>
                <c:pt idx="3">
                  <c:v>2.2015094339999999E-2</c:v>
                </c:pt>
                <c:pt idx="4">
                  <c:v>0.10353072898</c:v>
                </c:pt>
                <c:pt idx="5">
                  <c:v>0.26965288934999998</c:v>
                </c:pt>
                <c:pt idx="6">
                  <c:v>0.52012508678000002</c:v>
                </c:pt>
                <c:pt idx="7">
                  <c:v>0.85870207390000008</c:v>
                </c:pt>
                <c:pt idx="8">
                  <c:v>1.2699138996700001</c:v>
                </c:pt>
                <c:pt idx="9">
                  <c:v>1.8524965345700002</c:v>
                </c:pt>
                <c:pt idx="10">
                  <c:v>2.5413829528799998</c:v>
                </c:pt>
                <c:pt idx="11">
                  <c:v>3.1295386332199997</c:v>
                </c:pt>
                <c:pt idx="12">
                  <c:v>3.5999564613599997</c:v>
                </c:pt>
                <c:pt idx="13">
                  <c:v>4.0233954981100002</c:v>
                </c:pt>
                <c:pt idx="14">
                  <c:v>4.4139859697999997</c:v>
                </c:pt>
                <c:pt idx="15">
                  <c:v>4.6851362005099997</c:v>
                </c:pt>
                <c:pt idx="16">
                  <c:v>4.7681285584599999</c:v>
                </c:pt>
                <c:pt idx="17">
                  <c:v>4.9339207912100003</c:v>
                </c:pt>
                <c:pt idx="18">
                  <c:v>5.4700131829899998</c:v>
                </c:pt>
                <c:pt idx="19">
                  <c:v>6.03138656401</c:v>
                </c:pt>
                <c:pt idx="20">
                  <c:v>6.6075974875299996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69-446A-830B-5DD2DB005D5F}"/>
            </c:ext>
          </c:extLst>
        </c:ser>
        <c:ser>
          <c:idx val="1"/>
          <c:order val="1"/>
          <c:tx>
            <c:strRef>
              <c:f>'Response calculation'!$L$99</c:f>
              <c:strCache>
                <c:ptCount val="1"/>
                <c:pt idx="0">
                  <c:v>PtSi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'Response calculation'!$J$100:$J$120</c:f>
              <c:numCache>
                <c:formatCode>General</c:formatCode>
                <c:ptCount val="21"/>
                <c:pt idx="0">
                  <c:v>2000</c:v>
                </c:pt>
                <c:pt idx="1">
                  <c:v>2100</c:v>
                </c:pt>
                <c:pt idx="2">
                  <c:v>2200</c:v>
                </c:pt>
                <c:pt idx="3">
                  <c:v>2300</c:v>
                </c:pt>
                <c:pt idx="4">
                  <c:v>2400</c:v>
                </c:pt>
                <c:pt idx="5">
                  <c:v>2500</c:v>
                </c:pt>
                <c:pt idx="6">
                  <c:v>2600</c:v>
                </c:pt>
                <c:pt idx="7">
                  <c:v>2700</c:v>
                </c:pt>
                <c:pt idx="8">
                  <c:v>2800</c:v>
                </c:pt>
                <c:pt idx="9">
                  <c:v>2900</c:v>
                </c:pt>
                <c:pt idx="10">
                  <c:v>3000</c:v>
                </c:pt>
                <c:pt idx="11">
                  <c:v>3100</c:v>
                </c:pt>
                <c:pt idx="12">
                  <c:v>3200</c:v>
                </c:pt>
                <c:pt idx="13">
                  <c:v>3300</c:v>
                </c:pt>
                <c:pt idx="14">
                  <c:v>3400</c:v>
                </c:pt>
                <c:pt idx="15">
                  <c:v>3500</c:v>
                </c:pt>
                <c:pt idx="16">
                  <c:v>3600</c:v>
                </c:pt>
                <c:pt idx="17">
                  <c:v>3700</c:v>
                </c:pt>
                <c:pt idx="18">
                  <c:v>3800</c:v>
                </c:pt>
                <c:pt idx="19">
                  <c:v>3900</c:v>
                </c:pt>
                <c:pt idx="20">
                  <c:v>4000</c:v>
                </c:pt>
              </c:numCache>
            </c:numRef>
          </c:xVal>
          <c:yVal>
            <c:numRef>
              <c:f>'Response calculation'!$L$100:$L$120</c:f>
              <c:numCache>
                <c:formatCode>0.00E+00</c:formatCode>
                <c:ptCount val="21"/>
                <c:pt idx="0">
                  <c:v>9.1572499999999571E-5</c:v>
                </c:pt>
                <c:pt idx="1">
                  <c:v>1.8266570000000093E-4</c:v>
                </c:pt>
                <c:pt idx="2">
                  <c:v>6.4170169999999867E-4</c:v>
                </c:pt>
                <c:pt idx="3">
                  <c:v>4.5877652699999986E-3</c:v>
                </c:pt>
                <c:pt idx="4">
                  <c:v>2.1537807620000002E-2</c:v>
                </c:pt>
                <c:pt idx="5">
                  <c:v>5.57081491E-2</c:v>
                </c:pt>
                <c:pt idx="6">
                  <c:v>0.1072366753</c:v>
                </c:pt>
                <c:pt idx="7">
                  <c:v>0.1770632573</c:v>
                </c:pt>
                <c:pt idx="8">
                  <c:v>0.27228057449999998</c:v>
                </c:pt>
                <c:pt idx="9">
                  <c:v>0.43160333369999998</c:v>
                </c:pt>
                <c:pt idx="10">
                  <c:v>0.61118265670000005</c:v>
                </c:pt>
                <c:pt idx="11">
                  <c:v>0.75769572550000008</c:v>
                </c:pt>
                <c:pt idx="12">
                  <c:v>0.86483583760000005</c:v>
                </c:pt>
                <c:pt idx="13">
                  <c:v>0.96587984099999991</c:v>
                </c:pt>
                <c:pt idx="14">
                  <c:v>1.0688206504</c:v>
                </c:pt>
                <c:pt idx="15">
                  <c:v>1.1508788456000001</c:v>
                </c:pt>
                <c:pt idx="16">
                  <c:v>1.2007447951999999</c:v>
                </c:pt>
                <c:pt idx="17">
                  <c:v>1.4407457932000001</c:v>
                </c:pt>
                <c:pt idx="18">
                  <c:v>2.1510280902999996</c:v>
                </c:pt>
                <c:pt idx="19">
                  <c:v>2.9073011427999997</c:v>
                </c:pt>
                <c:pt idx="20">
                  <c:v>3.5609934459999999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69-446A-830B-5DD2DB005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479760"/>
        <c:axId val="1114477680"/>
      </c:scatterChart>
      <c:valAx>
        <c:axId val="1114479760"/>
        <c:scaling>
          <c:orientation val="minMax"/>
          <c:max val="4000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477680"/>
        <c:crosses val="autoZero"/>
        <c:crossBetween val="midCat"/>
      </c:valAx>
      <c:valAx>
        <c:axId val="111447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479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57994626709489E-2"/>
          <c:y val="3.1017429469768171E-2"/>
          <c:w val="0.87697928427179817"/>
          <c:h val="0.89658756358178704"/>
        </c:manualLayout>
      </c:layout>
      <c:scatterChart>
        <c:scatterStyle val="smoothMarker"/>
        <c:varyColors val="0"/>
        <c:ser>
          <c:idx val="0"/>
          <c:order val="0"/>
          <c:tx>
            <c:v>UV-enhanced Si photodiode detector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'Uncertainty calc'!$A$20:$A$40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'Uncertainty calc'!$B$20:$B$40</c:f>
              <c:numCache>
                <c:formatCode>0.00000</c:formatCode>
                <c:ptCount val="21"/>
                <c:pt idx="0">
                  <c:v>0.1134</c:v>
                </c:pt>
                <c:pt idx="1">
                  <c:v>0.1163</c:v>
                </c:pt>
                <c:pt idx="2">
                  <c:v>0.12089999999999999</c:v>
                </c:pt>
                <c:pt idx="3">
                  <c:v>0.127</c:v>
                </c:pt>
                <c:pt idx="4">
                  <c:v>0.13039999999999999</c:v>
                </c:pt>
                <c:pt idx="5">
                  <c:v>0.12189999999999999</c:v>
                </c:pt>
                <c:pt idx="6">
                  <c:v>0.1103</c:v>
                </c:pt>
                <c:pt idx="7">
                  <c:v>0.10009999999999999</c:v>
                </c:pt>
                <c:pt idx="8">
                  <c:v>0.10249999999999999</c:v>
                </c:pt>
                <c:pt idx="9">
                  <c:v>0.1147</c:v>
                </c:pt>
                <c:pt idx="10">
                  <c:v>0.1295</c:v>
                </c:pt>
                <c:pt idx="11">
                  <c:v>0.13750000000000001</c:v>
                </c:pt>
                <c:pt idx="12">
                  <c:v>0.14219999999999999</c:v>
                </c:pt>
                <c:pt idx="13">
                  <c:v>0.14549999999999999</c:v>
                </c:pt>
                <c:pt idx="14">
                  <c:v>0.14779999999999999</c:v>
                </c:pt>
                <c:pt idx="15">
                  <c:v>0.14810000000000001</c:v>
                </c:pt>
                <c:pt idx="16">
                  <c:v>0.1447</c:v>
                </c:pt>
                <c:pt idx="17">
                  <c:v>0.1449</c:v>
                </c:pt>
                <c:pt idx="18">
                  <c:v>0.15670000000000001</c:v>
                </c:pt>
                <c:pt idx="19">
                  <c:v>0.1691</c:v>
                </c:pt>
                <c:pt idx="20">
                  <c:v>0.17979999999999999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A2-4BF6-9BDD-771BBD963516}"/>
            </c:ext>
          </c:extLst>
        </c:ser>
        <c:ser>
          <c:idx val="1"/>
          <c:order val="1"/>
          <c:tx>
            <c:v>PtSi detector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'Uncertainty calc'!$A$20:$A$40</c:f>
              <c:numCache>
                <c:formatCode>General</c:formatCode>
                <c:ptCount val="21"/>
                <c:pt idx="0">
                  <c:v>200</c:v>
                </c:pt>
                <c:pt idx="1">
                  <c:v>210</c:v>
                </c:pt>
                <c:pt idx="2">
                  <c:v>220</c:v>
                </c:pt>
                <c:pt idx="3">
                  <c:v>230</c:v>
                </c:pt>
                <c:pt idx="4">
                  <c:v>240</c:v>
                </c:pt>
                <c:pt idx="5">
                  <c:v>250</c:v>
                </c:pt>
                <c:pt idx="6">
                  <c:v>260</c:v>
                </c:pt>
                <c:pt idx="7">
                  <c:v>270</c:v>
                </c:pt>
                <c:pt idx="8">
                  <c:v>280</c:v>
                </c:pt>
                <c:pt idx="9">
                  <c:v>290</c:v>
                </c:pt>
                <c:pt idx="10">
                  <c:v>300</c:v>
                </c:pt>
                <c:pt idx="11">
                  <c:v>310</c:v>
                </c:pt>
                <c:pt idx="12">
                  <c:v>320</c:v>
                </c:pt>
                <c:pt idx="13">
                  <c:v>330</c:v>
                </c:pt>
                <c:pt idx="14">
                  <c:v>340</c:v>
                </c:pt>
                <c:pt idx="15">
                  <c:v>350</c:v>
                </c:pt>
                <c:pt idx="16">
                  <c:v>360</c:v>
                </c:pt>
                <c:pt idx="17">
                  <c:v>370</c:v>
                </c:pt>
                <c:pt idx="18">
                  <c:v>380</c:v>
                </c:pt>
                <c:pt idx="19">
                  <c:v>390</c:v>
                </c:pt>
                <c:pt idx="20">
                  <c:v>400</c:v>
                </c:pt>
              </c:numCache>
            </c:numRef>
          </c:xVal>
          <c:yVal>
            <c:numRef>
              <c:f>'Uncertainty calc'!$K$20:$K$40</c:f>
              <c:numCache>
                <c:formatCode>0.0000000</c:formatCode>
                <c:ptCount val="21"/>
                <c:pt idx="0">
                  <c:v>2.6759999999999999E-2</c:v>
                </c:pt>
                <c:pt idx="1">
                  <c:v>2.6200000000000001E-2</c:v>
                </c:pt>
                <c:pt idx="2">
                  <c:v>2.564E-2</c:v>
                </c:pt>
                <c:pt idx="3">
                  <c:v>2.5999999999999999E-2</c:v>
                </c:pt>
                <c:pt idx="4">
                  <c:v>2.6769999999999999E-2</c:v>
                </c:pt>
                <c:pt idx="5">
                  <c:v>2.4729999999999999E-2</c:v>
                </c:pt>
                <c:pt idx="6">
                  <c:v>2.2395999999999999E-2</c:v>
                </c:pt>
                <c:pt idx="7">
                  <c:v>2.0250000000000001E-2</c:v>
                </c:pt>
                <c:pt idx="8">
                  <c:v>2.146E-2</c:v>
                </c:pt>
                <c:pt idx="9">
                  <c:v>2.6179999999999998E-2</c:v>
                </c:pt>
                <c:pt idx="10">
                  <c:v>3.0630000000000001E-2</c:v>
                </c:pt>
                <c:pt idx="11">
                  <c:v>3.2731999999999997E-2</c:v>
                </c:pt>
                <c:pt idx="12">
                  <c:v>3.3631000000000001E-2</c:v>
                </c:pt>
                <c:pt idx="13">
                  <c:v>3.4394000000000001E-2</c:v>
                </c:pt>
                <c:pt idx="14">
                  <c:v>3.5340000000000003E-2</c:v>
                </c:pt>
                <c:pt idx="15">
                  <c:v>3.5982E-2</c:v>
                </c:pt>
                <c:pt idx="16">
                  <c:v>3.585E-2</c:v>
                </c:pt>
                <c:pt idx="17">
                  <c:v>4.1169999999999998E-2</c:v>
                </c:pt>
                <c:pt idx="18">
                  <c:v>6.0400000000000002E-2</c:v>
                </c:pt>
                <c:pt idx="19">
                  <c:v>8.0509999999999998E-2</c:v>
                </c:pt>
                <c:pt idx="20">
                  <c:v>9.5990000000000006E-2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A2-4BF6-9BDD-771BBD963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343192"/>
        <c:axId val="904344832"/>
      </c:scatterChart>
      <c:valAx>
        <c:axId val="904343192"/>
        <c:scaling>
          <c:orientation val="minMax"/>
          <c:max val="40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344832"/>
        <c:crosses val="autoZero"/>
        <c:crossBetween val="midCat"/>
        <c:majorUnit val="10"/>
      </c:valAx>
      <c:valAx>
        <c:axId val="90434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343192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263736010227984"/>
          <c:y val="5.3291093764273628E-2"/>
          <c:w val="0.35795008663676497"/>
          <c:h val="0.2523042593621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62654320987656"/>
          <c:y val="4.3552009830331091E-2"/>
          <c:w val="0.74228611111111109"/>
          <c:h val="0.84892750902683134"/>
        </c:manualLayout>
      </c:layout>
      <c:scatterChart>
        <c:scatterStyle val="lineMarker"/>
        <c:varyColors val="0"/>
        <c:ser>
          <c:idx val="0"/>
          <c:order val="0"/>
          <c:tx>
            <c:v>Calculated spectral power responsivity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plus>
            <c:min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00FF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calc'!$J$26:$J$40</c:f>
              <c:numCache>
                <c:formatCode>0.00000</c:formatCode>
                <c:ptCount val="15"/>
                <c:pt idx="0">
                  <c:v>2.2741078225655815E-2</c:v>
                </c:pt>
                <c:pt idx="1">
                  <c:v>2.0640490566456983E-2</c:v>
                </c:pt>
                <c:pt idx="2">
                  <c:v>2.1976890632902254E-2</c:v>
                </c:pt>
                <c:pt idx="3">
                  <c:v>2.6723344120522758E-2</c:v>
                </c:pt>
                <c:pt idx="4">
                  <c:v>3.1143733750537701E-2</c:v>
                </c:pt>
                <c:pt idx="5" formatCode="0.0000">
                  <c:v>3.3290262388950088E-2</c:v>
                </c:pt>
                <c:pt idx="6">
                  <c:v>3.4161428735796563E-2</c:v>
                </c:pt>
                <c:pt idx="7" formatCode="0.0000">
                  <c:v>3.4929580482832692E-2</c:v>
                </c:pt>
                <c:pt idx="8" formatCode="0.0000">
                  <c:v>3.5788897656210218E-2</c:v>
                </c:pt>
                <c:pt idx="9" formatCode="0.0000">
                  <c:v>3.6379979095336919E-2</c:v>
                </c:pt>
                <c:pt idx="10" formatCode="0.0000">
                  <c:v>3.6439405887486523E-2</c:v>
                </c:pt>
                <c:pt idx="11" formatCode="0.0000">
                  <c:v>4.2312001807285289E-2</c:v>
                </c:pt>
                <c:pt idx="12" formatCode="0.0000">
                  <c:v>6.1620711042923673E-2</c:v>
                </c:pt>
                <c:pt idx="13" formatCode="0.0000">
                  <c:v>8.1511045267942603E-2</c:v>
                </c:pt>
                <c:pt idx="14" formatCode="0.000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4E-4926-952B-334716E8A1E7}"/>
            </c:ext>
          </c:extLst>
        </c:ser>
        <c:ser>
          <c:idx val="1"/>
          <c:order val="1"/>
          <c:tx>
            <c:v>PTB spectral power responsivity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calc'!$L$26:$L$40</c:f>
              <c:numCache>
                <c:formatCode>0.00000</c:formatCode>
                <c:ptCount val="15"/>
                <c:pt idx="0">
                  <c:v>2.2363637780000001E-2</c:v>
                </c:pt>
                <c:pt idx="1">
                  <c:v>2.0222460000000001E-2</c:v>
                </c:pt>
                <c:pt idx="2">
                  <c:v>2.1419869800000001E-2</c:v>
                </c:pt>
                <c:pt idx="3">
                  <c:v>2.6122142199999997E-2</c:v>
                </c:pt>
                <c:pt idx="4">
                  <c:v>3.0562307699999999E-2</c:v>
                </c:pt>
                <c:pt idx="5">
                  <c:v>3.2670791159999997E-2</c:v>
                </c:pt>
                <c:pt idx="6">
                  <c:v>3.3573827300000005E-2</c:v>
                </c:pt>
                <c:pt idx="7">
                  <c:v>3.434137718E-2</c:v>
                </c:pt>
                <c:pt idx="8">
                  <c:v>3.5285929800000004E-2</c:v>
                </c:pt>
                <c:pt idx="9">
                  <c:v>3.5933064479999999E-2</c:v>
                </c:pt>
                <c:pt idx="10">
                  <c:v>3.581038575E-2</c:v>
                </c:pt>
                <c:pt idx="11">
                  <c:v>4.1065016499999996E-2</c:v>
                </c:pt>
                <c:pt idx="12">
                  <c:v>6.0194640000000001E-2</c:v>
                </c:pt>
                <c:pt idx="13">
                  <c:v>8.0304699499999993E-2</c:v>
                </c:pt>
                <c:pt idx="14">
                  <c:v>9.5802339550000004E-2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4E-4926-952B-334716E8A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72920"/>
        <c:axId val="816571936"/>
      </c:scatterChart>
      <c:valAx>
        <c:axId val="816572920"/>
        <c:scaling>
          <c:orientation val="minMax"/>
          <c:max val="401"/>
          <c:min val="2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4538055555555556"/>
              <c:y val="0.94510359050990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1936"/>
        <c:crosses val="autoZero"/>
        <c:crossBetween val="midCat"/>
        <c:majorUnit val="20"/>
      </c:valAx>
      <c:valAx>
        <c:axId val="816571936"/>
        <c:scaling>
          <c:orientation val="minMax"/>
          <c:max val="0.1"/>
          <c:min val="1.95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Spectral power responsivity  [A W</a:t>
                </a:r>
                <a:r>
                  <a:rPr lang="en-ZA" baseline="30000"/>
                  <a:t>-1</a:t>
                </a:r>
                <a:r>
                  <a:rPr lang="en-ZA"/>
                  <a:t>]</a:t>
                </a:r>
              </a:p>
            </c:rich>
          </c:tx>
          <c:layout>
            <c:manualLayout>
              <c:xMode val="edge"/>
              <c:yMode val="edge"/>
              <c:x val="7.2932098765432097E-3"/>
              <c:y val="0.19971379657945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2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003765432098769"/>
          <c:y val="4.2899638926752602E-2"/>
          <c:w val="0.6049619444444444"/>
          <c:h val="9.0689197530864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18765432098763"/>
          <c:y val="3.5709974359013942E-2"/>
          <c:w val="0.73872499999999997"/>
          <c:h val="0.85677324939679622"/>
        </c:manualLayout>
      </c:layout>
      <c:scatterChart>
        <c:scatterStyle val="lineMarker"/>
        <c:varyColors val="0"/>
        <c:ser>
          <c:idx val="0"/>
          <c:order val="0"/>
          <c:tx>
            <c:v>Calculated spectral power responsivity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plus>
            <c:minus>
              <c:numRef>
                <c:f>'Uncertainty calc'!$CD$26:$CD$40</c:f>
                <c:numCache>
                  <c:formatCode>General</c:formatCode>
                  <c:ptCount val="15"/>
                  <c:pt idx="0">
                    <c:v>9.7786636370319991E-4</c:v>
                  </c:pt>
                  <c:pt idx="1">
                    <c:v>6.3985520756016647E-4</c:v>
                  </c:pt>
                  <c:pt idx="2">
                    <c:v>7.472142815186767E-4</c:v>
                  </c:pt>
                  <c:pt idx="3">
                    <c:v>8.2842366773620553E-4</c:v>
                  </c:pt>
                  <c:pt idx="4">
                    <c:v>9.0316827876559327E-4</c:v>
                  </c:pt>
                  <c:pt idx="5">
                    <c:v>1.0652883964464028E-3</c:v>
                  </c:pt>
                  <c:pt idx="6">
                    <c:v>9.906814333381002E-4</c:v>
                  </c:pt>
                  <c:pt idx="7">
                    <c:v>1.012957834002148E-3</c:v>
                  </c:pt>
                  <c:pt idx="8">
                    <c:v>1.0736669296863065E-3</c:v>
                  </c:pt>
                  <c:pt idx="9">
                    <c:v>1.0913993728601074E-3</c:v>
                  </c:pt>
                  <c:pt idx="10">
                    <c:v>1.0931821766245956E-3</c:v>
                  </c:pt>
                  <c:pt idx="11">
                    <c:v>1.3539840578331293E-3</c:v>
                  </c:pt>
                  <c:pt idx="12">
                    <c:v>1.8486213312877101E-3</c:v>
                  </c:pt>
                  <c:pt idx="13">
                    <c:v>2.2823092675023932E-3</c:v>
                  </c:pt>
                  <c:pt idx="14">
                    <c:v>2.5193623238669196E-3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00FF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calc'!$J$26:$J$40</c:f>
              <c:numCache>
                <c:formatCode>0.00000</c:formatCode>
                <c:ptCount val="15"/>
                <c:pt idx="0">
                  <c:v>2.2741078225655815E-2</c:v>
                </c:pt>
                <c:pt idx="1">
                  <c:v>2.0640490566456983E-2</c:v>
                </c:pt>
                <c:pt idx="2">
                  <c:v>2.1976890632902254E-2</c:v>
                </c:pt>
                <c:pt idx="3">
                  <c:v>2.6723344120522758E-2</c:v>
                </c:pt>
                <c:pt idx="4">
                  <c:v>3.1143733750537701E-2</c:v>
                </c:pt>
                <c:pt idx="5" formatCode="0.0000">
                  <c:v>3.3290262388950088E-2</c:v>
                </c:pt>
                <c:pt idx="6">
                  <c:v>3.4161428735796563E-2</c:v>
                </c:pt>
                <c:pt idx="7" formatCode="0.0000">
                  <c:v>3.4929580482832692E-2</c:v>
                </c:pt>
                <c:pt idx="8" formatCode="0.0000">
                  <c:v>3.5788897656210218E-2</c:v>
                </c:pt>
                <c:pt idx="9" formatCode="0.0000">
                  <c:v>3.6379979095336919E-2</c:v>
                </c:pt>
                <c:pt idx="10" formatCode="0.0000">
                  <c:v>3.6439405887486523E-2</c:v>
                </c:pt>
                <c:pt idx="11" formatCode="0.0000">
                  <c:v>4.2312001807285289E-2</c:v>
                </c:pt>
                <c:pt idx="12" formatCode="0.0000">
                  <c:v>6.1620711042923673E-2</c:v>
                </c:pt>
                <c:pt idx="13" formatCode="0.0000">
                  <c:v>8.1511045267942603E-2</c:v>
                </c:pt>
                <c:pt idx="14" formatCode="0.0000">
                  <c:v>9.6898550917958445E-2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FE-4D38-83B2-8A692D2A1B30}"/>
            </c:ext>
          </c:extLst>
        </c:ser>
        <c:ser>
          <c:idx val="1"/>
          <c:order val="1"/>
          <c:tx>
            <c:v>PTB spectral power responsivity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'Uncertainty calc'!$A$26:$A$40</c:f>
              <c:numCache>
                <c:formatCode>General</c:formatCode>
                <c:ptCount val="15"/>
                <c:pt idx="0">
                  <c:v>260</c:v>
                </c:pt>
                <c:pt idx="1">
                  <c:v>270</c:v>
                </c:pt>
                <c:pt idx="2">
                  <c:v>280</c:v>
                </c:pt>
                <c:pt idx="3">
                  <c:v>290</c:v>
                </c:pt>
                <c:pt idx="4">
                  <c:v>300</c:v>
                </c:pt>
                <c:pt idx="5">
                  <c:v>310</c:v>
                </c:pt>
                <c:pt idx="6">
                  <c:v>320</c:v>
                </c:pt>
                <c:pt idx="7">
                  <c:v>330</c:v>
                </c:pt>
                <c:pt idx="8">
                  <c:v>340</c:v>
                </c:pt>
                <c:pt idx="9">
                  <c:v>350</c:v>
                </c:pt>
                <c:pt idx="10">
                  <c:v>360</c:v>
                </c:pt>
                <c:pt idx="11">
                  <c:v>370</c:v>
                </c:pt>
                <c:pt idx="12">
                  <c:v>380</c:v>
                </c:pt>
                <c:pt idx="13">
                  <c:v>390</c:v>
                </c:pt>
                <c:pt idx="14">
                  <c:v>400</c:v>
                </c:pt>
              </c:numCache>
            </c:numRef>
          </c:xVal>
          <c:yVal>
            <c:numRef>
              <c:f>'Uncertainty calc'!$L$26:$L$40</c:f>
              <c:numCache>
                <c:formatCode>0.00000</c:formatCode>
                <c:ptCount val="15"/>
                <c:pt idx="0">
                  <c:v>2.2363637780000001E-2</c:v>
                </c:pt>
                <c:pt idx="1">
                  <c:v>2.0222460000000001E-2</c:v>
                </c:pt>
                <c:pt idx="2">
                  <c:v>2.1419869800000001E-2</c:v>
                </c:pt>
                <c:pt idx="3">
                  <c:v>2.6122142199999997E-2</c:v>
                </c:pt>
                <c:pt idx="4">
                  <c:v>3.0562307699999999E-2</c:v>
                </c:pt>
                <c:pt idx="5">
                  <c:v>3.2670791159999997E-2</c:v>
                </c:pt>
                <c:pt idx="6">
                  <c:v>3.3573827300000005E-2</c:v>
                </c:pt>
                <c:pt idx="7">
                  <c:v>3.434137718E-2</c:v>
                </c:pt>
                <c:pt idx="8">
                  <c:v>3.5285929800000004E-2</c:v>
                </c:pt>
                <c:pt idx="9">
                  <c:v>3.5933064479999999E-2</c:v>
                </c:pt>
                <c:pt idx="10">
                  <c:v>3.581038575E-2</c:v>
                </c:pt>
                <c:pt idx="11">
                  <c:v>4.1065016499999996E-2</c:v>
                </c:pt>
                <c:pt idx="12">
                  <c:v>6.0194640000000001E-2</c:v>
                </c:pt>
                <c:pt idx="13">
                  <c:v>8.0304699499999993E-2</c:v>
                </c:pt>
                <c:pt idx="14">
                  <c:v>9.5802339550000004E-2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FE-4D38-83B2-8A692D2A1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72920"/>
        <c:axId val="816571936"/>
      </c:scatterChart>
      <c:valAx>
        <c:axId val="816572920"/>
        <c:scaling>
          <c:orientation val="minMax"/>
          <c:max val="371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5243611111111104"/>
              <c:y val="0.945104825476118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1936"/>
        <c:crosses val="autoZero"/>
        <c:crossBetween val="midCat"/>
        <c:majorUnit val="20"/>
      </c:valAx>
      <c:valAx>
        <c:axId val="816571936"/>
        <c:scaling>
          <c:orientation val="minMax"/>
          <c:max val="4.5000000000000012E-2"/>
          <c:min val="1.950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Spectral power responsivity  [A W</a:t>
                </a:r>
                <a:r>
                  <a:rPr lang="en-ZA" baseline="30000"/>
                  <a:t>-1</a:t>
                </a:r>
                <a:r>
                  <a:rPr lang="en-ZA"/>
                  <a:t>]</a:t>
                </a:r>
              </a:p>
            </c:rich>
          </c:tx>
          <c:layout>
            <c:manualLayout>
              <c:xMode val="edge"/>
              <c:yMode val="edge"/>
              <c:x val="7.2932098765432097E-3"/>
              <c:y val="0.21147684978642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6572920"/>
        <c:crossesAt val="25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682962962962964"/>
          <c:y val="3.8978621191094041E-2"/>
          <c:w val="0.59790638888888892"/>
          <c:h val="8.6769444444444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226218</xdr:colOff>
      <xdr:row>58</xdr:row>
      <xdr:rowOff>69057</xdr:rowOff>
    </xdr:from>
    <xdr:to>
      <xdr:col>25</xdr:col>
      <xdr:colOff>1762124</xdr:colOff>
      <xdr:row>82</xdr:row>
      <xdr:rowOff>119063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294F87-ED66-4C25-A03E-12164C471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309563</xdr:colOff>
      <xdr:row>62</xdr:row>
      <xdr:rowOff>107155</xdr:rowOff>
    </xdr:from>
    <xdr:to>
      <xdr:col>17</xdr:col>
      <xdr:colOff>35719</xdr:colOff>
      <xdr:row>84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C6A763-69FF-4371-BA10-A480E2F6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663994</xdr:colOff>
      <xdr:row>4</xdr:row>
      <xdr:rowOff>134104</xdr:rowOff>
    </xdr:from>
    <xdr:to>
      <xdr:col>49</xdr:col>
      <xdr:colOff>349646</xdr:colOff>
      <xdr:row>30</xdr:row>
      <xdr:rowOff>110655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F61F70-8951-403A-8AD1-CC1946BD8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88173</xdr:colOff>
      <xdr:row>5</xdr:row>
      <xdr:rowOff>58594</xdr:rowOff>
    </xdr:from>
    <xdr:to>
      <xdr:col>10</xdr:col>
      <xdr:colOff>374805</xdr:colOff>
      <xdr:row>23</xdr:row>
      <xdr:rowOff>60369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A081EC-3D9B-492E-A60E-AAD5835816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1553524</xdr:colOff>
      <xdr:row>29</xdr:row>
      <xdr:rowOff>9885</xdr:rowOff>
    </xdr:from>
    <xdr:to>
      <xdr:col>14</xdr:col>
      <xdr:colOff>448436</xdr:colOff>
      <xdr:row>39</xdr:row>
      <xdr:rowOff>30559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807482-8A67-4609-B045-AFE018012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293686</xdr:colOff>
      <xdr:row>97</xdr:row>
      <xdr:rowOff>152400</xdr:rowOff>
    </xdr:from>
    <xdr:to>
      <xdr:col>20</xdr:col>
      <xdr:colOff>384174</xdr:colOff>
      <xdr:row>121</xdr:row>
      <xdr:rowOff>34925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DBF780-BB0E-4A84-897D-20B8FC8F1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808726</xdr:colOff>
      <xdr:row>48</xdr:row>
      <xdr:rowOff>32350</xdr:rowOff>
    </xdr:from>
    <xdr:to>
      <xdr:col>32</xdr:col>
      <xdr:colOff>323490</xdr:colOff>
      <xdr:row>59</xdr:row>
      <xdr:rowOff>102079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6EAE1E-31F2-46B6-BBC3-CA5DAE6151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291141</xdr:colOff>
      <xdr:row>47</xdr:row>
      <xdr:rowOff>10781</xdr:rowOff>
    </xdr:from>
    <xdr:to>
      <xdr:col>25</xdr:col>
      <xdr:colOff>474452</xdr:colOff>
      <xdr:row>61</xdr:row>
      <xdr:rowOff>62570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F962C5-3447-4309-AB4F-2BABB124B3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517584</xdr:colOff>
      <xdr:row>47</xdr:row>
      <xdr:rowOff>32348</xdr:rowOff>
    </xdr:from>
    <xdr:to>
      <xdr:col>28</xdr:col>
      <xdr:colOff>209508</xdr:colOff>
      <xdr:row>61</xdr:row>
      <xdr:rowOff>110271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8FB354-E530-41CE-A48C-4AEF88DBC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0.20593</cdr:x>
      <cdr:y>0.62989</cdr:y>
    </cdr:from>
    <cdr:to>
      <cdr:x>0.79522</cdr:x>
      <cdr:y>0.8909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60D382B-166C-4FFB-B908-4D5B7B87DA10}"/>
            </a:ext>
          </a:extLst>
        </cdr:cNvPr>
        <cdr:cNvSpPr/>
      </cdr:nvSpPr>
      <cdr:spPr>
        <a:xfrm xmlns:a="http://schemas.openxmlformats.org/drawingml/2006/main">
          <a:off x="666726" y="2036789"/>
          <a:ext cx="1907918" cy="8439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34505</xdr:colOff>
      <xdr:row>24</xdr:row>
      <xdr:rowOff>180977</xdr:rowOff>
    </xdr:from>
    <xdr:to>
      <xdr:col>7</xdr:col>
      <xdr:colOff>396816</xdr:colOff>
      <xdr:row>48</xdr:row>
      <xdr:rowOff>34507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59FCDE-6AD7-4A5C-B788-CCC6D1C80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526209</xdr:colOff>
      <xdr:row>7</xdr:row>
      <xdr:rowOff>17253</xdr:rowOff>
    </xdr:from>
    <xdr:to>
      <xdr:col>36</xdr:col>
      <xdr:colOff>491705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58B9A6-0355-4D1A-8C4F-D5746DBC4A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226218</xdr:colOff>
      <xdr:row>60</xdr:row>
      <xdr:rowOff>69057</xdr:rowOff>
    </xdr:from>
    <xdr:to>
      <xdr:col>25</xdr:col>
      <xdr:colOff>1762124</xdr:colOff>
      <xdr:row>84</xdr:row>
      <xdr:rowOff>119063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2BC67-25D5-4BCF-A2F6-13763FDBA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309563</xdr:colOff>
      <xdr:row>64</xdr:row>
      <xdr:rowOff>107155</xdr:rowOff>
    </xdr:from>
    <xdr:to>
      <xdr:col>16</xdr:col>
      <xdr:colOff>35719</xdr:colOff>
      <xdr:row>86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C59857-9199-405F-A19E-A8DACE2DD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86267</xdr:colOff>
      <xdr:row>8</xdr:row>
      <xdr:rowOff>160203</xdr:rowOff>
    </xdr:from>
    <xdr:to>
      <xdr:col>52</xdr:col>
      <xdr:colOff>409384</xdr:colOff>
      <xdr:row>44</xdr:row>
      <xdr:rowOff>160204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FB0ED7-85D9-4D54-8727-84EBDBDFC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112143</xdr:colOff>
      <xdr:row>1</xdr:row>
      <xdr:rowOff>51758</xdr:rowOff>
    </xdr:from>
    <xdr:ext cx="1984635" cy="4142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464D36B-B153-40F5-9586-DF08AF00863B}"/>
                </a:ext>
              </a:extLst>
            </xdr:cNvPr>
            <xdr:cNvSpPr txBox="1"/>
          </xdr:nvSpPr>
          <xdr:spPr>
            <a:xfrm>
              <a:off x="112143" y="232913"/>
              <a:ext cx="1984635" cy="41428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ZA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num>
                      <m:den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𝑁</m:t>
                        </m:r>
                      </m:den>
                    </m:f>
                    <m:r>
                      <a:rPr lang="en-ZA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ZA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p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𝑡</m:t>
                            </m:r>
                          </m:sup>
                        </m:sSup>
                        <m:r>
                          <a:rPr lang="en-ZA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p>
                          <m:sSupPr>
                            <m:ctrlP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</m:t>
                            </m:r>
                          </m:e>
                          <m:sup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</m:t>
                            </m:r>
                          </m:sup>
                        </m:sSup>
                        <m:r>
                          <a:rPr lang="en-ZA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en-ZA" sz="11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ZA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ZA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𝜎</m:t>
                                </m:r>
                              </m:e>
                              <m:sup>
                                <m:r>
                                  <a:rPr lang="en-ZA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ZA" sz="11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p>
                              <m:sSupPr>
                                <m:ctrlPr>
                                  <a:rPr lang="en-ZA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ZA" sz="1100" b="0" i="1">
                                    <a:latin typeface="Cambria Math" panose="02040503050406030204" pitchFamily="18" charset="0"/>
                                  </a:rPr>
                                  <m:t>𝑆</m:t>
                                </m:r>
                              </m:e>
                              <m:sup>
                                <m:r>
                                  <a:rPr lang="en-ZA" sz="11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sup>
                            </m:sSup>
                            <m:r>
                              <a:rPr lang="en-ZA" sz="1100" b="0" i="1">
                                <a:latin typeface="Cambria Math" panose="02040503050406030204" pitchFamily="18" charset="0"/>
                              </a:rPr>
                              <m:t>)+</m:t>
                            </m:r>
                            <m:sSup>
                              <m:sSupPr>
                                <m:ctrlP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𝜎</m:t>
                                </m:r>
                              </m:e>
                              <m:sup>
                                <m: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p>
                              <m:sSupPr>
                                <m:ctrlP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p>
                                <m:r>
                                  <a:rPr lang="en-ZA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sup>
                            </m:sSup>
                            <m:r>
                              <a:rPr lang="en-ZA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e>
                        </m:rad>
                      </m:den>
                    </m:f>
                  </m:oMath>
                </m:oMathPara>
              </a14:m>
              <a:endParaRPr lang="en-ZA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464D36B-B153-40F5-9586-DF08AF00863B}"/>
                </a:ext>
              </a:extLst>
            </xdr:cNvPr>
            <xdr:cNvSpPr txBox="1"/>
          </xdr:nvSpPr>
          <xdr:spPr>
            <a:xfrm>
              <a:off x="112143" y="232913"/>
              <a:ext cx="1984635" cy="41428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ZA" sz="1100" b="0" i="0">
                  <a:latin typeface="Cambria Math" panose="02040503050406030204" pitchFamily="18" charset="0"/>
                </a:rPr>
                <a:t>𝑆/𝑁= 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(𝑆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𝑡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^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)/√(</a:t>
              </a:r>
              <a:r>
                <a:rPr lang="en-ZA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𝜎^</a:t>
              </a:r>
              <a:r>
                <a:rPr lang="en-ZA" sz="1100" b="0" i="0">
                  <a:latin typeface="Cambria Math" panose="02040503050406030204" pitchFamily="18" charset="0"/>
                </a:rPr>
                <a:t>2 (𝑆^𝑡)+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𝜎^2 (𝑆^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ZA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ZA" sz="1100"/>
            </a:p>
          </xdr:txBody>
        </xdr:sp>
      </mc:Fallback>
    </mc:AlternateContent>
    <xdr:clientData/>
  </xdr:oneCellAnchor>
  <xdr:oneCellAnchor>
    <xdr:from>
      <xdr:col>3</xdr:col>
      <xdr:colOff>461512</xdr:colOff>
      <xdr:row>1</xdr:row>
      <xdr:rowOff>21566</xdr:rowOff>
    </xdr:from>
    <xdr:ext cx="2473819" cy="4891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9965CDC-6DF1-4E32-9B9B-B55988490AC8}"/>
                </a:ext>
              </a:extLst>
            </xdr:cNvPr>
            <xdr:cNvSpPr txBox="1"/>
          </xdr:nvSpPr>
          <xdr:spPr>
            <a:xfrm>
              <a:off x="2324818" y="202721"/>
              <a:ext cx="2473819" cy="489108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ZA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en-ZA" sz="1100" b="0" i="1">
                        <a:latin typeface="Cambria Math" panose="02040503050406030204" pitchFamily="18" charset="0"/>
                      </a:rPr>
                      <m:t>=1 % </m:t>
                    </m:r>
                    <m:r>
                      <a:rPr lang="en-ZA" sz="1100" b="0" i="1">
                        <a:latin typeface="Cambria Math" panose="02040503050406030204" pitchFamily="18" charset="0"/>
                      </a:rPr>
                      <m:t>𝑓𝑜𝑟</m:t>
                    </m:r>
                    <m:f>
                      <m:fPr>
                        <m:ctrlPr>
                          <a:rPr lang="en-ZA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num>
                      <m:den>
                        <m:r>
                          <a:rPr lang="en-ZA" sz="1100" b="0" i="1">
                            <a:latin typeface="Cambria Math" panose="02040503050406030204" pitchFamily="18" charset="0"/>
                          </a:rPr>
                          <m:t>𝑁</m:t>
                        </m:r>
                      </m:den>
                    </m:f>
                    <m:r>
                      <a:rPr lang="en-ZA" sz="1100" b="0" i="1">
                        <a:latin typeface="Cambria Math" panose="02040503050406030204" pitchFamily="18" charset="0"/>
                      </a:rPr>
                      <m:t>=100</m:t>
                    </m:r>
                  </m:oMath>
                </m:oMathPara>
              </a14:m>
              <a:endParaRPr lang="en-ZA" sz="1100" b="0"/>
            </a:p>
            <a:p>
              <a:r>
                <a:rPr lang="en-ZA" sz="1100"/>
                <a:t>the higher the S/N ratio, the smaller</a:t>
              </a:r>
              <a:r>
                <a:rPr lang="en-ZA" sz="1100" baseline="0"/>
                <a:t> the Uc</a:t>
              </a:r>
              <a:endParaRPr lang="en-ZA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9965CDC-6DF1-4E32-9B9B-B55988490AC8}"/>
                </a:ext>
              </a:extLst>
            </xdr:cNvPr>
            <xdr:cNvSpPr txBox="1"/>
          </xdr:nvSpPr>
          <xdr:spPr>
            <a:xfrm>
              <a:off x="2324818" y="202721"/>
              <a:ext cx="2473819" cy="489108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ZA" sz="1100" b="0" i="0">
                  <a:latin typeface="Cambria Math" panose="02040503050406030204" pitchFamily="18" charset="0"/>
                </a:rPr>
                <a:t>𝑈_𝑐=1 % 𝑓𝑜𝑟 𝑆/𝑁=100</a:t>
              </a:r>
              <a:endParaRPr lang="en-ZA" sz="1100" b="0"/>
            </a:p>
            <a:p>
              <a:r>
                <a:rPr lang="en-ZA" sz="1100"/>
                <a:t>the higher the S/N ratio, the smaller</a:t>
              </a:r>
              <a:r>
                <a:rPr lang="en-ZA" sz="1100" baseline="0"/>
                <a:t> the Uc</a:t>
              </a:r>
              <a:endParaRPr lang="en-ZA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269575</xdr:colOff>
      <xdr:row>24</xdr:row>
      <xdr:rowOff>104775</xdr:rowOff>
    </xdr:from>
    <xdr:to>
      <xdr:col>23</xdr:col>
      <xdr:colOff>241862</xdr:colOff>
      <xdr:row>43</xdr:row>
      <xdr:rowOff>74645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97779D-DB63-43FB-9E6D-6CDA0560F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329422</xdr:colOff>
      <xdr:row>19</xdr:row>
      <xdr:rowOff>152940</xdr:rowOff>
    </xdr:from>
    <xdr:to>
      <xdr:col>31</xdr:col>
      <xdr:colOff>301709</xdr:colOff>
      <xdr:row>38</xdr:row>
      <xdr:rowOff>132155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80D5AF-A172-4A15-8BE2-592FE2CE8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361950</xdr:colOff>
      <xdr:row>2</xdr:row>
      <xdr:rowOff>171450</xdr:rowOff>
    </xdr:from>
    <xdr:to>
      <xdr:col>22</xdr:col>
      <xdr:colOff>334237</xdr:colOff>
      <xdr:row>21</xdr:row>
      <xdr:rowOff>141320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67E871-8544-4D7A-8457-EB36E1011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808726</xdr:colOff>
      <xdr:row>48</xdr:row>
      <xdr:rowOff>32350</xdr:rowOff>
    </xdr:from>
    <xdr:to>
      <xdr:col>31</xdr:col>
      <xdr:colOff>323490</xdr:colOff>
      <xdr:row>59</xdr:row>
      <xdr:rowOff>102079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FC4A68-C85C-4485-975D-203E9ED54A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291141</xdr:colOff>
      <xdr:row>47</xdr:row>
      <xdr:rowOff>10781</xdr:rowOff>
    </xdr:from>
    <xdr:to>
      <xdr:col>24</xdr:col>
      <xdr:colOff>474452</xdr:colOff>
      <xdr:row>61</xdr:row>
      <xdr:rowOff>62570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EDBCB2-C79C-480F-B7D4-C401A4742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517584</xdr:colOff>
      <xdr:row>47</xdr:row>
      <xdr:rowOff>32348</xdr:rowOff>
    </xdr:from>
    <xdr:to>
      <xdr:col>27</xdr:col>
      <xdr:colOff>209508</xdr:colOff>
      <xdr:row>61</xdr:row>
      <xdr:rowOff>110271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D7CDFB-DD83-4603-A0F0-38FF8E161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0.20593</cdr:x>
      <cdr:y>0.62989</cdr:y>
    </cdr:from>
    <cdr:to>
      <cdr:x>0.79522</cdr:x>
      <cdr:y>0.8909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60D382B-166C-4FFB-B908-4D5B7B87DA10}"/>
            </a:ext>
          </a:extLst>
        </cdr:cNvPr>
        <cdr:cNvSpPr/>
      </cdr:nvSpPr>
      <cdr:spPr>
        <a:xfrm xmlns:a="http://schemas.openxmlformats.org/drawingml/2006/main">
          <a:off x="666726" y="2036789"/>
          <a:ext cx="1907918" cy="8439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r/Shared%20Documents/PROJECT%20PLANNING/Maintenance%20of%20NMS%20for%20RA%20SR/Spectral%20response/CSIR%20BE/CSIR%20BE%20c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IRabe\National%20Metrology%20Institute%20of%20South%20Africa\Photometry%20and%20Radiometry%20-%20Documents\PROJECT%20PLANNING\Maintenance%20of%20NMS%20for%20RA%20SR\Spectral%20response\200%20to%20400%20nm\Spectral%20power%20response\UVCalMar2019_ver%205.xlsx?D246EEB0" TargetMode="External"/><Relationship Id="rId1" Type="http://schemas.openxmlformats.org/officeDocument/2006/relationships/externalLinkPath" Target="file:///\\D246EEB0\UVCalMar2019_ver%2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Rabe\National%20Metrology%20Institute%20of%20South%20Africa\Photometry%20and%20Radiometry%20-%20Documents\PROJECT%20PLANNING\Maintenance%20of%20NMS%20for%20RA%20SR\Spectral%20response\ORW-522.RA%20Cal\ORW522RA%20Final%20Cal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tral Response"/>
      <sheetName val="WaveCheck697nm"/>
      <sheetName val="WaveCheck966nm"/>
      <sheetName val="SiLight600_690"/>
      <sheetName val="SiDark600_690"/>
      <sheetName val="SiLight700_1000"/>
      <sheetName val="SiDark700_1000"/>
      <sheetName val="SiLight1010_1100"/>
      <sheetName val="SiDark1010_1100"/>
    </sheetNames>
    <sheetDataSet>
      <sheetData sheetId="0">
        <row r="5">
          <cell r="A5">
            <v>6000</v>
          </cell>
          <cell r="B5">
            <v>0</v>
          </cell>
          <cell r="R5">
            <v>4.4978407142999999E-2</v>
          </cell>
          <cell r="U5">
            <v>1.351239676831635E-5</v>
          </cell>
        </row>
        <row r="6">
          <cell r="A6">
            <v>6100</v>
          </cell>
          <cell r="B6">
            <v>0</v>
          </cell>
          <cell r="R6">
            <v>4.8792258384000003E-2</v>
          </cell>
          <cell r="U6">
            <v>1.4515522506689685E-5</v>
          </cell>
        </row>
        <row r="7">
          <cell r="A7">
            <v>6200</v>
          </cell>
          <cell r="B7">
            <v>0</v>
          </cell>
          <cell r="R7">
            <v>5.4175353976999997E-2</v>
          </cell>
          <cell r="U7">
            <v>1.566064756423409E-5</v>
          </cell>
        </row>
        <row r="8">
          <cell r="A8">
            <v>6300</v>
          </cell>
          <cell r="B8">
            <v>0</v>
          </cell>
          <cell r="R8">
            <v>5.9642041085999999E-2</v>
          </cell>
          <cell r="U8">
            <v>1.7039203236345946E-5</v>
          </cell>
        </row>
        <row r="9">
          <cell r="A9">
            <v>6400</v>
          </cell>
          <cell r="B9">
            <v>0</v>
          </cell>
          <cell r="R9">
            <v>6.4627812338999988E-2</v>
          </cell>
          <cell r="U9">
            <v>1.8144894746851179E-5</v>
          </cell>
        </row>
        <row r="10">
          <cell r="A10">
            <v>6500</v>
          </cell>
          <cell r="B10">
            <v>0</v>
          </cell>
          <cell r="R10">
            <v>6.9082950286999997E-2</v>
          </cell>
          <cell r="U10">
            <v>1.9192704689077753E-5</v>
          </cell>
        </row>
        <row r="11">
          <cell r="A11">
            <v>6600</v>
          </cell>
          <cell r="B11">
            <v>0</v>
          </cell>
          <cell r="R11">
            <v>7.2973014439000006E-2</v>
          </cell>
          <cell r="U11">
            <v>2.0013411983326976E-5</v>
          </cell>
        </row>
        <row r="12">
          <cell r="A12">
            <v>6700</v>
          </cell>
          <cell r="B12">
            <v>0</v>
          </cell>
          <cell r="R12">
            <v>7.6193253346999987E-2</v>
          </cell>
          <cell r="U12">
            <v>2.0480656842192593E-5</v>
          </cell>
        </row>
        <row r="13">
          <cell r="A13">
            <v>6800</v>
          </cell>
          <cell r="B13">
            <v>0</v>
          </cell>
          <cell r="R13">
            <v>7.8931389463999996E-2</v>
          </cell>
          <cell r="U13">
            <v>2.0875697811903454E-5</v>
          </cell>
        </row>
        <row r="14">
          <cell r="A14">
            <v>6900</v>
          </cell>
          <cell r="B14">
            <v>0</v>
          </cell>
          <cell r="R14">
            <v>8.0943476734E-2</v>
          </cell>
          <cell r="U14">
            <v>2.1057668115318199E-5</v>
          </cell>
        </row>
        <row r="15">
          <cell r="A15">
            <v>7000</v>
          </cell>
          <cell r="B15">
            <v>0</v>
          </cell>
          <cell r="R15">
            <v>8.2788390703000009E-2</v>
          </cell>
          <cell r="U15">
            <v>2.1273802626366379E-5</v>
          </cell>
        </row>
        <row r="16">
          <cell r="A16">
            <v>7100</v>
          </cell>
          <cell r="B16">
            <v>0</v>
          </cell>
          <cell r="R16">
            <v>8.3446860908000006E-2</v>
          </cell>
          <cell r="U16">
            <v>2.1049463196199561E-5</v>
          </cell>
        </row>
        <row r="17">
          <cell r="A17">
            <v>7200</v>
          </cell>
          <cell r="B17">
            <v>0</v>
          </cell>
          <cell r="R17">
            <v>8.3328381773999996E-2</v>
          </cell>
          <cell r="U17">
            <v>2.062959567516864E-5</v>
          </cell>
        </row>
        <row r="18">
          <cell r="A18">
            <v>7300</v>
          </cell>
          <cell r="B18">
            <v>0</v>
          </cell>
          <cell r="R18">
            <v>8.2753447312000003E-2</v>
          </cell>
          <cell r="U18">
            <v>2.0430643480843574E-5</v>
          </cell>
        </row>
        <row r="19">
          <cell r="A19">
            <v>7400</v>
          </cell>
          <cell r="B19">
            <v>0</v>
          </cell>
          <cell r="R19">
            <v>8.1481594619000008E-2</v>
          </cell>
          <cell r="U19">
            <v>1.9696974608288302E-5</v>
          </cell>
        </row>
        <row r="20">
          <cell r="A20">
            <v>7500</v>
          </cell>
          <cell r="B20">
            <v>0</v>
          </cell>
          <cell r="R20">
            <v>7.958771941300001E-2</v>
          </cell>
          <cell r="U20">
            <v>1.8875682652164992E-5</v>
          </cell>
        </row>
        <row r="21">
          <cell r="A21">
            <v>7600</v>
          </cell>
          <cell r="B21">
            <v>0</v>
          </cell>
          <cell r="R21">
            <v>7.6841178657999998E-2</v>
          </cell>
          <cell r="U21">
            <v>1.816510857535036E-5</v>
          </cell>
        </row>
        <row r="22">
          <cell r="A22">
            <v>7700</v>
          </cell>
          <cell r="B22">
            <v>0</v>
          </cell>
          <cell r="R22">
            <v>7.4338858263999996E-2</v>
          </cell>
          <cell r="U22">
            <v>1.7316211938865144E-5</v>
          </cell>
        </row>
        <row r="23">
          <cell r="A23">
            <v>7800</v>
          </cell>
          <cell r="B23">
            <v>0</v>
          </cell>
          <cell r="R23">
            <v>7.1214950318999992E-2</v>
          </cell>
          <cell r="U23">
            <v>1.6303290906275427E-5</v>
          </cell>
        </row>
        <row r="24">
          <cell r="A24">
            <v>7900</v>
          </cell>
          <cell r="B24">
            <v>0</v>
          </cell>
          <cell r="R24">
            <v>6.8128395425999994E-2</v>
          </cell>
          <cell r="U24">
            <v>1.5353491992207784E-5</v>
          </cell>
        </row>
        <row r="25">
          <cell r="A25">
            <v>8000</v>
          </cell>
          <cell r="B25">
            <v>0</v>
          </cell>
          <cell r="R25">
            <v>6.5513124675000006E-2</v>
          </cell>
          <cell r="U25">
            <v>1.4621349719779555E-5</v>
          </cell>
        </row>
        <row r="26">
          <cell r="A26">
            <v>8100</v>
          </cell>
          <cell r="B26">
            <v>0</v>
          </cell>
          <cell r="R26">
            <v>6.3283067977999999E-2</v>
          </cell>
          <cell r="U26">
            <v>1.4060844450350743E-5</v>
          </cell>
        </row>
        <row r="27">
          <cell r="A27">
            <v>8200</v>
          </cell>
          <cell r="B27">
            <v>0</v>
          </cell>
          <cell r="R27">
            <v>6.1876744902999999E-2</v>
          </cell>
          <cell r="U27">
            <v>1.342931828241464E-5</v>
          </cell>
        </row>
        <row r="28">
          <cell r="A28">
            <v>8300</v>
          </cell>
          <cell r="B28">
            <v>0</v>
          </cell>
          <cell r="R28">
            <v>6.1695378269999997E-2</v>
          </cell>
          <cell r="U28">
            <v>1.3227518150972035E-5</v>
          </cell>
        </row>
        <row r="29">
          <cell r="A29">
            <v>8400</v>
          </cell>
          <cell r="B29">
            <v>0</v>
          </cell>
          <cell r="R29">
            <v>6.3436721290000012E-2</v>
          </cell>
          <cell r="U29">
            <v>1.3476551102135419E-5</v>
          </cell>
        </row>
        <row r="30">
          <cell r="A30">
            <v>8500</v>
          </cell>
          <cell r="B30">
            <v>0</v>
          </cell>
          <cell r="R30">
            <v>6.7815510864999998E-2</v>
          </cell>
          <cell r="U30">
            <v>1.4281310009587997E-5</v>
          </cell>
        </row>
        <row r="31">
          <cell r="A31">
            <v>8600</v>
          </cell>
          <cell r="B31">
            <v>0</v>
          </cell>
          <cell r="R31">
            <v>7.3974699646000008E-2</v>
          </cell>
          <cell r="U31">
            <v>1.5402554035699658E-5</v>
          </cell>
        </row>
        <row r="32">
          <cell r="A32">
            <v>8700</v>
          </cell>
          <cell r="B32">
            <v>0</v>
          </cell>
          <cell r="R32">
            <v>8.1386146622E-2</v>
          </cell>
          <cell r="U32">
            <v>1.6639098635408036E-5</v>
          </cell>
        </row>
        <row r="33">
          <cell r="A33">
            <v>8800</v>
          </cell>
          <cell r="B33">
            <v>0</v>
          </cell>
          <cell r="R33">
            <v>8.9555481854999994E-2</v>
          </cell>
          <cell r="U33">
            <v>1.817557894835229E-5</v>
          </cell>
        </row>
        <row r="34">
          <cell r="A34">
            <v>8900</v>
          </cell>
          <cell r="B34">
            <v>0</v>
          </cell>
          <cell r="R34">
            <v>9.8827728518999999E-2</v>
          </cell>
          <cell r="U34">
            <v>1.9819700777217919E-5</v>
          </cell>
        </row>
        <row r="35">
          <cell r="A35">
            <v>9000</v>
          </cell>
          <cell r="B35">
            <v>0</v>
          </cell>
          <cell r="R35">
            <v>0.10839832619500001</v>
          </cell>
          <cell r="U35">
            <v>2.1469485158557247E-5</v>
          </cell>
        </row>
        <row r="36">
          <cell r="A36">
            <v>9100</v>
          </cell>
          <cell r="B36">
            <v>0</v>
          </cell>
          <cell r="R36">
            <v>0.117930285661</v>
          </cell>
          <cell r="U36">
            <v>2.3059989921652907E-5</v>
          </cell>
        </row>
        <row r="37">
          <cell r="A37">
            <v>9200</v>
          </cell>
          <cell r="B37">
            <v>0</v>
          </cell>
          <cell r="R37">
            <v>0.12708124050699998</v>
          </cell>
          <cell r="U37">
            <v>2.4582656965747458E-5</v>
          </cell>
        </row>
        <row r="38">
          <cell r="A38">
            <v>9300</v>
          </cell>
          <cell r="B38">
            <v>0</v>
          </cell>
          <cell r="R38">
            <v>0.13400143182499999</v>
          </cell>
          <cell r="U38">
            <v>2.5620665909885819E-5</v>
          </cell>
        </row>
        <row r="39">
          <cell r="A39">
            <v>9400</v>
          </cell>
          <cell r="B39">
            <v>0</v>
          </cell>
          <cell r="R39">
            <v>0.13970905683500001</v>
          </cell>
          <cell r="U39">
            <v>2.6415678800608344E-5</v>
          </cell>
        </row>
        <row r="40">
          <cell r="A40">
            <v>9500</v>
          </cell>
          <cell r="B40">
            <v>0</v>
          </cell>
          <cell r="R40">
            <v>0.14508660029199999</v>
          </cell>
          <cell r="U40">
            <v>2.7174881532846578E-5</v>
          </cell>
        </row>
        <row r="41">
          <cell r="A41">
            <v>9600</v>
          </cell>
          <cell r="B41">
            <v>0</v>
          </cell>
          <cell r="R41">
            <v>0.15073272335900001</v>
          </cell>
          <cell r="U41">
            <v>2.8004621554621965E-5</v>
          </cell>
        </row>
        <row r="42">
          <cell r="A42">
            <v>9700</v>
          </cell>
          <cell r="B42">
            <v>0</v>
          </cell>
          <cell r="R42">
            <v>0.155027629517</v>
          </cell>
          <cell r="U42">
            <v>2.8573611766956598E-5</v>
          </cell>
        </row>
        <row r="43">
          <cell r="A43">
            <v>9800</v>
          </cell>
          <cell r="B43">
            <v>0</v>
          </cell>
          <cell r="R43">
            <v>0.15664423354099999</v>
          </cell>
          <cell r="U43">
            <v>2.8854225756310644E-5</v>
          </cell>
        </row>
        <row r="44">
          <cell r="A44">
            <v>9900</v>
          </cell>
          <cell r="B44">
            <v>0</v>
          </cell>
          <cell r="R44">
            <v>0.156309083584</v>
          </cell>
          <cell r="U44">
            <v>2.9002069781047898E-5</v>
          </cell>
        </row>
        <row r="45">
          <cell r="A45">
            <v>10000</v>
          </cell>
          <cell r="B45">
            <v>0</v>
          </cell>
          <cell r="R45">
            <v>0.15308701694500002</v>
          </cell>
          <cell r="U45">
            <v>2.8853730709619836E-5</v>
          </cell>
        </row>
        <row r="46">
          <cell r="A46">
            <v>10100</v>
          </cell>
          <cell r="B46">
            <v>0</v>
          </cell>
          <cell r="R46">
            <v>0.1524151785</v>
          </cell>
          <cell r="U46">
            <v>2.9646397207164035E-5</v>
          </cell>
        </row>
        <row r="47">
          <cell r="A47">
            <v>10200</v>
          </cell>
          <cell r="B47">
            <v>0</v>
          </cell>
          <cell r="R47">
            <v>0.14277274944900001</v>
          </cell>
          <cell r="U47">
            <v>2.9363292623775712E-5</v>
          </cell>
        </row>
        <row r="48">
          <cell r="A48">
            <v>10300</v>
          </cell>
          <cell r="B48">
            <v>0</v>
          </cell>
          <cell r="R48">
            <v>0.12914696858500002</v>
          </cell>
          <cell r="U48">
            <v>2.8802179342919902E-5</v>
          </cell>
        </row>
        <row r="49">
          <cell r="A49">
            <v>10400</v>
          </cell>
          <cell r="B49">
            <v>0</v>
          </cell>
          <cell r="R49">
            <v>0.112758301832</v>
          </cell>
          <cell r="U49">
            <v>2.8446085764149887E-5</v>
          </cell>
        </row>
        <row r="50">
          <cell r="A50">
            <v>10500</v>
          </cell>
          <cell r="B50">
            <v>0</v>
          </cell>
          <cell r="R50">
            <v>9.4225379254E-2</v>
          </cell>
          <cell r="U50">
            <v>2.7754702671183855E-5</v>
          </cell>
        </row>
        <row r="51">
          <cell r="A51">
            <v>10600</v>
          </cell>
          <cell r="B51">
            <v>0</v>
          </cell>
          <cell r="R51">
            <v>7.5383499709000004E-2</v>
          </cell>
          <cell r="U51">
            <v>2.7138983656015277E-5</v>
          </cell>
        </row>
        <row r="52">
          <cell r="A52">
            <v>10700</v>
          </cell>
          <cell r="B52">
            <v>0</v>
          </cell>
          <cell r="R52">
            <v>6.0110737186000004E-2</v>
          </cell>
          <cell r="U52">
            <v>2.6488545092053286E-5</v>
          </cell>
        </row>
        <row r="53">
          <cell r="A53">
            <v>10800</v>
          </cell>
          <cell r="B53">
            <v>0</v>
          </cell>
          <cell r="R53">
            <v>4.8646927207E-2</v>
          </cell>
          <cell r="U53">
            <v>2.5777258563918327E-5</v>
          </cell>
        </row>
        <row r="54">
          <cell r="A54">
            <v>10900</v>
          </cell>
          <cell r="B54">
            <v>0</v>
          </cell>
          <cell r="R54">
            <v>3.8951659713000006E-2</v>
          </cell>
          <cell r="U54">
            <v>2.48858626679817E-5</v>
          </cell>
        </row>
        <row r="55">
          <cell r="A55">
            <v>11000</v>
          </cell>
          <cell r="B55">
            <v>0</v>
          </cell>
          <cell r="R55">
            <v>3.0617849508000002E-2</v>
          </cell>
          <cell r="U55">
            <v>2.4177625008460462E-5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e_Si"/>
      <sheetName val="Xe_PtSi"/>
      <sheetName val="LDLS Si"/>
      <sheetName val="LDLS PtSi"/>
      <sheetName val="200 nm to 400 nm PtSi cal"/>
      <sheetName val="200-265nm txt"/>
      <sheetName val="monitor detector"/>
      <sheetName val="Sheet3"/>
      <sheetName val="Sheet4"/>
      <sheetName val="200 nm to 400 nm PRC UVC Ver"/>
      <sheetName val="400 - 600 nm Si vs UUT"/>
      <sheetName val="Sheet5"/>
      <sheetName val="Sheet6"/>
    </sheetNames>
    <sheetDataSet>
      <sheetData sheetId="0">
        <row r="5">
          <cell r="A5">
            <v>2000</v>
          </cell>
          <cell r="T5">
            <v>2.3665407703220794E-2</v>
          </cell>
          <cell r="U5">
            <v>2.6759999999999999E-2</v>
          </cell>
          <cell r="V5">
            <v>2.9E-4</v>
          </cell>
          <cell r="Z5">
            <v>1.4708545114424294E-3</v>
          </cell>
        </row>
        <row r="6">
          <cell r="A6">
            <v>2100</v>
          </cell>
          <cell r="T6">
            <v>2.462929025606243E-2</v>
          </cell>
          <cell r="U6">
            <v>2.6200000000000001E-2</v>
          </cell>
          <cell r="V6">
            <v>2.0000000000000001E-4</v>
          </cell>
          <cell r="Z6">
            <v>1.0634953948534E-3</v>
          </cell>
        </row>
        <row r="7">
          <cell r="A7">
            <v>2200</v>
          </cell>
          <cell r="T7">
            <v>2.5554048414628886E-2</v>
          </cell>
          <cell r="U7">
            <v>2.564E-2</v>
          </cell>
          <cell r="V7">
            <v>1.7000000000000001E-4</v>
          </cell>
          <cell r="Z7">
            <v>6.0922181457892912E-4</v>
          </cell>
        </row>
        <row r="8">
          <cell r="A8">
            <v>2300</v>
          </cell>
          <cell r="T8">
            <v>2.6465759369078398E-2</v>
          </cell>
          <cell r="U8">
            <v>2.5999999999999999E-2</v>
          </cell>
          <cell r="V8">
            <v>1.6000000000000001E-4</v>
          </cell>
          <cell r="Z8">
            <v>5.5886624450795066E-4</v>
          </cell>
        </row>
        <row r="9">
          <cell r="A9">
            <v>2400</v>
          </cell>
          <cell r="T9">
            <v>2.7127502542656202E-2</v>
          </cell>
          <cell r="U9">
            <v>2.6769999999999999E-2</v>
          </cell>
          <cell r="V9">
            <v>1.7000000000000001E-4</v>
          </cell>
          <cell r="Z9">
            <v>5.6924301271401309E-4</v>
          </cell>
        </row>
        <row r="10">
          <cell r="A10">
            <v>2500</v>
          </cell>
          <cell r="T10">
            <v>2.518357356251336E-2</v>
          </cell>
          <cell r="U10">
            <v>2.4729999999999999E-2</v>
          </cell>
          <cell r="V10">
            <v>1.4999999999999999E-4</v>
          </cell>
          <cell r="Z10">
            <v>4.40352899409228E-4</v>
          </cell>
        </row>
        <row r="11">
          <cell r="A11">
            <v>2600</v>
          </cell>
          <cell r="T11">
            <v>2.2741078225655815E-2</v>
          </cell>
          <cell r="U11">
            <v>2.2395999999999999E-2</v>
          </cell>
          <cell r="V11">
            <v>9.7999999999999997E-5</v>
          </cell>
          <cell r="Z11">
            <v>3.9039713228219335E-4</v>
          </cell>
        </row>
        <row r="12">
          <cell r="A12">
            <v>2700</v>
          </cell>
          <cell r="T12">
            <v>2.0640490566456983E-2</v>
          </cell>
          <cell r="U12">
            <v>2.0250000000000001E-2</v>
          </cell>
          <cell r="V12">
            <v>1E-4</v>
          </cell>
          <cell r="Z12">
            <v>3.5351715220160855E-4</v>
          </cell>
        </row>
        <row r="13">
          <cell r="A13">
            <v>2800</v>
          </cell>
          <cell r="T13">
            <v>2.1976890632902254E-2</v>
          </cell>
          <cell r="U13">
            <v>2.146E-2</v>
          </cell>
          <cell r="V13">
            <v>1.2999999999999999E-4</v>
          </cell>
          <cell r="Z13">
            <v>3.8216209170936571E-4</v>
          </cell>
        </row>
        <row r="14">
          <cell r="A14">
            <v>2900</v>
          </cell>
          <cell r="T14">
            <v>2.6723344120522758E-2</v>
          </cell>
          <cell r="U14">
            <v>2.6179999999999998E-2</v>
          </cell>
          <cell r="V14">
            <v>1.2999999999999999E-4</v>
          </cell>
          <cell r="Z14">
            <v>4.5791166219152208E-4</v>
          </cell>
        </row>
        <row r="15">
          <cell r="A15">
            <v>3000</v>
          </cell>
          <cell r="T15">
            <v>3.1143733750537701E-2</v>
          </cell>
          <cell r="U15">
            <v>3.0630000000000001E-2</v>
          </cell>
          <cell r="V15">
            <v>1.1E-4</v>
          </cell>
          <cell r="Z15">
            <v>5.1981781954027766E-4</v>
          </cell>
        </row>
        <row r="16">
          <cell r="A16">
            <v>3100</v>
          </cell>
          <cell r="T16">
            <v>3.3290262388950088E-2</v>
          </cell>
          <cell r="U16">
            <v>3.2731999999999997E-2</v>
          </cell>
          <cell r="V16">
            <v>9.5000000000000005E-5</v>
          </cell>
          <cell r="Z16">
            <v>5.5116620066921959E-4</v>
          </cell>
        </row>
        <row r="17">
          <cell r="A17">
            <v>3200</v>
          </cell>
          <cell r="T17">
            <v>3.4161428735796563E-2</v>
          </cell>
          <cell r="U17">
            <v>3.3631000000000001E-2</v>
          </cell>
          <cell r="V17">
            <v>9.6000000000000002E-5</v>
          </cell>
          <cell r="Z17">
            <v>5.6530530345047655E-4</v>
          </cell>
        </row>
        <row r="18">
          <cell r="A18">
            <v>3300</v>
          </cell>
          <cell r="T18">
            <v>3.4929580482832692E-2</v>
          </cell>
          <cell r="U18">
            <v>3.4394000000000001E-2</v>
          </cell>
          <cell r="V18">
            <v>8.8999999999999995E-5</v>
          </cell>
          <cell r="Z18">
            <v>5.7648199906121234E-4</v>
          </cell>
        </row>
        <row r="19">
          <cell r="A19">
            <v>3400</v>
          </cell>
          <cell r="T19">
            <v>3.5788897656210218E-2</v>
          </cell>
          <cell r="U19">
            <v>3.5340000000000003E-2</v>
          </cell>
          <cell r="V19">
            <v>9.0000000000000006E-5</v>
          </cell>
          <cell r="Z19">
            <v>5.9043614676418691E-4</v>
          </cell>
        </row>
        <row r="20">
          <cell r="A20">
            <v>3500</v>
          </cell>
          <cell r="T20">
            <v>3.6379979095336919E-2</v>
          </cell>
          <cell r="U20">
            <v>3.5982E-2</v>
          </cell>
          <cell r="V20">
            <v>9.2E-5</v>
          </cell>
          <cell r="Z20">
            <v>6.0024473974178681E-4</v>
          </cell>
        </row>
        <row r="21">
          <cell r="A21">
            <v>3600</v>
          </cell>
          <cell r="T21">
            <v>3.6439405887486523E-2</v>
          </cell>
          <cell r="U21">
            <v>3.585E-2</v>
          </cell>
          <cell r="V21">
            <v>1E-4</v>
          </cell>
          <cell r="Z21">
            <v>6.0259667573393458E-4</v>
          </cell>
        </row>
        <row r="22">
          <cell r="A22">
            <v>3700</v>
          </cell>
          <cell r="T22">
            <v>4.2312001807285289E-2</v>
          </cell>
          <cell r="U22">
            <v>4.1169999999999998E-2</v>
          </cell>
          <cell r="V22">
            <v>2.5999999999999998E-4</v>
          </cell>
          <cell r="Z22">
            <v>6.2296823662198319E-4</v>
          </cell>
        </row>
        <row r="23">
          <cell r="A23">
            <v>3800</v>
          </cell>
          <cell r="T23">
            <v>6.1620711042923673E-2</v>
          </cell>
          <cell r="U23">
            <v>6.0400000000000002E-2</v>
          </cell>
          <cell r="V23">
            <v>4.2000000000000002E-4</v>
          </cell>
          <cell r="Z23">
            <v>6.485214417797083E-4</v>
          </cell>
        </row>
        <row r="24">
          <cell r="A24">
            <v>3900</v>
          </cell>
          <cell r="T24">
            <v>8.1511045267942603E-2</v>
          </cell>
          <cell r="U24">
            <v>8.0509999999999998E-2</v>
          </cell>
          <cell r="V24">
            <v>3.6000000000000002E-4</v>
          </cell>
          <cell r="Z24">
            <v>6.4308165172937348E-4</v>
          </cell>
        </row>
        <row r="25">
          <cell r="A25">
            <v>4000</v>
          </cell>
          <cell r="T25">
            <v>9.6898550917958445E-2</v>
          </cell>
          <cell r="U25">
            <v>9.5990000000000006E-2</v>
          </cell>
          <cell r="V25">
            <v>3.2000000000000003E-4</v>
          </cell>
          <cell r="Z25">
            <v>5.7426945852372601E-4</v>
          </cell>
        </row>
        <row r="31">
          <cell r="A31">
            <v>2000</v>
          </cell>
          <cell r="T31">
            <v>2.7236338761064963E-2</v>
          </cell>
        </row>
        <row r="32">
          <cell r="A32">
            <v>2100</v>
          </cell>
          <cell r="T32">
            <v>2.6230905684393319E-2</v>
          </cell>
        </row>
        <row r="33">
          <cell r="A33">
            <v>2200</v>
          </cell>
          <cell r="T33">
            <v>2.6116846321283377E-2</v>
          </cell>
        </row>
        <row r="34">
          <cell r="A34">
            <v>2300</v>
          </cell>
          <cell r="T34">
            <v>2.6797391152773714E-2</v>
          </cell>
        </row>
        <row r="35">
          <cell r="A35">
            <v>2400</v>
          </cell>
          <cell r="T35">
            <v>2.7357477713875197E-2</v>
          </cell>
        </row>
        <row r="36">
          <cell r="A36">
            <v>2500</v>
          </cell>
          <cell r="T36">
            <v>2.5524401913516705E-2</v>
          </cell>
        </row>
        <row r="37">
          <cell r="A37">
            <v>2600</v>
          </cell>
          <cell r="T37">
            <v>2.2938035858517669E-2</v>
          </cell>
        </row>
        <row r="38">
          <cell r="A38">
            <v>2700</v>
          </cell>
          <cell r="T38">
            <v>2.0720982207724333E-2</v>
          </cell>
        </row>
        <row r="39">
          <cell r="A39">
            <v>2800</v>
          </cell>
          <cell r="T39">
            <v>2.2445923624041662E-2</v>
          </cell>
        </row>
        <row r="40">
          <cell r="A40">
            <v>2900</v>
          </cell>
          <cell r="T40">
            <v>2.7128746525582729E-2</v>
          </cell>
        </row>
        <row r="41">
          <cell r="A41">
            <v>3000</v>
          </cell>
          <cell r="T41">
            <v>3.1517417429708129E-2</v>
          </cell>
        </row>
        <row r="42">
          <cell r="A42">
            <v>3100</v>
          </cell>
          <cell r="T42">
            <v>3.3533604195778548E-2</v>
          </cell>
        </row>
        <row r="43">
          <cell r="A43">
            <v>3200</v>
          </cell>
          <cell r="T43">
            <v>3.4456061767389481E-2</v>
          </cell>
        </row>
        <row r="44">
          <cell r="A44">
            <v>3300</v>
          </cell>
          <cell r="T44">
            <v>3.5013713547306174E-2</v>
          </cell>
        </row>
        <row r="45">
          <cell r="A45">
            <v>3400</v>
          </cell>
          <cell r="T45">
            <v>3.6033342569628347E-2</v>
          </cell>
        </row>
        <row r="46">
          <cell r="A46">
            <v>3500</v>
          </cell>
          <cell r="T46">
            <v>3.6499892857290751E-2</v>
          </cell>
        </row>
        <row r="47">
          <cell r="A47">
            <v>3600</v>
          </cell>
          <cell r="T47">
            <v>3.6764752183292809E-2</v>
          </cell>
        </row>
        <row r="48">
          <cell r="A48">
            <v>3700</v>
          </cell>
          <cell r="T48">
            <v>4.4166263823784239E-2</v>
          </cell>
        </row>
        <row r="49">
          <cell r="A49">
            <v>3800</v>
          </cell>
          <cell r="T49">
            <v>6.4396011424514607E-2</v>
          </cell>
        </row>
        <row r="50">
          <cell r="A50">
            <v>3900</v>
          </cell>
          <cell r="T50">
            <v>8.3256271493162878E-2</v>
          </cell>
        </row>
        <row r="51">
          <cell r="A51">
            <v>4000</v>
          </cell>
          <cell r="T51">
            <v>9.7696045261242551E-2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pectral Response_Set1"/>
      <sheetName val="Final Spectral Response_Set2"/>
      <sheetName val="Final Spectral Response_Set3_4"/>
      <sheetName val="Averaged data"/>
      <sheetName val="Pyro absorbance"/>
      <sheetName val="Wavelength Uc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>
            <v>600</v>
          </cell>
          <cell r="B4">
            <v>0.33286772076190541</v>
          </cell>
          <cell r="E4">
            <v>0.33288897222685598</v>
          </cell>
          <cell r="G4">
            <v>0.33284646929695499</v>
          </cell>
          <cell r="K4">
            <v>3.192178698169814E-3</v>
          </cell>
          <cell r="R4">
            <v>1.5200685763404038</v>
          </cell>
          <cell r="V4">
            <v>3.8155372543847419E-3</v>
          </cell>
        </row>
        <row r="5">
          <cell r="A5">
            <v>610</v>
          </cell>
          <cell r="B5">
            <v>0.33613849147706121</v>
          </cell>
          <cell r="E5">
            <v>0.33629488485965398</v>
          </cell>
          <cell r="G5">
            <v>0.335987346043427</v>
          </cell>
          <cell r="K5">
            <v>2.2872924704004642E-2</v>
          </cell>
          <cell r="R5">
            <v>1.5354456978558642</v>
          </cell>
          <cell r="V5">
            <v>2.2493332824937824E-2</v>
          </cell>
        </row>
        <row r="6">
          <cell r="A6">
            <v>620</v>
          </cell>
          <cell r="B6">
            <v>0.34593303855918506</v>
          </cell>
          <cell r="E6">
            <v>0.34607786337920499</v>
          </cell>
          <cell r="G6">
            <v>0.34578272903226498</v>
          </cell>
          <cell r="K6">
            <v>2.1328863829339465E-2</v>
          </cell>
          <cell r="R6">
            <v>1.5792384924356802</v>
          </cell>
          <cell r="V6">
            <v>2.1248113234935112E-2</v>
          </cell>
        </row>
        <row r="7">
          <cell r="A7">
            <v>630</v>
          </cell>
          <cell r="B7">
            <v>0.35002834498023289</v>
          </cell>
          <cell r="E7">
            <v>0.35011926645396502</v>
          </cell>
          <cell r="G7">
            <v>0.34994059600669902</v>
          </cell>
          <cell r="K7">
            <v>1.2761141335285527E-2</v>
          </cell>
          <cell r="R7">
            <v>1.5986951607713786</v>
          </cell>
          <cell r="V7">
            <v>1.3125572370762876E-2</v>
          </cell>
        </row>
        <row r="8">
          <cell r="A8">
            <v>640</v>
          </cell>
          <cell r="B8">
            <v>0.35617628672227675</v>
          </cell>
          <cell r="E8">
            <v>0.35628479859497802</v>
          </cell>
          <cell r="G8">
            <v>0.35606539840092499</v>
          </cell>
          <cell r="K8">
            <v>1.5399691264683798E-2</v>
          </cell>
          <cell r="R8">
            <v>1.6267907538934896</v>
          </cell>
          <cell r="V8">
            <v>1.5471287208425026E-2</v>
          </cell>
        </row>
        <row r="9">
          <cell r="A9">
            <v>650</v>
          </cell>
          <cell r="B9">
            <v>0.35994379847001945</v>
          </cell>
          <cell r="E9">
            <v>0.36001092651629801</v>
          </cell>
          <cell r="G9">
            <v>0.35987735246810199</v>
          </cell>
          <cell r="K9">
            <v>9.2774239175510646E-3</v>
          </cell>
          <cell r="R9">
            <v>1.6443354516525635</v>
          </cell>
          <cell r="V9">
            <v>9.2815121144580806E-3</v>
          </cell>
        </row>
        <row r="10">
          <cell r="A10">
            <v>660</v>
          </cell>
          <cell r="B10">
            <v>0.36462055795280324</v>
          </cell>
          <cell r="E10">
            <v>0.36475129581708599</v>
          </cell>
          <cell r="G10">
            <v>0.36449163878785501</v>
          </cell>
          <cell r="K10">
            <v>1.7803235690328684E-2</v>
          </cell>
          <cell r="R10">
            <v>1.6656377180169628</v>
          </cell>
          <cell r="V10">
            <v>1.8208932695823837E-2</v>
          </cell>
        </row>
        <row r="11">
          <cell r="A11">
            <v>670</v>
          </cell>
          <cell r="B11">
            <v>0.37202543811989863</v>
          </cell>
          <cell r="E11">
            <v>0.37216349828720402</v>
          </cell>
          <cell r="G11">
            <v>0.371885921596456</v>
          </cell>
          <cell r="K11">
            <v>1.8653071961338148E-2</v>
          </cell>
          <cell r="R11">
            <v>1.7004759550994664</v>
          </cell>
          <cell r="V11">
            <v>1.8723821651968724E-2</v>
          </cell>
        </row>
        <row r="12">
          <cell r="A12">
            <v>680</v>
          </cell>
          <cell r="B12">
            <v>0.37810180131556043</v>
          </cell>
          <cell r="E12">
            <v>0.37822611548271601</v>
          </cell>
          <cell r="G12">
            <v>0.37797835020525</v>
          </cell>
          <cell r="K12">
            <v>1.6382180447427074E-2</v>
          </cell>
          <cell r="R12">
            <v>1.7278617253799566</v>
          </cell>
          <cell r="V12">
            <v>1.6773778629546467E-2</v>
          </cell>
        </row>
        <row r="13">
          <cell r="A13">
            <v>690</v>
          </cell>
          <cell r="B13">
            <v>0.38438955486775123</v>
          </cell>
          <cell r="E13">
            <v>0.384496324847722</v>
          </cell>
          <cell r="G13">
            <v>0.38428127017673303</v>
          </cell>
          <cell r="K13">
            <v>1.3986766046681426E-2</v>
          </cell>
          <cell r="R13">
            <v>1.7581190876558113</v>
          </cell>
          <cell r="V13">
            <v>1.43099287948631E-2</v>
          </cell>
        </row>
        <row r="14">
          <cell r="A14">
            <v>700</v>
          </cell>
          <cell r="B14">
            <v>0.38915652343410168</v>
          </cell>
          <cell r="E14">
            <v>0.389266619968551</v>
          </cell>
          <cell r="G14">
            <v>0.38904801889679003</v>
          </cell>
          <cell r="K14">
            <v>1.404326142549801E-2</v>
          </cell>
          <cell r="R14">
            <v>1.7791746350985906</v>
          </cell>
          <cell r="V14">
            <v>1.3671298818648009E-2</v>
          </cell>
        </row>
        <row r="15">
          <cell r="A15">
            <v>710</v>
          </cell>
          <cell r="B15">
            <v>0.3964322516455725</v>
          </cell>
          <cell r="E15">
            <v>0.39661064952327701</v>
          </cell>
          <cell r="G15">
            <v>0.396254970954384</v>
          </cell>
          <cell r="K15">
            <v>2.2429971793195908E-2</v>
          </cell>
          <cell r="R15">
            <v>1.812625995961336</v>
          </cell>
          <cell r="V15">
            <v>2.2657593404815664E-2</v>
          </cell>
        </row>
        <row r="16">
          <cell r="A16">
            <v>720</v>
          </cell>
          <cell r="B16">
            <v>0.40392639335292646</v>
          </cell>
          <cell r="E16">
            <v>0.40398910685316602</v>
          </cell>
          <cell r="G16">
            <v>0.40385810887882601</v>
          </cell>
          <cell r="K16">
            <v>8.1077874889900585E-3</v>
          </cell>
          <cell r="R16">
            <v>1.8473215446444389</v>
          </cell>
          <cell r="V16">
            <v>8.5691545680764893E-3</v>
          </cell>
        </row>
        <row r="17">
          <cell r="A17">
            <v>730</v>
          </cell>
          <cell r="B17">
            <v>0.40504572158773311</v>
          </cell>
          <cell r="E17">
            <v>0.40512573921301998</v>
          </cell>
          <cell r="G17">
            <v>0.40497173494844202</v>
          </cell>
          <cell r="K17">
            <v>9.5053629979253828E-3</v>
          </cell>
          <cell r="R17">
            <v>1.8536856509658397</v>
          </cell>
          <cell r="V17">
            <v>1.0139694545540723E-2</v>
          </cell>
        </row>
        <row r="18">
          <cell r="A18">
            <v>740</v>
          </cell>
          <cell r="B18">
            <v>0.41367568491819712</v>
          </cell>
          <cell r="E18">
            <v>0.41388680577491099</v>
          </cell>
          <cell r="G18">
            <v>0.41346386013407299</v>
          </cell>
          <cell r="K18">
            <v>2.5560218805314935E-2</v>
          </cell>
          <cell r="R18">
            <v>1.8938914157170783</v>
          </cell>
          <cell r="V18">
            <v>2.5714977592735413E-2</v>
          </cell>
        </row>
        <row r="19">
          <cell r="A19">
            <v>750</v>
          </cell>
          <cell r="B19">
            <v>0.42164154208150723</v>
          </cell>
          <cell r="E19">
            <v>0.421711945907212</v>
          </cell>
          <cell r="G19">
            <v>0.42156634709819901</v>
          </cell>
          <cell r="K19">
            <v>8.632854835305433E-3</v>
          </cell>
          <cell r="R19">
            <v>1.9306211869419891</v>
          </cell>
          <cell r="V19">
            <v>8.905245119306255E-3</v>
          </cell>
        </row>
        <row r="20">
          <cell r="A20">
            <v>760</v>
          </cell>
          <cell r="B20">
            <v>0.42301524562463522</v>
          </cell>
          <cell r="E20">
            <v>0.42307506456543098</v>
          </cell>
          <cell r="G20">
            <v>0.42295961353964301</v>
          </cell>
          <cell r="K20">
            <v>6.823100761857135E-3</v>
          </cell>
          <cell r="R20">
            <v>1.9379652673770176</v>
          </cell>
          <cell r="V20">
            <v>7.6135379304103851E-3</v>
          </cell>
        </row>
        <row r="21">
          <cell r="A21">
            <v>770</v>
          </cell>
          <cell r="B21">
            <v>0.42930208134696668</v>
          </cell>
          <cell r="E21">
            <v>0.42945790036298498</v>
          </cell>
          <cell r="G21">
            <v>0.42914597603064503</v>
          </cell>
          <cell r="K21">
            <v>1.8164617986546679E-2</v>
          </cell>
          <cell r="R21">
            <v>1.967893441001862</v>
          </cell>
          <cell r="V21">
            <v>1.8096399442547248E-2</v>
          </cell>
        </row>
        <row r="22">
          <cell r="A22">
            <v>780</v>
          </cell>
          <cell r="B22">
            <v>0.43681334479278716</v>
          </cell>
          <cell r="E22">
            <v>0.43695959051698702</v>
          </cell>
          <cell r="G22">
            <v>0.43666701101588101</v>
          </cell>
          <cell r="K22">
            <v>1.6745110044928378E-2</v>
          </cell>
          <cell r="R22">
            <v>2.0022697964875529</v>
          </cell>
          <cell r="V22">
            <v>1.7833406447713952E-2</v>
          </cell>
        </row>
        <row r="23">
          <cell r="A23">
            <v>790</v>
          </cell>
          <cell r="B23">
            <v>0.44373224970955505</v>
          </cell>
          <cell r="E23">
            <v>0.443856531116472</v>
          </cell>
          <cell r="G23">
            <v>0.44360718373580299</v>
          </cell>
          <cell r="K23">
            <v>1.4048301697260053E-2</v>
          </cell>
          <cell r="R23">
            <v>2.0373248098046837</v>
          </cell>
          <cell r="V23">
            <v>1.4651079045960226E-2</v>
          </cell>
        </row>
        <row r="24">
          <cell r="A24">
            <v>800</v>
          </cell>
          <cell r="B24">
            <v>0.44806482254079993</v>
          </cell>
          <cell r="E24">
            <v>0.44809343829411102</v>
          </cell>
          <cell r="G24">
            <v>0.44803324390112098</v>
          </cell>
          <cell r="K24">
            <v>3.3585761457845731E-3</v>
          </cell>
          <cell r="R24">
            <v>2.0560809372262705</v>
          </cell>
          <cell r="V24">
            <v>3.0778520242904016E-3</v>
          </cell>
        </row>
        <row r="25">
          <cell r="A25">
            <v>810</v>
          </cell>
          <cell r="B25">
            <v>0.45006591319215844</v>
          </cell>
          <cell r="E25">
            <v>0.45020447898732302</v>
          </cell>
          <cell r="G25">
            <v>0.44993447409825499</v>
          </cell>
          <cell r="K25">
            <v>1.4998074790474641E-2</v>
          </cell>
          <cell r="R25">
            <v>2.0665611270492721</v>
          </cell>
          <cell r="V25">
            <v>1.5754597802401158E-2</v>
          </cell>
        </row>
        <row r="26">
          <cell r="A26">
            <v>820</v>
          </cell>
          <cell r="B26">
            <v>0.46075864464412963</v>
          </cell>
          <cell r="E26">
            <v>0.46094771519627697</v>
          </cell>
          <cell r="G26">
            <v>0.46056469211719903</v>
          </cell>
          <cell r="K26">
            <v>2.0782197118281547E-2</v>
          </cell>
          <cell r="R26">
            <v>2.116472367808635</v>
          </cell>
          <cell r="V26">
            <v>2.1078302703489121E-2</v>
          </cell>
        </row>
        <row r="27">
          <cell r="A27">
            <v>830</v>
          </cell>
          <cell r="B27">
            <v>0.4664168861145449</v>
          </cell>
          <cell r="E27">
            <v>0.46649708452711802</v>
          </cell>
          <cell r="G27">
            <v>0.46633714536189502</v>
          </cell>
          <cell r="K27">
            <v>8.5727580831885235E-3</v>
          </cell>
          <cell r="R27">
            <v>2.1432272900063154</v>
          </cell>
          <cell r="V27">
            <v>8.8580960708315951E-3</v>
          </cell>
        </row>
        <row r="28">
          <cell r="A28">
            <v>840</v>
          </cell>
          <cell r="B28">
            <v>0.47071925754021876</v>
          </cell>
          <cell r="E28">
            <v>0.470805412581208</v>
          </cell>
          <cell r="G28">
            <v>0.47063287983096902</v>
          </cell>
          <cell r="K28">
            <v>9.1632511032440859E-3</v>
          </cell>
          <cell r="R28">
            <v>2.1636366930901949</v>
          </cell>
          <cell r="V28">
            <v>9.6810972414583668E-3</v>
          </cell>
        </row>
        <row r="29">
          <cell r="A29">
            <v>850</v>
          </cell>
          <cell r="B29">
            <v>0.47485497352463407</v>
          </cell>
          <cell r="E29">
            <v>0.47493625181823101</v>
          </cell>
          <cell r="G29">
            <v>0.47477373036942999</v>
          </cell>
          <cell r="K29">
            <v>8.5563728855287471E-3</v>
          </cell>
          <cell r="R29">
            <v>2.1843875526767689</v>
          </cell>
          <cell r="V29">
            <v>9.4821705289272577E-3</v>
          </cell>
        </row>
        <row r="30">
          <cell r="A30">
            <v>860</v>
          </cell>
          <cell r="B30">
            <v>0.48027554050155113</v>
          </cell>
          <cell r="E30">
            <v>0.48043920824484898</v>
          </cell>
          <cell r="G30">
            <v>0.48011504406307598</v>
          </cell>
          <cell r="K30">
            <v>1.6873864814893721E-2</v>
          </cell>
          <cell r="R30">
            <v>2.2106398185091356</v>
          </cell>
          <cell r="V30">
            <v>1.6834412196713566E-2</v>
          </cell>
        </row>
        <row r="31">
          <cell r="A31">
            <v>870</v>
          </cell>
          <cell r="B31">
            <v>0.48912593407439814</v>
          </cell>
          <cell r="E31">
            <v>0.489250288777138</v>
          </cell>
          <cell r="G31">
            <v>0.48899700398262602</v>
          </cell>
          <cell r="K31">
            <v>1.2945786395032636E-2</v>
          </cell>
          <cell r="R31">
            <v>2.2510534919843628</v>
          </cell>
          <cell r="V31">
            <v>1.3513861716888276E-2</v>
          </cell>
        </row>
        <row r="32">
          <cell r="A32">
            <v>880</v>
          </cell>
          <cell r="B32">
            <v>0.49272423238610868</v>
          </cell>
          <cell r="E32">
            <v>0.49280382533758599</v>
          </cell>
          <cell r="G32">
            <v>0.492647294619661</v>
          </cell>
          <cell r="K32">
            <v>7.9421057275243304E-3</v>
          </cell>
          <cell r="R32">
            <v>2.2701218391793727</v>
          </cell>
          <cell r="V32">
            <v>8.611227693098163E-3</v>
          </cell>
        </row>
        <row r="33">
          <cell r="A33">
            <v>890</v>
          </cell>
          <cell r="B33">
            <v>0.49863380698763704</v>
          </cell>
          <cell r="E33">
            <v>0.49876431070691801</v>
          </cell>
          <cell r="G33">
            <v>0.49850272879497998</v>
          </cell>
          <cell r="K33">
            <v>1.3114930650122463E-2</v>
          </cell>
          <cell r="R33">
            <v>2.2983435589982375</v>
          </cell>
          <cell r="V33">
            <v>1.447172068848218E-2</v>
          </cell>
        </row>
        <row r="34">
          <cell r="A34">
            <v>900</v>
          </cell>
          <cell r="B34">
            <v>0.50489485609204243</v>
          </cell>
          <cell r="E34">
            <v>0.50502390664810604</v>
          </cell>
          <cell r="G34">
            <v>0.504766306654578</v>
          </cell>
          <cell r="K34">
            <v>1.2755130618770641E-2</v>
          </cell>
          <cell r="R34">
            <v>2.3319939085378638</v>
          </cell>
          <cell r="V34">
            <v>1.4160032213677794E-2</v>
          </cell>
        </row>
        <row r="35">
          <cell r="A35">
            <v>910</v>
          </cell>
          <cell r="B35">
            <v>0.51140649263799387</v>
          </cell>
          <cell r="E35">
            <v>0.51152643882757798</v>
          </cell>
          <cell r="G35">
            <v>0.511285708953513</v>
          </cell>
          <cell r="K35">
            <v>1.176802981240851E-2</v>
          </cell>
          <cell r="R35">
            <v>2.3617024682725751</v>
          </cell>
          <cell r="V35">
            <v>1.0470693273899018E-2</v>
          </cell>
        </row>
        <row r="36">
          <cell r="A36">
            <v>920</v>
          </cell>
          <cell r="B36">
            <v>0.51695486246287436</v>
          </cell>
          <cell r="E36">
            <v>0.51706848345795897</v>
          </cell>
          <cell r="G36">
            <v>0.51684180004677904</v>
          </cell>
          <cell r="K36">
            <v>1.0962437324794325E-2</v>
          </cell>
          <cell r="R36">
            <v>2.3836187919104841</v>
          </cell>
          <cell r="V36">
            <v>9.6245196824702225E-3</v>
          </cell>
        </row>
        <row r="37">
          <cell r="A37">
            <v>930</v>
          </cell>
          <cell r="B37">
            <v>0.5230208781314114</v>
          </cell>
          <cell r="E37">
            <v>0.52314392652474895</v>
          </cell>
          <cell r="G37">
            <v>0.52289765767838003</v>
          </cell>
          <cell r="K37">
            <v>1.177146346665444E-2</v>
          </cell>
          <cell r="R37">
            <v>2.4130599511480404</v>
          </cell>
          <cell r="V37">
            <v>1.557366221987568E-2</v>
          </cell>
        </row>
        <row r="38">
          <cell r="A38">
            <v>940</v>
          </cell>
          <cell r="B38">
            <v>0.52888687014085956</v>
          </cell>
          <cell r="E38">
            <v>0.52899673077929199</v>
          </cell>
          <cell r="G38">
            <v>0.528776659621367</v>
          </cell>
          <cell r="K38">
            <v>1.0402562927414549E-2</v>
          </cell>
          <cell r="R38">
            <v>2.4403990300183018</v>
          </cell>
          <cell r="V38">
            <v>-1.2016107516359281E-3</v>
          </cell>
        </row>
        <row r="39">
          <cell r="A39">
            <v>950</v>
          </cell>
          <cell r="B39">
            <v>0.5338996606724199</v>
          </cell>
          <cell r="E39">
            <v>0.53398887430056297</v>
          </cell>
          <cell r="G39">
            <v>0.53380997763461002</v>
          </cell>
          <cell r="K39">
            <v>8.3768861047594304E-3</v>
          </cell>
          <cell r="R39">
            <v>2.419184565556951</v>
          </cell>
          <cell r="V39">
            <v>-3.0870130461858325E-3</v>
          </cell>
        </row>
        <row r="40">
          <cell r="A40">
            <v>960</v>
          </cell>
          <cell r="B40">
            <v>0.5382423149871941</v>
          </cell>
          <cell r="E40">
            <v>0.53833612748680804</v>
          </cell>
          <cell r="G40">
            <v>0.53814912533916204</v>
          </cell>
          <cell r="K40">
            <v>8.6857788044035922E-3</v>
          </cell>
          <cell r="R40">
            <v>2.4390890352580943</v>
          </cell>
          <cell r="V40">
            <v>1.1842243135123059E-2</v>
          </cell>
        </row>
        <row r="41">
          <cell r="A41">
            <v>970</v>
          </cell>
          <cell r="B41">
            <v>0.54255524566298863</v>
          </cell>
          <cell r="E41">
            <v>0.54261004981127703</v>
          </cell>
          <cell r="G41">
            <v>0.54249831140182403</v>
          </cell>
          <cell r="K41">
            <v>5.1487111379981462E-3</v>
          </cell>
          <cell r="R41">
            <v>2.4586534203220958</v>
          </cell>
          <cell r="V41">
            <v>4.1997639780746547E-3</v>
          </cell>
        </row>
        <row r="42">
          <cell r="A42">
            <v>980</v>
          </cell>
          <cell r="B42">
            <v>0.54288143048420101</v>
          </cell>
          <cell r="E42">
            <v>0.54284196212626101</v>
          </cell>
          <cell r="G42">
            <v>0.54291925780822403</v>
          </cell>
          <cell r="K42">
            <v>-3.5595103102928263E-3</v>
          </cell>
          <cell r="R42">
            <v>2.4607717057837752</v>
          </cell>
          <cell r="V42">
            <v>-2.0900140652700999E-3</v>
          </cell>
        </row>
        <row r="43">
          <cell r="A43">
            <v>990</v>
          </cell>
          <cell r="B43">
            <v>0.53895837353699472</v>
          </cell>
          <cell r="E43">
            <v>0.538840529612577</v>
          </cell>
          <cell r="G43">
            <v>0.53907471383947103</v>
          </cell>
          <cell r="K43">
            <v>-1.0862816053729138E-2</v>
          </cell>
          <cell r="R43">
            <v>2.4439629399949299</v>
          </cell>
          <cell r="V43">
            <v>-1.3840473841250062E-2</v>
          </cell>
        </row>
        <row r="44">
          <cell r="A44">
            <v>1000</v>
          </cell>
          <cell r="B44">
            <v>0.53056229880859318</v>
          </cell>
          <cell r="E44">
            <v>0.53032859867899296</v>
          </cell>
          <cell r="G44">
            <v>0.53079289234407201</v>
          </cell>
          <cell r="K44">
            <v>-2.1877433909342187E-2</v>
          </cell>
          <cell r="R44">
            <v>2.4067581016800883</v>
          </cell>
          <cell r="V44">
            <v>-8.9703451527493351E-3</v>
          </cell>
        </row>
        <row r="45">
          <cell r="A45">
            <v>1010</v>
          </cell>
          <cell r="B45">
            <v>0.51411028947277604</v>
          </cell>
          <cell r="E45">
            <v>0.51366235476086697</v>
          </cell>
          <cell r="G45">
            <v>0.51455282161404303</v>
          </cell>
          <cell r="K45">
            <v>-4.3301353396809177E-2</v>
          </cell>
          <cell r="R45">
            <v>2.3800932298554018</v>
          </cell>
          <cell r="V45">
            <v>-3.0016451503172854E-2</v>
          </cell>
        </row>
        <row r="46">
          <cell r="A46">
            <v>1020</v>
          </cell>
          <cell r="B46">
            <v>0.48622867768376793</v>
          </cell>
          <cell r="E46">
            <v>0.485580395675211</v>
          </cell>
          <cell r="G46">
            <v>0.48687428431711199</v>
          </cell>
          <cell r="K46">
            <v>-6.6526754862771556E-2</v>
          </cell>
          <cell r="R46">
            <v>2.2518762151297018</v>
          </cell>
          <cell r="V46">
            <v>-6.9852760056642205E-2</v>
          </cell>
        </row>
        <row r="47">
          <cell r="A47">
            <v>1030</v>
          </cell>
          <cell r="B47">
            <v>0.44839304362135596</v>
          </cell>
          <cell r="E47">
            <v>0.44747909310683398</v>
          </cell>
          <cell r="G47">
            <v>0.44929916306643097</v>
          </cell>
          <cell r="K47">
            <v>-0.10147737489954968</v>
          </cell>
          <cell r="R47">
            <v>2.0773382629433796</v>
          </cell>
          <cell r="V47">
            <v>-9.9943577255100599E-2</v>
          </cell>
        </row>
        <row r="48">
          <cell r="A48">
            <v>1040</v>
          </cell>
          <cell r="B48">
            <v>0.39639303195136733</v>
          </cell>
          <cell r="E48">
            <v>0.39529005413886498</v>
          </cell>
          <cell r="G48">
            <v>0.39749612271138401</v>
          </cell>
          <cell r="K48">
            <v>-0.1391339147448229</v>
          </cell>
          <cell r="R48">
            <v>1.8375223211714369</v>
          </cell>
          <cell r="V48">
            <v>-0.13893209643621868</v>
          </cell>
        </row>
        <row r="49">
          <cell r="A49">
            <v>1050</v>
          </cell>
          <cell r="B49">
            <v>0.33949338377106414</v>
          </cell>
          <cell r="E49">
            <v>0.33827938697455201</v>
          </cell>
          <cell r="G49">
            <v>0.34070292719520101</v>
          </cell>
          <cell r="K49">
            <v>-0.17846741177456596</v>
          </cell>
          <cell r="R49">
            <v>1.5744651559099869</v>
          </cell>
          <cell r="V49">
            <v>-0.17773079750879223</v>
          </cell>
        </row>
        <row r="50">
          <cell r="A50">
            <v>1060</v>
          </cell>
          <cell r="B50">
            <v>0.27776832273632868</v>
          </cell>
          <cell r="E50">
            <v>0.27660414039226899</v>
          </cell>
          <cell r="G50">
            <v>0.27893874974345301</v>
          </cell>
          <cell r="K50">
            <v>-0.21012199377029114</v>
          </cell>
          <cell r="R50">
            <v>1.2883440422476484</v>
          </cell>
          <cell r="V50">
            <v>-0.21182651467970956</v>
          </cell>
        </row>
        <row r="51">
          <cell r="A51">
            <v>1070</v>
          </cell>
          <cell r="B51">
            <v>0.2269310638885696</v>
          </cell>
          <cell r="E51">
            <v>0.22606113014076801</v>
          </cell>
          <cell r="G51">
            <v>0.227806491285791</v>
          </cell>
          <cell r="K51">
            <v>-0.19227878227808709</v>
          </cell>
          <cell r="R51">
            <v>1.052926835959423</v>
          </cell>
          <cell r="V51">
            <v>-0.18343737912991837</v>
          </cell>
        </row>
        <row r="52">
          <cell r="A52">
            <v>1080</v>
          </cell>
          <cell r="B52">
            <v>0.18872032914738826</v>
          </cell>
          <cell r="E52">
            <v>0.188036465777182</v>
          </cell>
          <cell r="G52">
            <v>0.18940621008587</v>
          </cell>
          <cell r="K52">
            <v>-0.18145161081426647</v>
          </cell>
          <cell r="R52">
            <v>0.87524631681153986</v>
          </cell>
          <cell r="V52">
            <v>-0.22144439631562526</v>
          </cell>
        </row>
        <row r="53">
          <cell r="A53">
            <v>1090</v>
          </cell>
          <cell r="B53">
            <v>0.15652123550097158</v>
          </cell>
          <cell r="E53">
            <v>0.15590921742240299</v>
          </cell>
          <cell r="G53">
            <v>0.157134140941457</v>
          </cell>
          <cell r="K53">
            <v>-0.19564813603936329</v>
          </cell>
          <cell r="R53">
            <v>0.67226500812502765</v>
          </cell>
          <cell r="V53">
            <v>-0.2581755284545168</v>
          </cell>
        </row>
        <row r="54">
          <cell r="A54">
            <v>1100</v>
          </cell>
          <cell r="B54">
            <v>0.12663712625738019</v>
          </cell>
          <cell r="E54">
            <v>0.12604682922986701</v>
          </cell>
          <cell r="G54">
            <v>0.127227423284893</v>
          </cell>
          <cell r="K54">
            <v>-0.23306633882117953</v>
          </cell>
          <cell r="R54">
            <v>0.54402813554811225</v>
          </cell>
          <cell r="V54">
            <v>-0.19407377953996299</v>
          </cell>
        </row>
      </sheetData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Irma Rabe" id="{F6BF2497-9D6B-4DE5-AADC-908E7E2A44DB}" userId="S::IRabe@nmisa.org::f630c913-dc99-4a0e-a57e-29c31cd01a0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F20" dT="2021-04-23T08:03:53.21" personId="{F6BF2497-9D6B-4DE5-AADC-908E7E2A44DB}" id="{1A4A34E1-24D7-4C39-889E-4D04DA060439}">
    <text>En values will be very small, because Uc is very large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G20" dT="2021-04-23T08:03:53.21" personId="{F6BF2497-9D6B-4DE5-AADC-908E7E2A44DB}" id="{19C3238D-3E66-43EA-8C20-62FA84C80986}">
    <text>En values will be very small, because Uc is very large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21"/>
  <sheetViews>
    <sheetView zoomScale="80" zoomScaleNormal="80"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L125" sqref="L125"/>
    </sheetView>
  </sheetViews>
  <sheetFormatPr defaultColWidth="9.1796875" defaultRowHeight="14.5" x14ac:dyDescent="0.35"/>
  <cols>
    <col min="1" max="2" width="8.453125" style="2" customWidth="1"/>
    <col min="3" max="3" width="11.1796875" style="99" customWidth="1"/>
    <col min="4" max="4" width="7.81640625" style="99" bestFit="1" customWidth="1"/>
    <col min="5" max="6" width="10.54296875" style="100" customWidth="1"/>
    <col min="7" max="9" width="23.1796875" style="2" customWidth="1"/>
    <col min="10" max="13" width="12" style="2" customWidth="1"/>
    <col min="14" max="16" width="12" style="15" customWidth="1"/>
    <col min="17" max="17" width="12" style="2" customWidth="1"/>
    <col min="18" max="18" width="24.26953125" style="15" customWidth="1"/>
    <col min="19" max="19" width="12" style="15" customWidth="1"/>
    <col min="20" max="22" width="12" style="2" customWidth="1"/>
    <col min="23" max="23" width="12" style="101" customWidth="1"/>
    <col min="24" max="24" width="15.7265625" style="18" bestFit="1" customWidth="1"/>
    <col min="25" max="25" width="15.7265625" style="18" customWidth="1"/>
    <col min="26" max="26" width="16.26953125" style="55" bestFit="1" customWidth="1"/>
    <col min="27" max="32" width="16.26953125" style="18" customWidth="1"/>
    <col min="33" max="33" width="10.7265625" style="18" bestFit="1" customWidth="1"/>
    <col min="34" max="34" width="23.453125" style="18" hidden="1" customWidth="1"/>
    <col min="35" max="36" width="23.7265625" style="2" hidden="1" customWidth="1"/>
    <col min="37" max="37" width="13" style="2" hidden="1" customWidth="1"/>
    <col min="38" max="39" width="13" style="2" customWidth="1"/>
    <col min="40" max="42" width="24.26953125" style="2" customWidth="1"/>
    <col min="43" max="43" width="24.7265625" style="2" customWidth="1"/>
    <col min="44" max="44" width="10.81640625" style="2" customWidth="1"/>
    <col min="45" max="45" width="10.81640625" style="2" bestFit="1" customWidth="1"/>
    <col min="46" max="47" width="9.1796875" style="2"/>
    <col min="48" max="49" width="23.7265625" style="2" customWidth="1"/>
    <col min="50" max="51" width="9.1796875" style="2"/>
    <col min="52" max="52" width="20.1796875" style="2" bestFit="1" customWidth="1"/>
    <col min="53" max="54" width="9.1796875" style="2"/>
    <col min="55" max="55" width="9.1796875" style="3"/>
    <col min="56" max="16384" width="9.1796875" style="2"/>
  </cols>
  <sheetData>
    <row r="1" spans="1:55" ht="20.25" customHeight="1" thickBot="1" x14ac:dyDescent="0.4">
      <c r="A1" s="725" t="s">
        <v>0</v>
      </c>
      <c r="B1" s="282"/>
      <c r="C1" s="728" t="s">
        <v>1</v>
      </c>
      <c r="D1" s="731" t="s">
        <v>2</v>
      </c>
      <c r="E1" s="734" t="s">
        <v>3</v>
      </c>
      <c r="F1" s="735"/>
      <c r="G1" s="736" t="s">
        <v>4</v>
      </c>
      <c r="H1" s="724"/>
      <c r="I1" s="724"/>
      <c r="J1" s="724"/>
      <c r="K1" s="724"/>
      <c r="L1" s="724"/>
      <c r="M1" s="724"/>
      <c r="N1" s="724"/>
      <c r="O1" s="724"/>
      <c r="P1" s="724"/>
      <c r="Q1" s="737"/>
      <c r="R1" s="724" t="s">
        <v>5</v>
      </c>
      <c r="S1" s="724"/>
      <c r="T1" s="724"/>
      <c r="U1" s="724"/>
      <c r="V1" s="724"/>
      <c r="W1" s="724"/>
      <c r="X1" s="738" t="s">
        <v>6</v>
      </c>
      <c r="Y1" s="738" t="s">
        <v>7</v>
      </c>
      <c r="Z1" s="751" t="s">
        <v>8</v>
      </c>
      <c r="AA1" s="738" t="s">
        <v>9</v>
      </c>
      <c r="AB1" s="754" t="s">
        <v>10</v>
      </c>
      <c r="AC1" s="738" t="s">
        <v>11</v>
      </c>
      <c r="AD1" s="738" t="s">
        <v>12</v>
      </c>
      <c r="AE1" s="738" t="s">
        <v>13</v>
      </c>
      <c r="AF1" s="1"/>
      <c r="AG1" s="738" t="s">
        <v>14</v>
      </c>
      <c r="AH1" s="741" t="s">
        <v>15</v>
      </c>
      <c r="AL1" s="2" t="s">
        <v>16</v>
      </c>
      <c r="AM1" s="2">
        <f>10^6</f>
        <v>1000000</v>
      </c>
      <c r="BA1" s="3"/>
      <c r="BC1" s="2"/>
    </row>
    <row r="2" spans="1:55" ht="20.25" customHeight="1" x14ac:dyDescent="0.35">
      <c r="A2" s="726"/>
      <c r="B2" s="283"/>
      <c r="C2" s="729"/>
      <c r="D2" s="732"/>
      <c r="E2" s="742" t="s">
        <v>17</v>
      </c>
      <c r="F2" s="744" t="s">
        <v>18</v>
      </c>
      <c r="G2" s="746" t="s">
        <v>19</v>
      </c>
      <c r="H2" s="747"/>
      <c r="I2" s="747"/>
      <c r="J2" s="747"/>
      <c r="K2" s="747"/>
      <c r="L2" s="288"/>
      <c r="M2" s="288"/>
      <c r="N2" s="748" t="s">
        <v>20</v>
      </c>
      <c r="O2" s="749"/>
      <c r="P2" s="749"/>
      <c r="Q2" s="750"/>
      <c r="R2" s="747" t="s">
        <v>19</v>
      </c>
      <c r="S2" s="747"/>
      <c r="T2" s="747"/>
      <c r="U2" s="748" t="s">
        <v>20</v>
      </c>
      <c r="V2" s="749"/>
      <c r="W2" s="750"/>
      <c r="X2" s="739"/>
      <c r="Y2" s="739"/>
      <c r="Z2" s="752"/>
      <c r="AA2" s="739"/>
      <c r="AB2" s="755"/>
      <c r="AC2" s="739"/>
      <c r="AD2" s="739"/>
      <c r="AE2" s="739"/>
      <c r="AF2" s="4"/>
      <c r="AG2" s="739"/>
      <c r="AH2" s="741"/>
      <c r="BA2" s="3"/>
      <c r="BC2" s="2"/>
    </row>
    <row r="3" spans="1:55" ht="20.25" customHeight="1" thickBot="1" x14ac:dyDescent="0.4">
      <c r="A3" s="727"/>
      <c r="B3" s="284"/>
      <c r="C3" s="730"/>
      <c r="D3" s="733"/>
      <c r="E3" s="743"/>
      <c r="F3" s="745"/>
      <c r="G3" s="5" t="s">
        <v>21</v>
      </c>
      <c r="H3" s="142"/>
      <c r="I3" s="142"/>
      <c r="J3" s="6" t="s">
        <v>22</v>
      </c>
      <c r="K3" s="7" t="s">
        <v>23</v>
      </c>
      <c r="L3" s="295"/>
      <c r="M3" s="295"/>
      <c r="N3" s="5" t="s">
        <v>21</v>
      </c>
      <c r="O3" s="142"/>
      <c r="P3" s="6" t="s">
        <v>22</v>
      </c>
      <c r="Q3" s="8" t="s">
        <v>24</v>
      </c>
      <c r="R3" s="9" t="s">
        <v>21</v>
      </c>
      <c r="S3" s="6" t="s">
        <v>22</v>
      </c>
      <c r="T3" s="7" t="s">
        <v>23</v>
      </c>
      <c r="U3" s="5" t="s">
        <v>21</v>
      </c>
      <c r="V3" s="6" t="s">
        <v>22</v>
      </c>
      <c r="W3" s="8" t="s">
        <v>24</v>
      </c>
      <c r="X3" s="740"/>
      <c r="Y3" s="740"/>
      <c r="Z3" s="753"/>
      <c r="AA3" s="740"/>
      <c r="AB3" s="756"/>
      <c r="AC3" s="740"/>
      <c r="AD3" s="740"/>
      <c r="AE3" s="740"/>
      <c r="AF3" s="10"/>
      <c r="AG3" s="740"/>
      <c r="AH3" s="11">
        <v>1.8100000000000002E-2</v>
      </c>
      <c r="BA3" s="3"/>
      <c r="BC3" s="2"/>
    </row>
    <row r="4" spans="1:55" ht="30.25" customHeight="1" thickBot="1" x14ac:dyDescent="0.4">
      <c r="A4" s="757" t="s">
        <v>25</v>
      </c>
      <c r="B4" s="758"/>
      <c r="C4" s="759"/>
      <c r="D4" s="759"/>
      <c r="E4" s="12">
        <v>0.2</v>
      </c>
      <c r="F4" s="13">
        <v>1.6</v>
      </c>
      <c r="G4" s="760"/>
      <c r="H4" s="761"/>
      <c r="I4" s="761"/>
      <c r="J4" s="761"/>
      <c r="K4" s="761"/>
      <c r="L4" s="296" t="s">
        <v>26</v>
      </c>
      <c r="M4" s="296"/>
      <c r="N4" s="14"/>
      <c r="Q4" s="16"/>
      <c r="R4" s="761"/>
      <c r="S4" s="761"/>
      <c r="T4" s="761"/>
      <c r="U4" s="14"/>
      <c r="V4" s="15"/>
      <c r="W4" s="16"/>
      <c r="X4" s="17"/>
      <c r="Z4" s="104"/>
      <c r="AA4" s="20"/>
      <c r="AB4" s="19"/>
      <c r="AC4" s="19"/>
      <c r="AD4" s="19"/>
      <c r="AE4" s="19"/>
      <c r="AF4" s="19"/>
      <c r="AG4" s="20"/>
      <c r="AH4" s="2"/>
      <c r="AL4" s="117" t="s">
        <v>27</v>
      </c>
      <c r="AM4" s="117" t="s">
        <v>28</v>
      </c>
      <c r="AN4" s="117" t="s">
        <v>27</v>
      </c>
      <c r="AO4" s="117" t="s">
        <v>28</v>
      </c>
      <c r="BA4" s="3"/>
      <c r="BC4" s="2"/>
    </row>
    <row r="5" spans="1:55" x14ac:dyDescent="0.35">
      <c r="A5" s="21">
        <v>2000</v>
      </c>
      <c r="B5" s="287">
        <f>A5/10</f>
        <v>200</v>
      </c>
      <c r="C5" s="285">
        <f t="shared" ref="C5:C25" si="0">A5*$N$54-$N$55</f>
        <v>-279093</v>
      </c>
      <c r="D5" s="23">
        <f>C6-C5</f>
        <v>28804.70000000007</v>
      </c>
      <c r="E5" s="762">
        <v>1</v>
      </c>
      <c r="F5" s="763"/>
      <c r="G5" s="27">
        <v>-9.9425398699999994E-3</v>
      </c>
      <c r="H5" s="101">
        <f t="shared" ref="H5:H25" si="1">G5/MIN($G$5:$G$25)</f>
        <v>1.5025611276516682E-3</v>
      </c>
      <c r="I5" s="101"/>
      <c r="J5" s="30">
        <v>1.1496844400000001E-6</v>
      </c>
      <c r="K5" s="26">
        <f t="shared" ref="K5:K25" si="2">J5*100/G5</f>
        <v>-1.1563287198565694E-2</v>
      </c>
      <c r="L5" s="165">
        <f>(-G5-(-N5))/SQRT(SUMSQ(J5,P5))</f>
        <v>275.7347665197683</v>
      </c>
      <c r="M5" s="165">
        <f>1/L5*100</f>
        <v>0.36266736060224264</v>
      </c>
      <c r="N5" s="27">
        <v>-9.5037423799999993E-3</v>
      </c>
      <c r="O5" s="101">
        <f>N5/MIN($G$5:$G$25)</f>
        <v>1.4362480869190366E-3</v>
      </c>
      <c r="P5" s="28">
        <v>1.1003185700000001E-6</v>
      </c>
      <c r="Q5" s="29">
        <f>G5-N5</f>
        <v>-4.387974900000001E-4</v>
      </c>
      <c r="R5" s="267">
        <v>-1.34214551E-2</v>
      </c>
      <c r="S5" s="25">
        <v>4.6328336100000002E-7</v>
      </c>
      <c r="T5" s="26">
        <f>S5*100/R5</f>
        <v>-3.4518117264349382E-3</v>
      </c>
      <c r="U5" s="27">
        <v>-1.35130276E-2</v>
      </c>
      <c r="V5" s="28">
        <v>6.3059235300000005E-7</v>
      </c>
      <c r="W5" s="29">
        <f>R5-U5</f>
        <v>9.1572499999999571E-5</v>
      </c>
      <c r="X5" s="31">
        <v>0.1134</v>
      </c>
      <c r="Y5" s="32">
        <v>6.12</v>
      </c>
      <c r="Z5" s="55">
        <f>X5*(W5/-Q5)</f>
        <v>2.3665407703220794E-2</v>
      </c>
      <c r="AA5" s="102">
        <v>2.6759999999999999E-2</v>
      </c>
      <c r="AB5" s="35">
        <v>2.9E-4</v>
      </c>
      <c r="AC5" s="36">
        <f>AB5*100/AA5</f>
        <v>1.0837070254110615</v>
      </c>
      <c r="AD5" s="37">
        <f>ABS(Z5-AA5)/AA5*100</f>
        <v>11.56424625104337</v>
      </c>
      <c r="AE5" s="32">
        <f>SQRT(SUMSQ(Y5,AC5))</f>
        <v>6.2152088393653591</v>
      </c>
      <c r="AF5" s="38">
        <f>AE5/100*Z5</f>
        <v>1.4708545114424294E-3</v>
      </c>
      <c r="AG5" s="764" t="s">
        <v>29</v>
      </c>
      <c r="AH5" s="2">
        <v>1.81</v>
      </c>
      <c r="AI5" s="3">
        <v>2.3665407703220794E-2</v>
      </c>
      <c r="AJ5" s="120">
        <f>ABS(AI5-AA5)/AA5*100</f>
        <v>11.56424625104337</v>
      </c>
      <c r="AL5" s="2">
        <f>-Q5/(X5*$AM$1)</f>
        <v>3.8694664021164032E-9</v>
      </c>
      <c r="AM5" s="2">
        <f>AL5*1000000</f>
        <v>3.8694664021164033E-3</v>
      </c>
      <c r="AN5" s="101">
        <f>W5/(Z5*$AM$1)</f>
        <v>3.8694664021164032E-9</v>
      </c>
      <c r="AO5" s="120">
        <f>AN5*1000000</f>
        <v>3.8694664021164033E-3</v>
      </c>
      <c r="BA5" s="3"/>
      <c r="BC5" s="2"/>
    </row>
    <row r="6" spans="1:55" x14ac:dyDescent="0.35">
      <c r="A6" s="39">
        <v>2100</v>
      </c>
      <c r="B6" s="287">
        <f t="shared" ref="B6:B24" si="3">A6/10</f>
        <v>210</v>
      </c>
      <c r="C6" s="286">
        <f t="shared" si="0"/>
        <v>-250288.29999999993</v>
      </c>
      <c r="D6" s="41">
        <f>C7-C6</f>
        <v>28804.699999999953</v>
      </c>
      <c r="E6" s="42">
        <v>23.6</v>
      </c>
      <c r="F6" s="43">
        <v>52.2</v>
      </c>
      <c r="G6" s="47">
        <v>-1.0359669199999999E-2</v>
      </c>
      <c r="H6" s="101">
        <f t="shared" si="1"/>
        <v>1.5655995790590936E-3</v>
      </c>
      <c r="I6" s="101"/>
      <c r="J6" s="50">
        <v>2.1869258399999999E-6</v>
      </c>
      <c r="K6" s="46">
        <f t="shared" si="2"/>
        <v>-2.1109996832717401E-2</v>
      </c>
      <c r="L6" s="165">
        <f t="shared" ref="L6:L25" si="4">(-G6-(-N6))/SQRT(SUMSQ(J6,P6))</f>
        <v>381.6071998698647</v>
      </c>
      <c r="M6" s="165">
        <f t="shared" ref="M6:M25" si="5">1/L6*100</f>
        <v>0.26204956309551258</v>
      </c>
      <c r="N6" s="47">
        <v>-9.4971181200000001E-3</v>
      </c>
      <c r="O6" s="101">
        <f t="shared" ref="O6:O25" si="6">N6/MIN($G$5:$G$25)</f>
        <v>1.4352469990978564E-3</v>
      </c>
      <c r="P6" s="48">
        <v>5.7128163700000003E-7</v>
      </c>
      <c r="Q6" s="49">
        <f t="shared" ref="Q6:Q25" si="7">G6-N6</f>
        <v>-8.6255107999999928E-4</v>
      </c>
      <c r="R6" s="268">
        <v>-1.33310298E-2</v>
      </c>
      <c r="S6" s="45">
        <v>5.3452317200000002E-7</v>
      </c>
      <c r="T6" s="46">
        <f t="shared" ref="T6:T25" si="8">S6*100/R6</f>
        <v>-4.0096165113965914E-3</v>
      </c>
      <c r="U6" s="47">
        <v>-1.3513695500000001E-2</v>
      </c>
      <c r="V6" s="48">
        <v>5.4580412899999997E-7</v>
      </c>
      <c r="W6" s="49">
        <f t="shared" ref="W6:W25" si="9">R6-U6</f>
        <v>1.8266570000000093E-4</v>
      </c>
      <c r="X6" s="51">
        <v>0.1163</v>
      </c>
      <c r="Y6" s="52">
        <v>4.25</v>
      </c>
      <c r="Z6" s="55">
        <f t="shared" ref="Z6:Z25" si="10">X6*(W6/-Q6)</f>
        <v>2.462929025606243E-2</v>
      </c>
      <c r="AA6" s="104">
        <v>2.6200000000000001E-2</v>
      </c>
      <c r="AB6" s="55">
        <v>2.0000000000000001E-4</v>
      </c>
      <c r="AC6" s="56">
        <f t="shared" ref="AC6:AC25" si="11">AB6*100/AA6</f>
        <v>0.76335877862595414</v>
      </c>
      <c r="AD6" s="107">
        <f t="shared" ref="AD6:AD25" si="12">ABS(Z6-AA6)/AA6*100</f>
        <v>5.9950753585403476</v>
      </c>
      <c r="AE6" s="259">
        <f t="shared" ref="AE6:AE25" si="13">SQRT(SUMSQ(Y6,AC6))</f>
        <v>4.318010725427313</v>
      </c>
      <c r="AF6" s="58">
        <f t="shared" ref="AF6:AF25" si="14">AE6/100*Z6</f>
        <v>1.0634953948534E-3</v>
      </c>
      <c r="AG6" s="765"/>
      <c r="AH6" s="2">
        <v>1.65</v>
      </c>
      <c r="AI6" s="3">
        <v>2.462929025606243E-2</v>
      </c>
      <c r="AJ6" s="120">
        <f t="shared" ref="AJ6:AJ25" si="15">ABS(AI6-AA6)/AA6*100</f>
        <v>5.9950753585403476</v>
      </c>
      <c r="AL6" s="2">
        <f t="shared" ref="AL6:AL25" si="16">-Q6/(X6*$AM$1)</f>
        <v>7.4166042992261328E-9</v>
      </c>
      <c r="AM6" s="2">
        <f t="shared" ref="AM6:AO25" si="17">AL6*1000000</f>
        <v>7.4166042992261328E-3</v>
      </c>
      <c r="AN6" s="101">
        <f t="shared" ref="AN6:AN25" si="18">W6/(Z6*$AM$1)</f>
        <v>7.4166042992261328E-9</v>
      </c>
      <c r="AO6" s="120">
        <f t="shared" si="17"/>
        <v>7.4166042992261328E-3</v>
      </c>
      <c r="BA6" s="3"/>
      <c r="BC6" s="2"/>
    </row>
    <row r="7" spans="1:55" x14ac:dyDescent="0.35">
      <c r="A7" s="39">
        <v>2200</v>
      </c>
      <c r="B7" s="287">
        <f t="shared" si="3"/>
        <v>220</v>
      </c>
      <c r="C7" s="286">
        <f t="shared" si="0"/>
        <v>-221483.59999999998</v>
      </c>
      <c r="D7" s="41">
        <f t="shared" ref="D7:D24" si="19">C8-C7</f>
        <v>28804.70000000007</v>
      </c>
      <c r="E7" s="767"/>
      <c r="F7" s="768"/>
      <c r="G7" s="47">
        <v>-1.25281574E-2</v>
      </c>
      <c r="H7" s="101">
        <f t="shared" si="1"/>
        <v>1.8933112219284057E-3</v>
      </c>
      <c r="I7" s="101"/>
      <c r="J7" s="50">
        <v>1.5399090799999998E-5</v>
      </c>
      <c r="K7" s="59">
        <f t="shared" si="2"/>
        <v>-0.12291584714604557</v>
      </c>
      <c r="L7" s="165">
        <f t="shared" si="4"/>
        <v>196.92342173959429</v>
      </c>
      <c r="M7" s="165">
        <f t="shared" si="5"/>
        <v>0.50781161081101389</v>
      </c>
      <c r="N7" s="60">
        <v>-9.4921713100000003E-3</v>
      </c>
      <c r="O7" s="101">
        <f t="shared" si="6"/>
        <v>1.4344994150288896E-3</v>
      </c>
      <c r="P7" s="61">
        <v>7.4475668500000005E-7</v>
      </c>
      <c r="Q7" s="49">
        <f t="shared" si="7"/>
        <v>-3.0359860899999997E-3</v>
      </c>
      <c r="R7" s="268">
        <v>-1.2873264400000001E-2</v>
      </c>
      <c r="S7" s="45">
        <v>1.13511596E-6</v>
      </c>
      <c r="T7" s="59">
        <f t="shared" si="8"/>
        <v>-8.8176232906394744E-3</v>
      </c>
      <c r="U7" s="60">
        <v>-1.3514966099999999E-2</v>
      </c>
      <c r="V7" s="61">
        <v>5.5469031599999998E-7</v>
      </c>
      <c r="W7" s="49">
        <f t="shared" si="9"/>
        <v>6.4170169999999867E-4</v>
      </c>
      <c r="X7" s="62">
        <v>0.12089999999999999</v>
      </c>
      <c r="Y7" s="63">
        <v>2.29</v>
      </c>
      <c r="Z7" s="55">
        <f t="shared" si="10"/>
        <v>2.5554048414628886E-2</v>
      </c>
      <c r="AA7" s="104">
        <v>2.564E-2</v>
      </c>
      <c r="AB7" s="55">
        <v>1.7000000000000001E-4</v>
      </c>
      <c r="AC7" s="56">
        <f t="shared" si="11"/>
        <v>0.66302652106084248</v>
      </c>
      <c r="AD7" s="106">
        <f t="shared" si="12"/>
        <v>0.33522459193101978</v>
      </c>
      <c r="AE7" s="260">
        <f t="shared" si="13"/>
        <v>2.3840520480119651</v>
      </c>
      <c r="AF7" s="58">
        <f t="shared" si="14"/>
        <v>6.0922181457892912E-4</v>
      </c>
      <c r="AG7" s="765"/>
      <c r="AH7" s="2"/>
      <c r="AI7" s="3">
        <v>2.5554048414628886E-2</v>
      </c>
      <c r="AJ7" s="120">
        <f t="shared" si="15"/>
        <v>0.33522459193101978</v>
      </c>
      <c r="AL7" s="2">
        <f t="shared" si="16"/>
        <v>2.5111547477253926E-8</v>
      </c>
      <c r="AM7" s="2">
        <f t="shared" si="17"/>
        <v>2.5111547477253925E-2</v>
      </c>
      <c r="AN7" s="101">
        <f t="shared" si="18"/>
        <v>2.5111547477253923E-8</v>
      </c>
      <c r="AO7" s="120">
        <f t="shared" si="17"/>
        <v>2.5111547477253922E-2</v>
      </c>
      <c r="BA7" s="3"/>
      <c r="BC7" s="2"/>
    </row>
    <row r="8" spans="1:55" x14ac:dyDescent="0.35">
      <c r="A8" s="39">
        <v>2300</v>
      </c>
      <c r="B8" s="287">
        <f t="shared" si="3"/>
        <v>230</v>
      </c>
      <c r="C8" s="286">
        <f t="shared" si="0"/>
        <v>-192678.89999999991</v>
      </c>
      <c r="D8" s="41">
        <f>C9-C8</f>
        <v>28804.699999999953</v>
      </c>
      <c r="E8" s="65"/>
      <c r="F8" s="66"/>
      <c r="G8" s="47">
        <v>-3.1503363399999998E-2</v>
      </c>
      <c r="H8" s="101">
        <f t="shared" si="1"/>
        <v>4.7609292850765593E-3</v>
      </c>
      <c r="I8" s="101"/>
      <c r="J8" s="50">
        <v>1.42249706E-4</v>
      </c>
      <c r="K8" s="46">
        <f t="shared" si="2"/>
        <v>-0.45153815544660225</v>
      </c>
      <c r="L8" s="165">
        <f t="shared" si="4"/>
        <v>154.76149520839732</v>
      </c>
      <c r="M8" s="165">
        <f t="shared" si="5"/>
        <v>0.64615555610484965</v>
      </c>
      <c r="N8" s="47">
        <v>-9.4882690600000003E-3</v>
      </c>
      <c r="O8" s="101">
        <f t="shared" si="6"/>
        <v>1.4339096895425408E-3</v>
      </c>
      <c r="P8" s="48">
        <v>7.6355573500000003E-7</v>
      </c>
      <c r="Q8" s="49">
        <f t="shared" si="7"/>
        <v>-2.2015094339999999E-2</v>
      </c>
      <c r="R8" s="268">
        <v>-8.9283209300000006E-3</v>
      </c>
      <c r="S8" s="45">
        <v>1.55879985E-5</v>
      </c>
      <c r="T8" s="46">
        <f t="shared" si="8"/>
        <v>-0.17459048148261397</v>
      </c>
      <c r="U8" s="47">
        <v>-1.3516086199999999E-2</v>
      </c>
      <c r="V8" s="48">
        <v>4.4864944599999999E-7</v>
      </c>
      <c r="W8" s="49">
        <f t="shared" si="9"/>
        <v>4.5877652699999986E-3</v>
      </c>
      <c r="X8" s="51">
        <v>0.127</v>
      </c>
      <c r="Y8" s="52">
        <v>2.02</v>
      </c>
      <c r="Z8" s="55">
        <f t="shared" si="10"/>
        <v>2.6465759369078398E-2</v>
      </c>
      <c r="AA8" s="104">
        <v>2.5999999999999999E-2</v>
      </c>
      <c r="AB8" s="55">
        <v>1.6000000000000001E-4</v>
      </c>
      <c r="AC8" s="56">
        <f t="shared" si="11"/>
        <v>0.61538461538461542</v>
      </c>
      <c r="AD8" s="106">
        <f t="shared" si="12"/>
        <v>1.7913821887630748</v>
      </c>
      <c r="AE8" s="260">
        <f t="shared" si="13"/>
        <v>2.1116576959469713</v>
      </c>
      <c r="AF8" s="58">
        <f t="shared" si="14"/>
        <v>5.5886624450795066E-4</v>
      </c>
      <c r="AG8" s="765"/>
      <c r="AH8" s="2"/>
      <c r="AI8" s="3">
        <v>2.6465759369078398E-2</v>
      </c>
      <c r="AJ8" s="120">
        <f t="shared" si="15"/>
        <v>1.7913821887630748</v>
      </c>
      <c r="AL8" s="2">
        <f t="shared" si="16"/>
        <v>1.7334719952755904E-7</v>
      </c>
      <c r="AM8" s="2">
        <f t="shared" si="17"/>
        <v>0.17334719952755903</v>
      </c>
      <c r="AN8" s="101">
        <f t="shared" si="18"/>
        <v>1.7334719952755907E-7</v>
      </c>
      <c r="AO8" s="120">
        <f t="shared" si="17"/>
        <v>0.17334719952755906</v>
      </c>
      <c r="BA8" s="3"/>
      <c r="BC8" s="2"/>
    </row>
    <row r="9" spans="1:55" x14ac:dyDescent="0.35">
      <c r="A9" s="39">
        <v>2400</v>
      </c>
      <c r="B9" s="287">
        <f t="shared" si="3"/>
        <v>240</v>
      </c>
      <c r="C9" s="286">
        <f t="shared" si="0"/>
        <v>-163874.19999999995</v>
      </c>
      <c r="D9" s="67">
        <f t="shared" si="19"/>
        <v>28804.70000000007</v>
      </c>
      <c r="E9" s="65"/>
      <c r="F9" s="66"/>
      <c r="G9" s="71">
        <v>-0.113015067</v>
      </c>
      <c r="H9" s="101">
        <f t="shared" si="1"/>
        <v>1.7079342776942653E-2</v>
      </c>
      <c r="I9" s="101"/>
      <c r="J9" s="73">
        <v>7.3211532999999996E-4</v>
      </c>
      <c r="K9" s="70">
        <f t="shared" si="2"/>
        <v>-0.6478032968825298</v>
      </c>
      <c r="L9" s="165">
        <f t="shared" si="4"/>
        <v>141.41309593164013</v>
      </c>
      <c r="M9" s="165">
        <f t="shared" si="5"/>
        <v>0.70714808512742378</v>
      </c>
      <c r="N9" s="71">
        <v>-9.4843380200000001E-3</v>
      </c>
      <c r="O9" s="101">
        <f t="shared" si="6"/>
        <v>1.4333156131825287E-3</v>
      </c>
      <c r="P9" s="72">
        <v>5.8970807900000002E-7</v>
      </c>
      <c r="Q9" s="49">
        <f t="shared" si="7"/>
        <v>-0.10353072898</v>
      </c>
      <c r="R9" s="269">
        <v>8.0205357199999994E-3</v>
      </c>
      <c r="S9" s="69">
        <v>6.1994220099999996E-5</v>
      </c>
      <c r="T9" s="70">
        <f t="shared" si="8"/>
        <v>0.77294363199968397</v>
      </c>
      <c r="U9" s="71">
        <v>-1.3517271900000001E-2</v>
      </c>
      <c r="V9" s="72">
        <v>4.5523220399999998E-7</v>
      </c>
      <c r="W9" s="49">
        <f t="shared" si="9"/>
        <v>2.1537807620000002E-2</v>
      </c>
      <c r="X9" s="74">
        <v>0.13039999999999999</v>
      </c>
      <c r="Y9" s="75">
        <v>2</v>
      </c>
      <c r="Z9" s="55">
        <f t="shared" si="10"/>
        <v>2.7127502542656202E-2</v>
      </c>
      <c r="AA9" s="104">
        <v>2.6769999999999999E-2</v>
      </c>
      <c r="AB9" s="55">
        <v>1.7000000000000001E-4</v>
      </c>
      <c r="AC9" s="56">
        <f t="shared" si="11"/>
        <v>0.63503922301083315</v>
      </c>
      <c r="AD9" s="106">
        <f t="shared" si="12"/>
        <v>1.3354596288987817</v>
      </c>
      <c r="AE9" s="260">
        <f t="shared" si="13"/>
        <v>2.0983981544888479</v>
      </c>
      <c r="AF9" s="58">
        <f t="shared" si="14"/>
        <v>5.6924301271401309E-4</v>
      </c>
      <c r="AG9" s="765"/>
      <c r="AH9" s="2"/>
      <c r="AI9" s="3">
        <v>2.7127502542656202E-2</v>
      </c>
      <c r="AJ9" s="120">
        <f t="shared" si="15"/>
        <v>1.3354596288987817</v>
      </c>
      <c r="AL9" s="2">
        <f t="shared" si="16"/>
        <v>7.9394730812883447E-7</v>
      </c>
      <c r="AM9" s="2">
        <f t="shared" si="17"/>
        <v>0.79394730812883452</v>
      </c>
      <c r="AN9" s="101">
        <f t="shared" si="18"/>
        <v>7.9394730812883436E-7</v>
      </c>
      <c r="AO9" s="120">
        <f t="shared" si="17"/>
        <v>0.79394730812883441</v>
      </c>
      <c r="BA9" s="3"/>
      <c r="BC9" s="2"/>
    </row>
    <row r="10" spans="1:55" x14ac:dyDescent="0.35">
      <c r="A10" s="39">
        <v>2500</v>
      </c>
      <c r="B10" s="287">
        <f t="shared" si="3"/>
        <v>250</v>
      </c>
      <c r="C10" s="286">
        <f t="shared" si="0"/>
        <v>-135069.49999999988</v>
      </c>
      <c r="D10" s="41">
        <f t="shared" si="19"/>
        <v>28804.699999999953</v>
      </c>
      <c r="E10" s="65" t="s">
        <v>30</v>
      </c>
      <c r="F10" s="66"/>
      <c r="G10" s="47">
        <v>-0.27913470499999998</v>
      </c>
      <c r="H10" s="101">
        <f t="shared" si="1"/>
        <v>4.2184086017802984E-2</v>
      </c>
      <c r="I10" s="101"/>
      <c r="J10" s="50">
        <v>1.6791998300000001E-3</v>
      </c>
      <c r="K10" s="46">
        <f t="shared" si="2"/>
        <v>-0.6015732905730945</v>
      </c>
      <c r="L10" s="165">
        <f t="shared" si="4"/>
        <v>160.58414472762246</v>
      </c>
      <c r="M10" s="165">
        <f t="shared" si="5"/>
        <v>0.62272648504381745</v>
      </c>
      <c r="N10" s="47">
        <v>-9.4818156499999993E-3</v>
      </c>
      <c r="O10" s="101">
        <f t="shared" si="6"/>
        <v>1.4329344213380795E-3</v>
      </c>
      <c r="P10" s="48">
        <v>6.5990768799999996E-7</v>
      </c>
      <c r="Q10" s="49">
        <f t="shared" si="7"/>
        <v>-0.26965288934999998</v>
      </c>
      <c r="R10" s="268">
        <v>4.2189607900000002E-2</v>
      </c>
      <c r="S10" s="45">
        <v>9.2275371000000002E-5</v>
      </c>
      <c r="T10" s="46">
        <f t="shared" si="8"/>
        <v>0.21871587718642913</v>
      </c>
      <c r="U10" s="47">
        <v>-1.3518541199999999E-2</v>
      </c>
      <c r="V10" s="48">
        <v>6.2460348200000005E-7</v>
      </c>
      <c r="W10" s="49">
        <f t="shared" si="9"/>
        <v>5.57081491E-2</v>
      </c>
      <c r="X10" s="51">
        <v>0.12189999999999999</v>
      </c>
      <c r="Y10" s="52">
        <v>1.64</v>
      </c>
      <c r="Z10" s="55">
        <f t="shared" si="10"/>
        <v>2.518357356251336E-2</v>
      </c>
      <c r="AA10" s="104">
        <v>2.4729999999999999E-2</v>
      </c>
      <c r="AB10" s="55">
        <v>1.4999999999999999E-4</v>
      </c>
      <c r="AC10" s="56">
        <f t="shared" si="11"/>
        <v>0.60655074807925602</v>
      </c>
      <c r="AD10" s="107">
        <f t="shared" si="12"/>
        <v>1.8341025576763488</v>
      </c>
      <c r="AE10" s="259">
        <f t="shared" si="13"/>
        <v>1.7485719344640942</v>
      </c>
      <c r="AF10" s="58">
        <f t="shared" si="14"/>
        <v>4.40352899409228E-4</v>
      </c>
      <c r="AG10" s="765"/>
      <c r="AH10" s="2"/>
      <c r="AI10" s="3">
        <v>2.518357356251336E-2</v>
      </c>
      <c r="AJ10" s="120">
        <f t="shared" si="15"/>
        <v>1.8341025576763488</v>
      </c>
      <c r="AL10" s="2">
        <f t="shared" si="16"/>
        <v>2.2120827674323216E-6</v>
      </c>
      <c r="AM10" s="2">
        <f t="shared" si="17"/>
        <v>2.2120827674323218</v>
      </c>
      <c r="AN10" s="101">
        <f t="shared" si="18"/>
        <v>2.2120827674323216E-6</v>
      </c>
      <c r="AO10" s="120">
        <f t="shared" si="17"/>
        <v>2.2120827674323218</v>
      </c>
      <c r="BA10" s="3"/>
      <c r="BC10" s="2"/>
    </row>
    <row r="11" spans="1:55" x14ac:dyDescent="0.35">
      <c r="A11" s="39">
        <v>2600</v>
      </c>
      <c r="B11" s="287">
        <f t="shared" si="3"/>
        <v>260</v>
      </c>
      <c r="C11" s="286">
        <f t="shared" si="0"/>
        <v>-106264.79999999993</v>
      </c>
      <c r="D11" s="41">
        <f t="shared" si="19"/>
        <v>28804.699999999953</v>
      </c>
      <c r="E11" s="65"/>
      <c r="F11" s="66"/>
      <c r="G11" s="47">
        <v>-0.52960423499999998</v>
      </c>
      <c r="H11" s="101">
        <f t="shared" si="1"/>
        <v>8.0036162485179863E-2</v>
      </c>
      <c r="I11" s="101"/>
      <c r="J11" s="50">
        <v>2.8950263300000002E-3</v>
      </c>
      <c r="K11" s="46">
        <f t="shared" si="2"/>
        <v>-0.54663957322773304</v>
      </c>
      <c r="L11" s="165">
        <f t="shared" si="4"/>
        <v>179.66160635483541</v>
      </c>
      <c r="M11" s="165">
        <f t="shared" si="5"/>
        <v>0.55660194756634829</v>
      </c>
      <c r="N11" s="47">
        <v>-9.4791482200000006E-3</v>
      </c>
      <c r="O11" s="101">
        <f t="shared" si="6"/>
        <v>1.4325313073771464E-3</v>
      </c>
      <c r="P11" s="48">
        <v>4.3578187899999999E-7</v>
      </c>
      <c r="Q11" s="49">
        <f t="shared" si="7"/>
        <v>-0.52012508678000002</v>
      </c>
      <c r="R11" s="268">
        <v>9.3717241699999995E-2</v>
      </c>
      <c r="S11" s="45">
        <v>3.8181930300000002E-4</v>
      </c>
      <c r="T11" s="46">
        <f t="shared" si="8"/>
        <v>0.40741628335824143</v>
      </c>
      <c r="U11" s="47">
        <v>-1.35194336E-2</v>
      </c>
      <c r="V11" s="48">
        <v>5.9308237900000001E-7</v>
      </c>
      <c r="W11" s="49">
        <f t="shared" si="9"/>
        <v>0.1072366753</v>
      </c>
      <c r="X11" s="51">
        <v>0.1103</v>
      </c>
      <c r="Y11" s="52">
        <v>1.66</v>
      </c>
      <c r="Z11" s="55">
        <f t="shared" si="10"/>
        <v>2.2741078225655815E-2</v>
      </c>
      <c r="AA11" s="274">
        <v>2.2395999999999999E-2</v>
      </c>
      <c r="AB11" s="55">
        <v>9.7999999999999997E-5</v>
      </c>
      <c r="AC11" s="56">
        <f t="shared" si="11"/>
        <v>0.43757813895338454</v>
      </c>
      <c r="AD11" s="106">
        <f t="shared" si="12"/>
        <v>1.5408029364878355</v>
      </c>
      <c r="AE11" s="260">
        <f t="shared" si="13"/>
        <v>1.7167045836980535</v>
      </c>
      <c r="AF11" s="58">
        <f t="shared" si="14"/>
        <v>3.9039713228219335E-4</v>
      </c>
      <c r="AG11" s="765"/>
      <c r="AH11" s="2"/>
      <c r="AI11" s="3">
        <v>2.2741078225655815E-2</v>
      </c>
      <c r="AJ11" s="120">
        <f t="shared" si="15"/>
        <v>1.5408029364878355</v>
      </c>
      <c r="AL11" s="2">
        <f t="shared" si="16"/>
        <v>4.7155492908431551E-6</v>
      </c>
      <c r="AM11" s="2">
        <f t="shared" si="17"/>
        <v>4.7155492908431551</v>
      </c>
      <c r="AN11" s="101">
        <f t="shared" si="18"/>
        <v>4.7155492908431551E-6</v>
      </c>
      <c r="AO11" s="120">
        <f t="shared" si="17"/>
        <v>4.7155492908431551</v>
      </c>
      <c r="BA11" s="3"/>
      <c r="BC11" s="2"/>
    </row>
    <row r="12" spans="1:55" x14ac:dyDescent="0.35">
      <c r="A12" s="39">
        <v>2700</v>
      </c>
      <c r="B12" s="287">
        <f t="shared" si="3"/>
        <v>270</v>
      </c>
      <c r="C12" s="286">
        <f t="shared" si="0"/>
        <v>-77460.099999999977</v>
      </c>
      <c r="D12" s="41">
        <f t="shared" si="19"/>
        <v>28804.70000000007</v>
      </c>
      <c r="E12" s="65"/>
      <c r="F12" s="66"/>
      <c r="G12" s="47">
        <v>-0.86817966700000004</v>
      </c>
      <c r="H12" s="101">
        <f t="shared" si="1"/>
        <v>0.13120319722205648</v>
      </c>
      <c r="I12" s="101"/>
      <c r="J12" s="50">
        <v>4.66913643E-3</v>
      </c>
      <c r="K12" s="46">
        <f t="shared" si="2"/>
        <v>-0.53780762294678341</v>
      </c>
      <c r="L12" s="165">
        <f t="shared" si="4"/>
        <v>183.91025391335825</v>
      </c>
      <c r="M12" s="165">
        <f t="shared" si="5"/>
        <v>0.54374347200407258</v>
      </c>
      <c r="N12" s="47">
        <v>-9.4775931000000008E-3</v>
      </c>
      <c r="O12" s="101">
        <f t="shared" si="6"/>
        <v>1.432296290682078E-3</v>
      </c>
      <c r="P12" s="48">
        <v>6.1721416700000003E-7</v>
      </c>
      <c r="Q12" s="49">
        <f t="shared" si="7"/>
        <v>-0.85870207390000008</v>
      </c>
      <c r="R12" s="268">
        <v>0.16354263599999999</v>
      </c>
      <c r="S12" s="45">
        <v>5.8599843999999999E-4</v>
      </c>
      <c r="T12" s="46">
        <f t="shared" si="8"/>
        <v>0.35831539366896348</v>
      </c>
      <c r="U12" s="47">
        <v>-1.3520621300000001E-2</v>
      </c>
      <c r="V12" s="48">
        <v>5.5694624200000005E-7</v>
      </c>
      <c r="W12" s="49">
        <f t="shared" si="9"/>
        <v>0.1770632573</v>
      </c>
      <c r="X12" s="51">
        <v>0.10009999999999999</v>
      </c>
      <c r="Y12" s="52">
        <v>1.64</v>
      </c>
      <c r="Z12" s="55">
        <f t="shared" si="10"/>
        <v>2.0640490566456983E-2</v>
      </c>
      <c r="AA12" s="274">
        <v>2.0250000000000001E-2</v>
      </c>
      <c r="AB12" s="55">
        <v>1E-4</v>
      </c>
      <c r="AC12" s="56">
        <f t="shared" si="11"/>
        <v>0.49382716049382713</v>
      </c>
      <c r="AD12" s="107">
        <f t="shared" si="12"/>
        <v>1.9283484763307768</v>
      </c>
      <c r="AE12" s="259">
        <f t="shared" si="13"/>
        <v>1.7127361923079094</v>
      </c>
      <c r="AF12" s="58">
        <f t="shared" si="14"/>
        <v>3.5351715220160855E-4</v>
      </c>
      <c r="AG12" s="765"/>
      <c r="AH12" s="2"/>
      <c r="AI12" s="3">
        <v>2.0640490566456983E-2</v>
      </c>
      <c r="AJ12" s="120">
        <f t="shared" si="15"/>
        <v>1.9283484763307768</v>
      </c>
      <c r="AL12" s="2">
        <f t="shared" si="16"/>
        <v>8.5784422967032974E-6</v>
      </c>
      <c r="AM12" s="2">
        <f t="shared" si="17"/>
        <v>8.5784422967032974</v>
      </c>
      <c r="AN12" s="101">
        <f t="shared" si="18"/>
        <v>8.5784422967032991E-6</v>
      </c>
      <c r="AO12" s="120">
        <f t="shared" si="17"/>
        <v>8.5784422967032992</v>
      </c>
      <c r="BA12" s="3"/>
      <c r="BC12" s="2"/>
    </row>
    <row r="13" spans="1:55" x14ac:dyDescent="0.35">
      <c r="A13" s="39">
        <v>2800</v>
      </c>
      <c r="B13" s="287">
        <f t="shared" si="3"/>
        <v>280</v>
      </c>
      <c r="C13" s="286">
        <f t="shared" si="0"/>
        <v>-48655.399999999907</v>
      </c>
      <c r="D13" s="41">
        <f t="shared" si="19"/>
        <v>28804.699999999953</v>
      </c>
      <c r="E13" s="65"/>
      <c r="F13" s="66"/>
      <c r="G13" s="47">
        <v>-1.27938956</v>
      </c>
      <c r="H13" s="101">
        <f t="shared" si="1"/>
        <v>0.19334707681482716</v>
      </c>
      <c r="I13" s="101"/>
      <c r="J13" s="50">
        <v>1.3755716600000001E-2</v>
      </c>
      <c r="K13" s="46">
        <f t="shared" si="2"/>
        <v>-1.0751781185395948</v>
      </c>
      <c r="L13" s="165">
        <f t="shared" si="4"/>
        <v>92.318992574430823</v>
      </c>
      <c r="M13" s="165">
        <f t="shared" si="5"/>
        <v>1.0832007283807443</v>
      </c>
      <c r="N13" s="47">
        <v>-9.4756603299999999E-3</v>
      </c>
      <c r="O13" s="101">
        <f t="shared" si="6"/>
        <v>1.4320042018286599E-3</v>
      </c>
      <c r="P13" s="48">
        <v>5.5095772499999996E-7</v>
      </c>
      <c r="Q13" s="49">
        <f t="shared" si="7"/>
        <v>-1.2699138996700001</v>
      </c>
      <c r="R13" s="268">
        <v>0.25876070400000001</v>
      </c>
      <c r="S13" s="45">
        <v>1.4241108300000001E-3</v>
      </c>
      <c r="T13" s="46">
        <f t="shared" si="8"/>
        <v>0.55035822981838844</v>
      </c>
      <c r="U13" s="47">
        <v>-1.35198705E-2</v>
      </c>
      <c r="V13" s="48">
        <v>4.6736537199999998E-7</v>
      </c>
      <c r="W13" s="49">
        <f t="shared" si="9"/>
        <v>0.27228057449999998</v>
      </c>
      <c r="X13" s="51">
        <v>0.10249999999999999</v>
      </c>
      <c r="Y13" s="52">
        <v>1.63</v>
      </c>
      <c r="Z13" s="55">
        <f t="shared" si="10"/>
        <v>2.1976890632902254E-2</v>
      </c>
      <c r="AA13" s="274">
        <v>2.146E-2</v>
      </c>
      <c r="AB13" s="55">
        <v>1.2999999999999999E-4</v>
      </c>
      <c r="AC13" s="56">
        <f t="shared" si="11"/>
        <v>0.60577819198508853</v>
      </c>
      <c r="AD13" s="107">
        <f t="shared" si="12"/>
        <v>2.4086236388735038</v>
      </c>
      <c r="AE13" s="259">
        <f t="shared" si="13"/>
        <v>1.738927030638354</v>
      </c>
      <c r="AF13" s="58">
        <f t="shared" si="14"/>
        <v>3.8216209170936571E-4</v>
      </c>
      <c r="AG13" s="765"/>
      <c r="AH13" s="2"/>
      <c r="AI13" s="3">
        <v>2.1976890632902254E-2</v>
      </c>
      <c r="AJ13" s="120">
        <f t="shared" si="15"/>
        <v>2.4086236388735038</v>
      </c>
      <c r="AL13" s="2">
        <f t="shared" si="16"/>
        <v>1.2389403899219513E-5</v>
      </c>
      <c r="AM13" s="2">
        <f t="shared" si="17"/>
        <v>12.389403899219513</v>
      </c>
      <c r="AN13" s="101">
        <f t="shared" si="18"/>
        <v>1.2389403899219513E-5</v>
      </c>
      <c r="AO13" s="120">
        <f t="shared" si="17"/>
        <v>12.389403899219513</v>
      </c>
      <c r="BA13" s="3"/>
      <c r="BC13" s="2"/>
    </row>
    <row r="14" spans="1:55" x14ac:dyDescent="0.35">
      <c r="A14" s="39">
        <v>2900</v>
      </c>
      <c r="B14" s="287">
        <f t="shared" si="3"/>
        <v>290</v>
      </c>
      <c r="C14" s="286">
        <f t="shared" si="0"/>
        <v>-19850.699999999953</v>
      </c>
      <c r="D14" s="67">
        <f t="shared" si="19"/>
        <v>28804.70000000007</v>
      </c>
      <c r="E14" s="42"/>
      <c r="F14" s="43"/>
      <c r="G14" s="71">
        <v>-1.8619711400000001</v>
      </c>
      <c r="H14" s="101">
        <f t="shared" si="1"/>
        <v>0.28138941280134511</v>
      </c>
      <c r="I14" s="101"/>
      <c r="J14" s="73">
        <v>1.86336174E-2</v>
      </c>
      <c r="K14" s="70">
        <f t="shared" si="2"/>
        <v>-1.000746842939789</v>
      </c>
      <c r="L14" s="165">
        <f t="shared" si="4"/>
        <v>99.416903034041596</v>
      </c>
      <c r="M14" s="165">
        <f t="shared" si="5"/>
        <v>1.0058651692837257</v>
      </c>
      <c r="N14" s="71">
        <v>-9.4746054299999997E-3</v>
      </c>
      <c r="O14" s="101">
        <f t="shared" si="6"/>
        <v>1.4318447806189606E-3</v>
      </c>
      <c r="P14" s="72">
        <v>3.57407835E-7</v>
      </c>
      <c r="Q14" s="76">
        <f t="shared" si="7"/>
        <v>-1.8524965345700002</v>
      </c>
      <c r="R14" s="269">
        <v>0.41808320599999999</v>
      </c>
      <c r="S14" s="69">
        <v>1.4889963100000001E-3</v>
      </c>
      <c r="T14" s="70">
        <f t="shared" si="8"/>
        <v>0.35614831895448107</v>
      </c>
      <c r="U14" s="71">
        <v>-1.3520127700000001E-2</v>
      </c>
      <c r="V14" s="72">
        <v>4.2848827100000002E-7</v>
      </c>
      <c r="W14" s="76">
        <f t="shared" si="9"/>
        <v>0.43160333369999998</v>
      </c>
      <c r="X14" s="74">
        <v>0.1147</v>
      </c>
      <c r="Y14" s="75">
        <v>1.64</v>
      </c>
      <c r="Z14" s="55">
        <f t="shared" si="10"/>
        <v>2.6723344120522758E-2</v>
      </c>
      <c r="AA14" s="274">
        <v>2.6179999999999998E-2</v>
      </c>
      <c r="AB14" s="55">
        <v>1.2999999999999999E-4</v>
      </c>
      <c r="AC14" s="56">
        <f t="shared" si="11"/>
        <v>0.49656226126814362</v>
      </c>
      <c r="AD14" s="107">
        <f t="shared" si="12"/>
        <v>2.0754168087194791</v>
      </c>
      <c r="AE14" s="259">
        <f t="shared" si="13"/>
        <v>1.7135267956223303</v>
      </c>
      <c r="AF14" s="58">
        <f t="shared" si="14"/>
        <v>4.5791166219152208E-4</v>
      </c>
      <c r="AG14" s="765"/>
      <c r="AH14" s="2"/>
      <c r="AI14" s="3">
        <v>2.6723344120522758E-2</v>
      </c>
      <c r="AJ14" s="120">
        <f t="shared" si="15"/>
        <v>2.0754168087194791</v>
      </c>
      <c r="AL14" s="2">
        <f t="shared" si="16"/>
        <v>1.6150798034612032E-5</v>
      </c>
      <c r="AM14" s="2">
        <f t="shared" si="17"/>
        <v>16.150798034612031</v>
      </c>
      <c r="AN14" s="101">
        <f t="shared" si="18"/>
        <v>1.6150798034612032E-5</v>
      </c>
      <c r="AO14" s="120">
        <f t="shared" si="17"/>
        <v>16.150798034612031</v>
      </c>
      <c r="BA14" s="3"/>
      <c r="BC14" s="2"/>
    </row>
    <row r="15" spans="1:55" x14ac:dyDescent="0.35">
      <c r="A15" s="39">
        <v>3000</v>
      </c>
      <c r="B15" s="287">
        <f t="shared" si="3"/>
        <v>300</v>
      </c>
      <c r="C15" s="286">
        <f t="shared" si="0"/>
        <v>8954.0000000001164</v>
      </c>
      <c r="D15" s="77">
        <f t="shared" si="19"/>
        <v>28804.699999999953</v>
      </c>
      <c r="E15" s="65"/>
      <c r="F15" s="66"/>
      <c r="G15" s="47">
        <v>-2.5508560299999998</v>
      </c>
      <c r="H15" s="101">
        <f t="shared" si="1"/>
        <v>0.38549678080535144</v>
      </c>
      <c r="I15" s="101"/>
      <c r="J15" s="50">
        <v>2.5379778499999998E-2</v>
      </c>
      <c r="K15" s="46">
        <f t="shared" si="2"/>
        <v>-0.99495142812901127</v>
      </c>
      <c r="L15" s="165">
        <f t="shared" si="4"/>
        <v>100.13416595282023</v>
      </c>
      <c r="M15" s="165">
        <f t="shared" si="5"/>
        <v>0.99866013811026855</v>
      </c>
      <c r="N15" s="47">
        <v>-9.4730771199999994E-3</v>
      </c>
      <c r="O15" s="101">
        <f t="shared" si="6"/>
        <v>1.4316138155710928E-3</v>
      </c>
      <c r="P15" s="48">
        <v>6.02110092E-7</v>
      </c>
      <c r="Q15" s="49">
        <f t="shared" si="7"/>
        <v>-2.5413829528799998</v>
      </c>
      <c r="R15" s="268">
        <v>0.59766191700000004</v>
      </c>
      <c r="S15" s="45">
        <v>1.9460508400000001E-3</v>
      </c>
      <c r="T15" s="46">
        <f t="shared" si="8"/>
        <v>0.32561064786732929</v>
      </c>
      <c r="U15" s="47">
        <v>-1.3520739699999999E-2</v>
      </c>
      <c r="V15" s="48">
        <v>4.2444030700000001E-7</v>
      </c>
      <c r="W15" s="49">
        <f t="shared" si="9"/>
        <v>0.61118265670000005</v>
      </c>
      <c r="X15" s="51">
        <v>0.1295</v>
      </c>
      <c r="Y15" s="52">
        <v>1.63</v>
      </c>
      <c r="Z15" s="55">
        <f t="shared" si="10"/>
        <v>3.1143733750537701E-2</v>
      </c>
      <c r="AA15" s="274">
        <v>3.0630000000000001E-2</v>
      </c>
      <c r="AB15" s="55">
        <v>1.1E-4</v>
      </c>
      <c r="AC15" s="56">
        <f t="shared" si="11"/>
        <v>0.35912504080966373</v>
      </c>
      <c r="AD15" s="107">
        <f t="shared" si="12"/>
        <v>1.6772241284286658</v>
      </c>
      <c r="AE15" s="259">
        <f t="shared" si="13"/>
        <v>1.6690928059687222</v>
      </c>
      <c r="AF15" s="58">
        <f t="shared" si="14"/>
        <v>5.1981781954027766E-4</v>
      </c>
      <c r="AG15" s="765"/>
      <c r="AH15" s="2"/>
      <c r="AI15" s="3">
        <v>3.11379410160601E-2</v>
      </c>
      <c r="AJ15" s="155">
        <f t="shared" si="15"/>
        <v>1.6583121647407737</v>
      </c>
      <c r="AL15" s="2">
        <f t="shared" si="16"/>
        <v>1.9624578786718145E-5</v>
      </c>
      <c r="AM15" s="2">
        <f t="shared" si="17"/>
        <v>19.624578786718146</v>
      </c>
      <c r="AN15" s="101">
        <f t="shared" si="18"/>
        <v>1.9624578786718145E-5</v>
      </c>
      <c r="AO15" s="120">
        <f t="shared" si="17"/>
        <v>19.624578786718146</v>
      </c>
      <c r="BA15" s="3"/>
      <c r="BC15" s="2"/>
    </row>
    <row r="16" spans="1:55" x14ac:dyDescent="0.35">
      <c r="A16" s="39">
        <v>3100</v>
      </c>
      <c r="B16" s="287">
        <f t="shared" si="3"/>
        <v>310</v>
      </c>
      <c r="C16" s="286">
        <f t="shared" si="0"/>
        <v>37758.70000000007</v>
      </c>
      <c r="D16" s="77">
        <f t="shared" si="19"/>
        <v>28804.70000000007</v>
      </c>
      <c r="E16" s="65"/>
      <c r="F16" s="66"/>
      <c r="G16" s="47">
        <v>-3.1390098499999999</v>
      </c>
      <c r="H16" s="101">
        <f t="shared" si="1"/>
        <v>0.47438121864184124</v>
      </c>
      <c r="I16" s="101"/>
      <c r="J16" s="50">
        <v>3.8240138700000002E-2</v>
      </c>
      <c r="K16" s="46">
        <f t="shared" si="2"/>
        <v>-1.2182229597017673</v>
      </c>
      <c r="L16" s="165">
        <f t="shared" si="4"/>
        <v>81.839102558372147</v>
      </c>
      <c r="M16" s="165">
        <f t="shared" si="5"/>
        <v>1.221909782413297</v>
      </c>
      <c r="N16" s="47">
        <v>-9.4712167799999997E-3</v>
      </c>
      <c r="O16" s="101">
        <f t="shared" si="6"/>
        <v>1.4313326726634692E-3</v>
      </c>
      <c r="P16" s="48">
        <v>5.3328826500000004E-7</v>
      </c>
      <c r="Q16" s="49">
        <f t="shared" si="7"/>
        <v>-3.1295386332199997</v>
      </c>
      <c r="R16" s="268">
        <v>0.74417530600000004</v>
      </c>
      <c r="S16" s="45">
        <v>3.17202928E-3</v>
      </c>
      <c r="T16" s="46">
        <f t="shared" si="8"/>
        <v>0.42624758634493037</v>
      </c>
      <c r="U16" s="47">
        <v>-1.35204195E-2</v>
      </c>
      <c r="V16" s="48">
        <v>2.0740690999999999E-7</v>
      </c>
      <c r="W16" s="49">
        <f t="shared" si="9"/>
        <v>0.75769572550000008</v>
      </c>
      <c r="X16" s="51">
        <v>0.13750000000000001</v>
      </c>
      <c r="Y16" s="52">
        <v>1.63</v>
      </c>
      <c r="Z16" s="55">
        <f t="shared" si="10"/>
        <v>3.3290262388950088E-2</v>
      </c>
      <c r="AA16" s="274">
        <v>3.2731999999999997E-2</v>
      </c>
      <c r="AB16" s="55">
        <v>9.5000000000000005E-5</v>
      </c>
      <c r="AC16" s="56">
        <f t="shared" si="11"/>
        <v>0.29023585482097031</v>
      </c>
      <c r="AD16" s="107">
        <f t="shared" si="12"/>
        <v>1.7055553860139658</v>
      </c>
      <c r="AE16" s="259">
        <f t="shared" si="13"/>
        <v>1.6556378986431963</v>
      </c>
      <c r="AF16" s="58">
        <f t="shared" si="14"/>
        <v>5.5116620066921959E-4</v>
      </c>
      <c r="AG16" s="765"/>
      <c r="AH16" s="2"/>
      <c r="AI16" s="3">
        <v>3.3286283212725101E-2</v>
      </c>
      <c r="AJ16" s="120">
        <f t="shared" si="15"/>
        <v>1.6933985479808875</v>
      </c>
      <c r="AL16" s="2">
        <f t="shared" si="16"/>
        <v>2.2760280968872726E-5</v>
      </c>
      <c r="AM16" s="2">
        <f t="shared" si="17"/>
        <v>22.760280968872728</v>
      </c>
      <c r="AN16" s="101">
        <f t="shared" si="18"/>
        <v>2.2760280968872723E-5</v>
      </c>
      <c r="AO16" s="120">
        <f t="shared" si="17"/>
        <v>22.760280968872724</v>
      </c>
      <c r="BA16" s="3"/>
      <c r="BC16" s="2"/>
    </row>
    <row r="17" spans="1:55" x14ac:dyDescent="0.35">
      <c r="A17" s="39">
        <v>3200</v>
      </c>
      <c r="B17" s="287">
        <f t="shared" si="3"/>
        <v>320</v>
      </c>
      <c r="C17" s="286">
        <f t="shared" si="0"/>
        <v>66563.40000000014</v>
      </c>
      <c r="D17" s="41">
        <f t="shared" si="19"/>
        <v>28804.699999999953</v>
      </c>
      <c r="E17" s="65"/>
      <c r="F17" s="66"/>
      <c r="G17" s="47">
        <v>-3.6094263899999999</v>
      </c>
      <c r="H17" s="101">
        <f t="shared" si="1"/>
        <v>0.54547267173635083</v>
      </c>
      <c r="I17" s="101"/>
      <c r="J17" s="50">
        <v>3.6750655799999997E-2</v>
      </c>
      <c r="K17" s="46">
        <f t="shared" si="2"/>
        <v>-1.0181854906867902</v>
      </c>
      <c r="L17" s="165">
        <f t="shared" si="4"/>
        <v>97.956250920603125</v>
      </c>
      <c r="M17" s="165">
        <f t="shared" si="5"/>
        <v>1.0208638964863344</v>
      </c>
      <c r="N17" s="47">
        <v>-9.4699286399999999E-3</v>
      </c>
      <c r="O17" s="101">
        <f t="shared" si="6"/>
        <v>1.4311380031809949E-3</v>
      </c>
      <c r="P17" s="48">
        <v>4.8884728199999997E-7</v>
      </c>
      <c r="Q17" s="49">
        <f t="shared" si="7"/>
        <v>-3.5999564613599997</v>
      </c>
      <c r="R17" s="268">
        <v>0.85131550300000003</v>
      </c>
      <c r="S17" s="45">
        <v>2.9151968600000001E-3</v>
      </c>
      <c r="T17" s="46">
        <f t="shared" si="8"/>
        <v>0.34243436771995445</v>
      </c>
      <c r="U17" s="47">
        <v>-1.35203346E-2</v>
      </c>
      <c r="V17" s="48">
        <v>3.22567575E-7</v>
      </c>
      <c r="W17" s="49">
        <f t="shared" si="9"/>
        <v>0.86483583760000005</v>
      </c>
      <c r="X17" s="51">
        <v>0.14219999999999999</v>
      </c>
      <c r="Y17" s="52">
        <v>1.63</v>
      </c>
      <c r="Z17" s="55">
        <f>X17*(W17/-Q17)</f>
        <v>3.4161428735796563E-2</v>
      </c>
      <c r="AA17" s="274">
        <v>3.3631000000000001E-2</v>
      </c>
      <c r="AB17" s="55">
        <v>9.6000000000000002E-5</v>
      </c>
      <c r="AC17" s="56">
        <f t="shared" si="11"/>
        <v>0.28545092325532995</v>
      </c>
      <c r="AD17" s="106">
        <f t="shared" si="12"/>
        <v>1.5772017953571467</v>
      </c>
      <c r="AE17" s="260">
        <f t="shared" si="13"/>
        <v>1.6548057981489308</v>
      </c>
      <c r="AF17" s="58">
        <f t="shared" si="14"/>
        <v>5.6530530345047655E-4</v>
      </c>
      <c r="AG17" s="765"/>
      <c r="AH17" s="2"/>
      <c r="AI17" s="3">
        <v>3.4159925632932193E-2</v>
      </c>
      <c r="AJ17" s="155">
        <f t="shared" si="15"/>
        <v>1.5727323984781667</v>
      </c>
      <c r="AL17" s="2">
        <f t="shared" si="16"/>
        <v>2.5316149517299576E-5</v>
      </c>
      <c r="AM17" s="2">
        <f t="shared" si="17"/>
        <v>25.316149517299575</v>
      </c>
      <c r="AN17" s="101">
        <f t="shared" si="18"/>
        <v>2.5316149517299576E-5</v>
      </c>
      <c r="AO17" s="120">
        <f t="shared" si="17"/>
        <v>25.316149517299575</v>
      </c>
      <c r="BA17" s="3"/>
      <c r="BC17" s="2"/>
    </row>
    <row r="18" spans="1:55" x14ac:dyDescent="0.35">
      <c r="A18" s="39">
        <v>3300</v>
      </c>
      <c r="B18" s="287">
        <f t="shared" si="3"/>
        <v>330</v>
      </c>
      <c r="C18" s="286">
        <f t="shared" si="0"/>
        <v>95368.100000000093</v>
      </c>
      <c r="D18" s="41">
        <f t="shared" si="19"/>
        <v>28804.699999999953</v>
      </c>
      <c r="E18" s="65"/>
      <c r="F18" s="66"/>
      <c r="G18" s="47">
        <v>-4.0328645300000003</v>
      </c>
      <c r="H18" s="101">
        <f t="shared" si="1"/>
        <v>0.60946453874901241</v>
      </c>
      <c r="I18" s="101"/>
      <c r="J18" s="50">
        <v>4.15534761E-2</v>
      </c>
      <c r="K18" s="46">
        <f t="shared" si="2"/>
        <v>-1.0303712359016433</v>
      </c>
      <c r="L18" s="165">
        <f t="shared" si="4"/>
        <v>96.824522881694023</v>
      </c>
      <c r="M18" s="165">
        <f t="shared" si="5"/>
        <v>1.0327962072396264</v>
      </c>
      <c r="N18" s="47">
        <v>-9.4690318900000001E-3</v>
      </c>
      <c r="O18" s="101">
        <f t="shared" si="6"/>
        <v>1.4310024823071699E-3</v>
      </c>
      <c r="P18" s="48">
        <v>7.4786730599999995E-7</v>
      </c>
      <c r="Q18" s="49">
        <f t="shared" si="7"/>
        <v>-4.0233954981100002</v>
      </c>
      <c r="R18" s="268">
        <v>0.95235896099999995</v>
      </c>
      <c r="S18" s="45">
        <v>3.56519167E-3</v>
      </c>
      <c r="T18" s="46">
        <f t="shared" si="8"/>
        <v>0.37435376953417465</v>
      </c>
      <c r="U18" s="47">
        <v>-1.3520880000000001E-2</v>
      </c>
      <c r="V18" s="48">
        <v>5.4884052199999997E-7</v>
      </c>
      <c r="W18" s="49">
        <f t="shared" si="9"/>
        <v>0.96587984099999991</v>
      </c>
      <c r="X18" s="51">
        <v>0.14549999999999999</v>
      </c>
      <c r="Y18" s="52">
        <v>1.63</v>
      </c>
      <c r="Z18" s="55">
        <f t="shared" si="10"/>
        <v>3.4929580482832692E-2</v>
      </c>
      <c r="AA18" s="274">
        <v>3.4394000000000001E-2</v>
      </c>
      <c r="AB18" s="55">
        <v>8.8999999999999995E-5</v>
      </c>
      <c r="AC18" s="56">
        <f t="shared" si="11"/>
        <v>0.25876606384834561</v>
      </c>
      <c r="AD18" s="106">
        <f t="shared" si="12"/>
        <v>1.5571916114226063</v>
      </c>
      <c r="AE18" s="260">
        <f t="shared" si="13"/>
        <v>1.6504120321300271</v>
      </c>
      <c r="AF18" s="58">
        <f t="shared" si="14"/>
        <v>5.7648199906121234E-4</v>
      </c>
      <c r="AG18" s="765"/>
      <c r="AH18" s="2"/>
      <c r="AI18" s="3">
        <v>3.4931033176264177E-2</v>
      </c>
      <c r="AJ18" s="155">
        <f t="shared" si="15"/>
        <v>1.5614152941332096</v>
      </c>
      <c r="AL18" s="2">
        <f t="shared" si="16"/>
        <v>2.7652202736151203E-5</v>
      </c>
      <c r="AM18" s="2">
        <f t="shared" si="17"/>
        <v>27.652202736151203</v>
      </c>
      <c r="AN18" s="101">
        <f t="shared" si="18"/>
        <v>2.7652202736151203E-5</v>
      </c>
      <c r="AO18" s="120">
        <f t="shared" si="17"/>
        <v>27.652202736151203</v>
      </c>
      <c r="BA18" s="3"/>
      <c r="BC18" s="2"/>
    </row>
    <row r="19" spans="1:55" x14ac:dyDescent="0.35">
      <c r="A19" s="39">
        <v>3400</v>
      </c>
      <c r="B19" s="287">
        <f t="shared" si="3"/>
        <v>340</v>
      </c>
      <c r="C19" s="286">
        <f t="shared" si="0"/>
        <v>124172.80000000005</v>
      </c>
      <c r="D19" s="41">
        <f t="shared" si="19"/>
        <v>28804.70000000007</v>
      </c>
      <c r="E19" s="65"/>
      <c r="F19" s="66"/>
      <c r="G19" s="47">
        <v>-4.4234534099999996</v>
      </c>
      <c r="H19" s="101">
        <f t="shared" si="1"/>
        <v>0.66849207855821413</v>
      </c>
      <c r="I19" s="101"/>
      <c r="J19" s="50">
        <v>4.44887224E-2</v>
      </c>
      <c r="K19" s="46">
        <f t="shared" si="2"/>
        <v>-1.0057463767884469</v>
      </c>
      <c r="L19" s="165">
        <f t="shared" si="4"/>
        <v>99.215840129855124</v>
      </c>
      <c r="M19" s="165">
        <f t="shared" si="5"/>
        <v>1.0079035753677896</v>
      </c>
      <c r="N19" s="47">
        <v>-9.4674401999999998E-3</v>
      </c>
      <c r="O19" s="101">
        <f t="shared" si="6"/>
        <v>1.4307619389900153E-3</v>
      </c>
      <c r="P19" s="48">
        <v>7.2127218599999999E-7</v>
      </c>
      <c r="Q19" s="49">
        <f t="shared" si="7"/>
        <v>-4.4139859697999997</v>
      </c>
      <c r="R19" s="268">
        <v>1.0552988999999999</v>
      </c>
      <c r="S19" s="45">
        <v>6.0864214799999997E-3</v>
      </c>
      <c r="T19" s="46">
        <f t="shared" si="8"/>
        <v>0.5767485856376805</v>
      </c>
      <c r="U19" s="47">
        <v>-1.3521750399999999E-2</v>
      </c>
      <c r="V19" s="48">
        <v>6.7262035499999996E-7</v>
      </c>
      <c r="W19" s="49">
        <f t="shared" si="9"/>
        <v>1.0688206504</v>
      </c>
      <c r="X19" s="51">
        <v>0.14779999999999999</v>
      </c>
      <c r="Y19" s="52">
        <v>1.63</v>
      </c>
      <c r="Z19" s="55">
        <f t="shared" si="10"/>
        <v>3.5788897656210218E-2</v>
      </c>
      <c r="AA19" s="274">
        <v>3.5340000000000003E-2</v>
      </c>
      <c r="AB19" s="55">
        <v>9.0000000000000006E-5</v>
      </c>
      <c r="AC19" s="56">
        <f t="shared" si="11"/>
        <v>0.25466893039049238</v>
      </c>
      <c r="AD19" s="106">
        <f t="shared" si="12"/>
        <v>1.2702253995761594</v>
      </c>
      <c r="AE19" s="260">
        <f t="shared" si="13"/>
        <v>1.6497746100926143</v>
      </c>
      <c r="AF19" s="58">
        <f t="shared" si="14"/>
        <v>5.9043614676418691E-4</v>
      </c>
      <c r="AG19" s="765"/>
      <c r="AH19" s="2"/>
      <c r="AI19" s="3">
        <v>3.5792691279361771E-2</v>
      </c>
      <c r="AJ19" s="155">
        <f t="shared" si="15"/>
        <v>1.2809600434685</v>
      </c>
      <c r="AL19" s="2">
        <f t="shared" si="16"/>
        <v>2.9864587075778078E-5</v>
      </c>
      <c r="AM19" s="2">
        <f t="shared" si="17"/>
        <v>29.864587075778079</v>
      </c>
      <c r="AN19" s="101">
        <f t="shared" si="18"/>
        <v>2.9864587075778078E-5</v>
      </c>
      <c r="AO19" s="120">
        <f t="shared" si="17"/>
        <v>29.864587075778079</v>
      </c>
      <c r="BA19" s="3"/>
      <c r="BC19" s="2"/>
    </row>
    <row r="20" spans="1:55" x14ac:dyDescent="0.35">
      <c r="A20" s="39">
        <v>3500</v>
      </c>
      <c r="B20" s="287">
        <f t="shared" si="3"/>
        <v>350</v>
      </c>
      <c r="C20" s="286">
        <f t="shared" si="0"/>
        <v>152977.50000000012</v>
      </c>
      <c r="D20" s="41">
        <f t="shared" si="19"/>
        <v>28804.699999999953</v>
      </c>
      <c r="E20" s="65"/>
      <c r="F20" s="66"/>
      <c r="G20" s="47">
        <v>-4.69460371</v>
      </c>
      <c r="H20" s="101">
        <f t="shared" si="1"/>
        <v>0.70946952555447029</v>
      </c>
      <c r="I20" s="101"/>
      <c r="J20" s="50">
        <v>4.8847433000000003E-2</v>
      </c>
      <c r="K20" s="46">
        <f t="shared" si="2"/>
        <v>-1.0405017338513542</v>
      </c>
      <c r="L20" s="165">
        <f t="shared" si="4"/>
        <v>95.91366244799859</v>
      </c>
      <c r="M20" s="165">
        <f t="shared" si="5"/>
        <v>1.0426043323516803</v>
      </c>
      <c r="N20" s="47">
        <v>-9.4675094899999996E-3</v>
      </c>
      <c r="O20" s="101">
        <f t="shared" si="6"/>
        <v>1.4307724104049551E-3</v>
      </c>
      <c r="P20" s="48">
        <v>5.49803471E-7</v>
      </c>
      <c r="Q20" s="49">
        <f t="shared" si="7"/>
        <v>-4.6851362005099997</v>
      </c>
      <c r="R20" s="268">
        <v>1.13735655</v>
      </c>
      <c r="S20" s="45">
        <v>5.9385790500000001E-3</v>
      </c>
      <c r="T20" s="46">
        <f t="shared" si="8"/>
        <v>0.52213873037439318</v>
      </c>
      <c r="U20" s="47">
        <v>-1.3522295599999999E-2</v>
      </c>
      <c r="V20" s="48">
        <v>5.71283059E-7</v>
      </c>
      <c r="W20" s="49">
        <f t="shared" si="9"/>
        <v>1.1508788456000001</v>
      </c>
      <c r="X20" s="51">
        <v>0.14810000000000001</v>
      </c>
      <c r="Y20" s="52">
        <v>1.63</v>
      </c>
      <c r="Z20" s="55">
        <f t="shared" si="10"/>
        <v>3.6379979095336919E-2</v>
      </c>
      <c r="AA20" s="274">
        <v>3.5982E-2</v>
      </c>
      <c r="AB20" s="55">
        <v>9.2E-5</v>
      </c>
      <c r="AC20" s="56">
        <f t="shared" si="11"/>
        <v>0.25568339725418265</v>
      </c>
      <c r="AD20" s="106">
        <f t="shared" si="12"/>
        <v>1.1060505123031477</v>
      </c>
      <c r="AE20" s="260">
        <f t="shared" si="13"/>
        <v>1.6499315136185015</v>
      </c>
      <c r="AF20" s="58">
        <f t="shared" si="14"/>
        <v>6.0024473974178681E-4</v>
      </c>
      <c r="AG20" s="765"/>
      <c r="AH20" s="2"/>
      <c r="AI20" s="3">
        <v>3.6384241843732901E-2</v>
      </c>
      <c r="AJ20" s="155">
        <f t="shared" si="15"/>
        <v>1.1178974035153706</v>
      </c>
      <c r="AL20" s="2">
        <f t="shared" si="16"/>
        <v>3.1634950712424038E-5</v>
      </c>
      <c r="AM20" s="2">
        <f t="shared" si="17"/>
        <v>31.634950712424036</v>
      </c>
      <c r="AN20" s="101">
        <f t="shared" si="18"/>
        <v>3.1634950712424038E-5</v>
      </c>
      <c r="AO20" s="120">
        <f t="shared" si="17"/>
        <v>31.634950712424036</v>
      </c>
      <c r="BA20" s="3"/>
      <c r="BC20" s="2"/>
    </row>
    <row r="21" spans="1:55" x14ac:dyDescent="0.35">
      <c r="A21" s="39">
        <v>3600</v>
      </c>
      <c r="B21" s="287">
        <f t="shared" si="3"/>
        <v>360</v>
      </c>
      <c r="C21" s="286">
        <f t="shared" si="0"/>
        <v>181782.20000000007</v>
      </c>
      <c r="D21" s="41">
        <f t="shared" si="19"/>
        <v>28804.70000000007</v>
      </c>
      <c r="E21" s="65"/>
      <c r="F21" s="66"/>
      <c r="G21" s="47">
        <v>-4.7775955899999998</v>
      </c>
      <c r="H21" s="101">
        <f t="shared" si="1"/>
        <v>0.7220116299291276</v>
      </c>
      <c r="I21" s="101"/>
      <c r="J21" s="50">
        <v>4.9975203500000002E-2</v>
      </c>
      <c r="K21" s="46">
        <f t="shared" si="2"/>
        <v>-1.046032519047934</v>
      </c>
      <c r="L21" s="165">
        <f t="shared" si="4"/>
        <v>95.409887791846742</v>
      </c>
      <c r="M21" s="165">
        <f t="shared" si="5"/>
        <v>1.0481093974050928</v>
      </c>
      <c r="N21" s="47">
        <v>-9.4670315400000003E-3</v>
      </c>
      <c r="O21" s="101">
        <f t="shared" si="6"/>
        <v>1.430700180461666E-3</v>
      </c>
      <c r="P21" s="48">
        <v>3.9679434899999999E-7</v>
      </c>
      <c r="Q21" s="49">
        <f t="shared" si="7"/>
        <v>-4.7681285584599999</v>
      </c>
      <c r="R21" s="268">
        <v>1.1872215399999999</v>
      </c>
      <c r="S21" s="45">
        <v>5.8361452499999999E-3</v>
      </c>
      <c r="T21" s="46">
        <f t="shared" si="8"/>
        <v>0.491580135077401</v>
      </c>
      <c r="U21" s="47">
        <v>-1.3523255200000001E-2</v>
      </c>
      <c r="V21" s="48">
        <v>6.5061189300000001E-7</v>
      </c>
      <c r="W21" s="49">
        <f t="shared" si="9"/>
        <v>1.2007447951999999</v>
      </c>
      <c r="X21" s="51">
        <v>0.1447</v>
      </c>
      <c r="Y21" s="52">
        <v>1.63</v>
      </c>
      <c r="Z21" s="55">
        <f t="shared" si="10"/>
        <v>3.6439405887486523E-2</v>
      </c>
      <c r="AA21" s="274">
        <v>3.585E-2</v>
      </c>
      <c r="AB21" s="55">
        <v>1E-4</v>
      </c>
      <c r="AC21" s="56">
        <f t="shared" si="11"/>
        <v>0.2789400278940028</v>
      </c>
      <c r="AD21" s="106">
        <f t="shared" si="12"/>
        <v>1.644088946963802</v>
      </c>
      <c r="AE21" s="261">
        <f t="shared" si="13"/>
        <v>1.6536951167496101</v>
      </c>
      <c r="AF21" s="58">
        <f t="shared" si="14"/>
        <v>6.0259667573393458E-4</v>
      </c>
      <c r="AG21" s="765"/>
      <c r="AH21" s="2"/>
      <c r="AI21" s="3">
        <v>3.6442029524710429E-2</v>
      </c>
      <c r="AJ21" s="156">
        <f t="shared" si="15"/>
        <v>1.6514073213680023</v>
      </c>
      <c r="AL21" s="2">
        <f t="shared" si="16"/>
        <v>3.2951821412992397E-5</v>
      </c>
      <c r="AM21" s="2">
        <f t="shared" si="17"/>
        <v>32.951821412992395</v>
      </c>
      <c r="AN21" s="101">
        <f t="shared" si="18"/>
        <v>3.2951821412992404E-5</v>
      </c>
      <c r="AO21" s="120">
        <f t="shared" si="17"/>
        <v>32.951821412992402</v>
      </c>
      <c r="BA21" s="3"/>
      <c r="BC21" s="2"/>
    </row>
    <row r="22" spans="1:55" x14ac:dyDescent="0.35">
      <c r="A22" s="39">
        <v>3700</v>
      </c>
      <c r="B22" s="287">
        <f t="shared" si="3"/>
        <v>370</v>
      </c>
      <c r="C22" s="286">
        <f t="shared" si="0"/>
        <v>210586.90000000014</v>
      </c>
      <c r="D22" s="41">
        <f t="shared" si="19"/>
        <v>28804.699999999953</v>
      </c>
      <c r="E22" s="65"/>
      <c r="F22" s="66"/>
      <c r="G22" s="47">
        <v>-4.94338678</v>
      </c>
      <c r="H22" s="101">
        <f t="shared" si="1"/>
        <v>0.74706673663810508</v>
      </c>
      <c r="I22" s="101"/>
      <c r="J22" s="50">
        <v>5.3121661399999999E-2</v>
      </c>
      <c r="K22" s="46">
        <f t="shared" si="2"/>
        <v>-1.0746005474408782</v>
      </c>
      <c r="L22" s="165">
        <f t="shared" si="4"/>
        <v>92.879640075134802</v>
      </c>
      <c r="M22" s="165">
        <f t="shared" si="5"/>
        <v>1.0766622256406808</v>
      </c>
      <c r="N22" s="47">
        <v>-9.4659887899999993E-3</v>
      </c>
      <c r="O22" s="101">
        <f t="shared" si="6"/>
        <v>1.4305425954143495E-3</v>
      </c>
      <c r="P22" s="48">
        <v>4.5979411999999998E-7</v>
      </c>
      <c r="Q22" s="49">
        <f t="shared" si="7"/>
        <v>-4.9339207912100003</v>
      </c>
      <c r="R22" s="268">
        <v>1.4272224200000001</v>
      </c>
      <c r="S22" s="45">
        <v>9.0547845199999994E-3</v>
      </c>
      <c r="T22" s="46">
        <f t="shared" si="8"/>
        <v>0.63443401624814721</v>
      </c>
      <c r="U22" s="47">
        <v>-1.3523373199999999E-2</v>
      </c>
      <c r="V22" s="48">
        <v>5.7303805500000004E-7</v>
      </c>
      <c r="W22" s="49">
        <f t="shared" si="9"/>
        <v>1.4407457932000001</v>
      </c>
      <c r="X22" s="51">
        <v>0.1449</v>
      </c>
      <c r="Y22" s="52">
        <v>1.33</v>
      </c>
      <c r="Z22" s="55">
        <f t="shared" si="10"/>
        <v>4.2312001807285289E-2</v>
      </c>
      <c r="AA22" s="274">
        <v>4.1169999999999998E-2</v>
      </c>
      <c r="AB22" s="55">
        <v>2.5999999999999998E-4</v>
      </c>
      <c r="AC22" s="56">
        <f t="shared" si="11"/>
        <v>0.63152781151323778</v>
      </c>
      <c r="AD22" s="107">
        <f t="shared" si="12"/>
        <v>2.7738688542270848</v>
      </c>
      <c r="AE22" s="259">
        <f t="shared" si="13"/>
        <v>1.47232040558932</v>
      </c>
      <c r="AF22" s="58">
        <f t="shared" si="14"/>
        <v>6.2296823662198319E-4</v>
      </c>
      <c r="AG22" s="765"/>
      <c r="AH22" s="2"/>
      <c r="AI22" s="3">
        <v>4.2311069636428389E-2</v>
      </c>
      <c r="AJ22" s="120">
        <f t="shared" si="15"/>
        <v>2.7716046549147211</v>
      </c>
      <c r="AL22" s="2">
        <f t="shared" si="16"/>
        <v>3.4050523058730159E-5</v>
      </c>
      <c r="AM22" s="2">
        <f t="shared" si="17"/>
        <v>34.050523058730157</v>
      </c>
      <c r="AN22" s="101">
        <f t="shared" si="18"/>
        <v>3.4050523058730159E-5</v>
      </c>
      <c r="AO22" s="120">
        <f t="shared" si="17"/>
        <v>34.050523058730157</v>
      </c>
      <c r="BA22" s="3"/>
      <c r="BC22" s="2"/>
    </row>
    <row r="23" spans="1:55" x14ac:dyDescent="0.35">
      <c r="A23" s="39">
        <v>3800</v>
      </c>
      <c r="B23" s="287">
        <f t="shared" si="3"/>
        <v>380</v>
      </c>
      <c r="C23" s="286">
        <f t="shared" si="0"/>
        <v>239391.60000000009</v>
      </c>
      <c r="D23" s="41">
        <f t="shared" si="19"/>
        <v>28804.699999999953</v>
      </c>
      <c r="E23" s="65"/>
      <c r="F23" s="66"/>
      <c r="G23" s="47">
        <v>-5.4794788900000002</v>
      </c>
      <c r="H23" s="101">
        <f t="shared" si="1"/>
        <v>0.82808337583281033</v>
      </c>
      <c r="I23" s="101"/>
      <c r="J23" s="50">
        <v>5.72370824E-2</v>
      </c>
      <c r="K23" s="46">
        <f t="shared" si="2"/>
        <v>-1.0445716380887453</v>
      </c>
      <c r="L23" s="165">
        <f t="shared" si="4"/>
        <v>95.567645192416293</v>
      </c>
      <c r="M23" s="165">
        <f t="shared" si="5"/>
        <v>1.0463792405751924</v>
      </c>
      <c r="N23" s="47">
        <v>-9.4657070099999994E-3</v>
      </c>
      <c r="O23" s="101">
        <f t="shared" si="6"/>
        <v>1.4305000115595111E-3</v>
      </c>
      <c r="P23" s="48">
        <v>6.36014498E-7</v>
      </c>
      <c r="Q23" s="49">
        <f t="shared" si="7"/>
        <v>-5.4700131829899998</v>
      </c>
      <c r="R23" s="268">
        <v>2.1375048099999998</v>
      </c>
      <c r="S23" s="45">
        <v>1.4545376699999999E-2</v>
      </c>
      <c r="T23" s="46">
        <f t="shared" si="8"/>
        <v>0.68048392836131211</v>
      </c>
      <c r="U23" s="47">
        <v>-1.3523280299999999E-2</v>
      </c>
      <c r="V23" s="48">
        <v>3.92250208E-7</v>
      </c>
      <c r="W23" s="49">
        <f t="shared" si="9"/>
        <v>2.1510280902999996</v>
      </c>
      <c r="X23" s="51">
        <v>0.15670000000000001</v>
      </c>
      <c r="Y23" s="52">
        <v>0.79</v>
      </c>
      <c r="Z23" s="55">
        <f t="shared" si="10"/>
        <v>6.1620711042923673E-2</v>
      </c>
      <c r="AA23" s="274">
        <v>6.0400000000000002E-2</v>
      </c>
      <c r="AB23" s="55">
        <v>4.2000000000000002E-4</v>
      </c>
      <c r="AC23" s="56">
        <f t="shared" si="11"/>
        <v>0.69536423841059603</v>
      </c>
      <c r="AD23" s="107">
        <f t="shared" si="12"/>
        <v>2.0210447730524352</v>
      </c>
      <c r="AE23" s="259">
        <f t="shared" si="13"/>
        <v>1.0524406985955779</v>
      </c>
      <c r="AF23" s="58">
        <f t="shared" si="14"/>
        <v>6.485214417797083E-4</v>
      </c>
      <c r="AG23" s="765"/>
      <c r="AH23" s="2"/>
      <c r="AI23" s="3">
        <v>6.1611837660533485E-2</v>
      </c>
      <c r="AJ23" s="120">
        <f t="shared" si="15"/>
        <v>2.0063537426051035</v>
      </c>
      <c r="AL23" s="2">
        <f t="shared" si="16"/>
        <v>3.4907550625335037E-5</v>
      </c>
      <c r="AM23" s="2">
        <f t="shared" si="17"/>
        <v>34.907550625335034</v>
      </c>
      <c r="AN23" s="101">
        <f t="shared" si="18"/>
        <v>3.4907550625335037E-5</v>
      </c>
      <c r="AO23" s="120">
        <f t="shared" si="17"/>
        <v>34.907550625335034</v>
      </c>
      <c r="BA23" s="3"/>
      <c r="BC23" s="2"/>
    </row>
    <row r="24" spans="1:55" x14ac:dyDescent="0.35">
      <c r="A24" s="39">
        <v>3900</v>
      </c>
      <c r="B24" s="287">
        <f t="shared" si="3"/>
        <v>390</v>
      </c>
      <c r="C24" s="286">
        <f t="shared" si="0"/>
        <v>268196.30000000005</v>
      </c>
      <c r="D24" s="67">
        <f t="shared" si="19"/>
        <v>28804.699999999953</v>
      </c>
      <c r="E24" s="42"/>
      <c r="F24" s="43"/>
      <c r="G24" s="71">
        <v>-6.0408513800000003</v>
      </c>
      <c r="H24" s="101">
        <f t="shared" si="1"/>
        <v>0.91292049920730534</v>
      </c>
      <c r="I24" s="101"/>
      <c r="J24" s="73">
        <v>6.8256838700000003E-2</v>
      </c>
      <c r="K24" s="70">
        <f t="shared" si="2"/>
        <v>-1.1299208407275865</v>
      </c>
      <c r="L24" s="165">
        <f t="shared" si="4"/>
        <v>88.36311025620337</v>
      </c>
      <c r="M24" s="165">
        <f t="shared" si="5"/>
        <v>1.1316939807806241</v>
      </c>
      <c r="N24" s="71">
        <v>-9.4648159900000001E-3</v>
      </c>
      <c r="O24" s="101">
        <f t="shared" si="6"/>
        <v>1.4303653566289335E-3</v>
      </c>
      <c r="P24" s="72">
        <v>5.85650041E-7</v>
      </c>
      <c r="Q24" s="78">
        <f t="shared" si="7"/>
        <v>-6.03138656401</v>
      </c>
      <c r="R24" s="269">
        <v>2.8937779899999998</v>
      </c>
      <c r="S24" s="69">
        <v>1.2979930900000001E-2</v>
      </c>
      <c r="T24" s="70">
        <f t="shared" si="8"/>
        <v>0.44854618926727002</v>
      </c>
      <c r="U24" s="71">
        <v>-1.35231528E-2</v>
      </c>
      <c r="V24" s="72">
        <v>7.0414766599999997E-7</v>
      </c>
      <c r="W24" s="78">
        <f t="shared" si="9"/>
        <v>2.9073011427999997</v>
      </c>
      <c r="X24" s="74">
        <v>0.1691</v>
      </c>
      <c r="Y24" s="75">
        <v>0.65</v>
      </c>
      <c r="Z24" s="55">
        <f t="shared" si="10"/>
        <v>8.1511045267942603E-2</v>
      </c>
      <c r="AA24" s="274">
        <v>8.0509999999999998E-2</v>
      </c>
      <c r="AB24" s="55">
        <v>3.6000000000000002E-4</v>
      </c>
      <c r="AC24" s="56">
        <f t="shared" si="11"/>
        <v>0.44714942243199607</v>
      </c>
      <c r="AD24" s="107">
        <f t="shared" si="12"/>
        <v>1.2433800371911621</v>
      </c>
      <c r="AE24" s="259">
        <f t="shared" si="13"/>
        <v>0.78895031908306357</v>
      </c>
      <c r="AF24" s="58">
        <f t="shared" si="14"/>
        <v>6.4308165172937348E-4</v>
      </c>
      <c r="AG24" s="765"/>
      <c r="AH24" s="2"/>
      <c r="AI24" s="3">
        <v>8.1489216660605698E-2</v>
      </c>
      <c r="AJ24" s="120">
        <f t="shared" si="15"/>
        <v>1.216267122848963</v>
      </c>
      <c r="AL24" s="2">
        <f t="shared" si="16"/>
        <v>3.5667572820875222E-5</v>
      </c>
      <c r="AM24" s="2">
        <f t="shared" si="17"/>
        <v>35.667572820875222</v>
      </c>
      <c r="AN24" s="101">
        <f t="shared" si="18"/>
        <v>3.5667572820875222E-5</v>
      </c>
      <c r="AO24" s="120">
        <f t="shared" si="17"/>
        <v>35.667572820875222</v>
      </c>
      <c r="BA24" s="3"/>
      <c r="BC24" s="2"/>
    </row>
    <row r="25" spans="1:55" ht="15" thickBot="1" x14ac:dyDescent="0.4">
      <c r="A25" s="79">
        <v>4000</v>
      </c>
      <c r="B25" s="287">
        <f>A25/10</f>
        <v>400</v>
      </c>
      <c r="C25" s="289">
        <f t="shared" si="0"/>
        <v>297001</v>
      </c>
      <c r="D25" s="81" t="e">
        <f>#REF!-C25</f>
        <v>#REF!</v>
      </c>
      <c r="E25" s="82" t="s">
        <v>30</v>
      </c>
      <c r="F25" s="83"/>
      <c r="G25" s="87">
        <v>-6.61706182</v>
      </c>
      <c r="H25" s="101">
        <f t="shared" si="1"/>
        <v>1</v>
      </c>
      <c r="I25" s="101"/>
      <c r="J25" s="90">
        <v>7.0878873699999997E-2</v>
      </c>
      <c r="K25" s="86">
        <f t="shared" si="2"/>
        <v>-1.0711532645164255</v>
      </c>
      <c r="L25" s="165">
        <f t="shared" si="4"/>
        <v>93.223793530141052</v>
      </c>
      <c r="M25" s="165">
        <f t="shared" si="5"/>
        <v>1.0726875212138633</v>
      </c>
      <c r="N25" s="87">
        <v>-9.4643324699999996E-3</v>
      </c>
      <c r="O25" s="101">
        <f t="shared" si="6"/>
        <v>1.4302922849223131E-3</v>
      </c>
      <c r="P25" s="88">
        <v>3.3147047300000001E-7</v>
      </c>
      <c r="Q25" s="89">
        <f t="shared" si="7"/>
        <v>-6.6075974875299996</v>
      </c>
      <c r="R25" s="270">
        <v>3.5474708800000001</v>
      </c>
      <c r="S25" s="85">
        <v>1.7099475699999998E-2</v>
      </c>
      <c r="T25" s="86">
        <f t="shared" si="8"/>
        <v>0.48201877558470607</v>
      </c>
      <c r="U25" s="87">
        <v>-1.3522566E-2</v>
      </c>
      <c r="V25" s="88">
        <v>5.7966868200000004E-7</v>
      </c>
      <c r="W25" s="89">
        <f t="shared" si="9"/>
        <v>3.5609934459999999</v>
      </c>
      <c r="X25" s="91">
        <v>0.17979999999999999</v>
      </c>
      <c r="Y25" s="92">
        <v>0.49</v>
      </c>
      <c r="Z25" s="55">
        <f t="shared" si="10"/>
        <v>9.6898550917958445E-2</v>
      </c>
      <c r="AA25" s="275">
        <v>9.5990000000000006E-2</v>
      </c>
      <c r="AB25" s="95">
        <v>3.2000000000000003E-4</v>
      </c>
      <c r="AC25" s="96">
        <f t="shared" si="11"/>
        <v>0.33336805917283047</v>
      </c>
      <c r="AD25" s="262">
        <f t="shared" si="12"/>
        <v>0.9465058005609327</v>
      </c>
      <c r="AE25" s="263">
        <f t="shared" si="13"/>
        <v>0.59265020279812586</v>
      </c>
      <c r="AF25" s="98">
        <f t="shared" si="14"/>
        <v>5.7426945852372601E-4</v>
      </c>
      <c r="AG25" s="766"/>
      <c r="AH25" s="2"/>
      <c r="AI25" s="3">
        <v>9.6863667439627973E-2</v>
      </c>
      <c r="AJ25" s="120">
        <f t="shared" si="15"/>
        <v>0.91016505847272366</v>
      </c>
      <c r="AL25" s="2">
        <f t="shared" si="16"/>
        <v>3.6749707939543938E-5</v>
      </c>
      <c r="AM25" s="2">
        <f t="shared" si="17"/>
        <v>36.749707939543939</v>
      </c>
      <c r="AN25" s="101">
        <f t="shared" si="18"/>
        <v>3.6749707939543938E-5</v>
      </c>
      <c r="AO25" s="120">
        <f t="shared" si="17"/>
        <v>36.749707939543939</v>
      </c>
      <c r="BA25" s="3"/>
      <c r="BC25" s="2"/>
    </row>
    <row r="26" spans="1:55" ht="15" thickBot="1" x14ac:dyDescent="0.4">
      <c r="AD26" s="264"/>
      <c r="AE26" s="264"/>
      <c r="BC26" s="2"/>
    </row>
    <row r="27" spans="1:55" ht="35.5" customHeight="1" thickBot="1" x14ac:dyDescent="0.4">
      <c r="A27" s="725" t="s">
        <v>0</v>
      </c>
      <c r="B27" s="282"/>
      <c r="C27" s="728" t="s">
        <v>1</v>
      </c>
      <c r="D27" s="731" t="s">
        <v>2</v>
      </c>
      <c r="E27" s="734" t="s">
        <v>3</v>
      </c>
      <c r="F27" s="735"/>
      <c r="G27" s="736" t="s">
        <v>4</v>
      </c>
      <c r="H27" s="724"/>
      <c r="I27" s="724"/>
      <c r="J27" s="724"/>
      <c r="K27" s="724"/>
      <c r="L27" s="724"/>
      <c r="M27" s="724"/>
      <c r="N27" s="724"/>
      <c r="O27" s="724"/>
      <c r="P27" s="724"/>
      <c r="Q27" s="737"/>
      <c r="R27" s="724" t="s">
        <v>5</v>
      </c>
      <c r="S27" s="724"/>
      <c r="T27" s="724"/>
      <c r="U27" s="724"/>
      <c r="V27" s="724"/>
      <c r="W27" s="724"/>
      <c r="X27" s="738" t="s">
        <v>6</v>
      </c>
      <c r="Y27" s="738" t="s">
        <v>7</v>
      </c>
      <c r="Z27" s="751" t="s">
        <v>8</v>
      </c>
      <c r="AA27" s="738" t="s">
        <v>9</v>
      </c>
      <c r="AB27" s="754" t="s">
        <v>10</v>
      </c>
      <c r="AC27" s="738" t="s">
        <v>11</v>
      </c>
      <c r="AD27" s="769" t="s">
        <v>12</v>
      </c>
      <c r="AE27" s="769" t="s">
        <v>13</v>
      </c>
      <c r="AF27" s="1"/>
      <c r="AG27" s="738" t="s">
        <v>14</v>
      </c>
      <c r="AH27" s="2"/>
      <c r="BA27" s="3"/>
      <c r="BC27" s="2"/>
    </row>
    <row r="28" spans="1:55" ht="20.25" customHeight="1" x14ac:dyDescent="0.35">
      <c r="A28" s="726"/>
      <c r="B28" s="283"/>
      <c r="C28" s="729"/>
      <c r="D28" s="732"/>
      <c r="E28" s="742" t="s">
        <v>17</v>
      </c>
      <c r="F28" s="744" t="s">
        <v>18</v>
      </c>
      <c r="G28" s="746" t="s">
        <v>19</v>
      </c>
      <c r="H28" s="747"/>
      <c r="I28" s="747"/>
      <c r="J28" s="747"/>
      <c r="K28" s="747"/>
      <c r="L28" s="288"/>
      <c r="M28" s="288"/>
      <c r="N28" s="748" t="s">
        <v>20</v>
      </c>
      <c r="O28" s="749"/>
      <c r="P28" s="749"/>
      <c r="Q28" s="750"/>
      <c r="R28" s="747" t="s">
        <v>19</v>
      </c>
      <c r="S28" s="747"/>
      <c r="T28" s="747"/>
      <c r="U28" s="748" t="s">
        <v>20</v>
      </c>
      <c r="V28" s="749"/>
      <c r="W28" s="750"/>
      <c r="X28" s="739"/>
      <c r="Y28" s="739"/>
      <c r="Z28" s="752"/>
      <c r="AA28" s="739"/>
      <c r="AB28" s="755"/>
      <c r="AC28" s="739"/>
      <c r="AD28" s="770"/>
      <c r="AE28" s="770"/>
      <c r="AF28" s="4"/>
      <c r="AG28" s="739"/>
      <c r="AH28" s="2"/>
      <c r="BA28" s="3"/>
      <c r="BC28" s="2"/>
    </row>
    <row r="29" spans="1:55" ht="20.25" customHeight="1" thickBot="1" x14ac:dyDescent="0.4">
      <c r="A29" s="727"/>
      <c r="B29" s="284"/>
      <c r="C29" s="730"/>
      <c r="D29" s="733"/>
      <c r="E29" s="743"/>
      <c r="F29" s="745"/>
      <c r="G29" s="5" t="s">
        <v>21</v>
      </c>
      <c r="H29" s="142"/>
      <c r="I29" s="142"/>
      <c r="J29" s="6" t="s">
        <v>22</v>
      </c>
      <c r="K29" s="7" t="s">
        <v>23</v>
      </c>
      <c r="L29" s="295"/>
      <c r="M29" s="295"/>
      <c r="N29" s="5" t="s">
        <v>21</v>
      </c>
      <c r="O29" s="142"/>
      <c r="P29" s="6" t="s">
        <v>22</v>
      </c>
      <c r="Q29" s="8" t="s">
        <v>24</v>
      </c>
      <c r="R29" s="9" t="s">
        <v>21</v>
      </c>
      <c r="S29" s="6" t="s">
        <v>22</v>
      </c>
      <c r="T29" s="7" t="s">
        <v>23</v>
      </c>
      <c r="U29" s="5" t="s">
        <v>21</v>
      </c>
      <c r="V29" s="6" t="s">
        <v>22</v>
      </c>
      <c r="W29" s="8" t="s">
        <v>24</v>
      </c>
      <c r="X29" s="740"/>
      <c r="Y29" s="740"/>
      <c r="Z29" s="753"/>
      <c r="AA29" s="740"/>
      <c r="AB29" s="756"/>
      <c r="AC29" s="740"/>
      <c r="AD29" s="771"/>
      <c r="AE29" s="771"/>
      <c r="AF29" s="10"/>
      <c r="AG29" s="740"/>
      <c r="AH29" s="2"/>
      <c r="BA29" s="3"/>
      <c r="BC29" s="2"/>
    </row>
    <row r="30" spans="1:55" ht="30.75" customHeight="1" thickBot="1" x14ac:dyDescent="0.4">
      <c r="A30" s="757" t="s">
        <v>31</v>
      </c>
      <c r="B30" s="758"/>
      <c r="C30" s="759"/>
      <c r="D30" s="759"/>
      <c r="E30" s="12">
        <v>0.2</v>
      </c>
      <c r="F30" s="13">
        <v>1.6</v>
      </c>
      <c r="G30" s="290"/>
      <c r="H30" s="291"/>
      <c r="I30" s="291" t="s">
        <v>32</v>
      </c>
      <c r="J30" s="291"/>
      <c r="K30" s="291"/>
      <c r="L30" s="296" t="s">
        <v>26</v>
      </c>
      <c r="M30" s="296"/>
      <c r="N30" s="14"/>
      <c r="Q30" s="16"/>
      <c r="R30" s="761"/>
      <c r="S30" s="761"/>
      <c r="T30" s="761"/>
      <c r="U30" s="14"/>
      <c r="V30" s="15"/>
      <c r="W30" s="16"/>
      <c r="X30" s="17"/>
      <c r="Z30" s="104"/>
      <c r="AA30" s="20"/>
      <c r="AB30" s="19"/>
      <c r="AC30" s="19"/>
      <c r="AD30" s="135"/>
      <c r="AE30" s="135"/>
      <c r="AF30" s="19"/>
      <c r="AG30" s="20"/>
      <c r="AH30" s="2"/>
      <c r="BA30" s="3"/>
      <c r="BC30" s="2"/>
    </row>
    <row r="31" spans="1:55" x14ac:dyDescent="0.35">
      <c r="A31" s="21">
        <v>2000</v>
      </c>
      <c r="B31" s="287">
        <f>A31/10</f>
        <v>200</v>
      </c>
      <c r="C31" s="22">
        <f t="shared" ref="C31:C51" si="20">A31*$N$54-$N$55</f>
        <v>-279093</v>
      </c>
      <c r="D31" s="23">
        <f>C32-C31</f>
        <v>28804.70000000007</v>
      </c>
      <c r="E31" s="762">
        <v>1</v>
      </c>
      <c r="F31" s="763"/>
      <c r="G31" s="24">
        <v>0.231357177</v>
      </c>
      <c r="H31" s="101">
        <f>G31/MAX($G$31:$G$51)</f>
        <v>3.2594684201141394E-2</v>
      </c>
      <c r="I31" s="100">
        <f t="shared" ref="I31:I51" si="21">(H31-H5)*100</f>
        <v>3.1092123073489728</v>
      </c>
      <c r="J31" s="25">
        <v>5.0566539900000001E-4</v>
      </c>
      <c r="K31" s="26">
        <f t="shared" ref="K31:K51" si="22">J31*100/G31</f>
        <v>0.21856482066255503</v>
      </c>
      <c r="L31" s="165">
        <f>(G31-O31)/SQRT(SUMSQ(J31,P31))</f>
        <v>454.88497936153533</v>
      </c>
      <c r="M31" s="165">
        <f>1/L31*100</f>
        <v>0.21983579264445571</v>
      </c>
      <c r="N31" s="147">
        <v>9.4872781999999992E-3</v>
      </c>
      <c r="O31" s="101">
        <f>N31/MAX($G$31:$G$51)</f>
        <v>1.3366122498001138E-3</v>
      </c>
      <c r="P31" s="28">
        <v>1.4686505100000001E-6</v>
      </c>
      <c r="Q31" s="29">
        <f>G31-N31</f>
        <v>0.22186989879999999</v>
      </c>
      <c r="R31" s="30">
        <v>-3.9875464999999999E-2</v>
      </c>
      <c r="S31" s="25">
        <v>1.7452801499999999E-4</v>
      </c>
      <c r="T31" s="26">
        <f t="shared" ref="T31:T51" si="23">S31*100/R31</f>
        <v>-0.4376827079007104</v>
      </c>
      <c r="U31" s="27">
        <v>1.3413104E-2</v>
      </c>
      <c r="V31" s="28">
        <v>6.9582395500000005E-7</v>
      </c>
      <c r="W31" s="29">
        <f>R31-U31</f>
        <v>-5.3288569000000001E-2</v>
      </c>
      <c r="X31" s="31">
        <v>0.1134</v>
      </c>
      <c r="Y31" s="32">
        <v>6.12</v>
      </c>
      <c r="Z31" s="38">
        <f>X31*(-W31/Q31)</f>
        <v>2.7236338761064963E-2</v>
      </c>
      <c r="AA31" s="102">
        <v>2.6759999999999999E-2</v>
      </c>
      <c r="AB31" s="35">
        <v>2.9E-4</v>
      </c>
      <c r="AC31" s="36">
        <f>AB31*100/AA31</f>
        <v>1.0837070254110615</v>
      </c>
      <c r="AD31" s="265">
        <f>ABS(Z31-AA31)/AA31*100</f>
        <v>1.7800402132472508</v>
      </c>
      <c r="AE31" s="266">
        <f>SQRT(SUMSQ(Y31,AC31))</f>
        <v>6.2152088393653591</v>
      </c>
      <c r="AF31" s="38">
        <f>AE31/100*Z31</f>
        <v>1.6927953341972031E-3</v>
      </c>
      <c r="AG31" s="764" t="s">
        <v>29</v>
      </c>
      <c r="AH31" s="2"/>
      <c r="AL31" s="101">
        <f>Q31/(X31*$AM$1)</f>
        <v>1.9565246807760139E-6</v>
      </c>
      <c r="AM31" s="2">
        <f>AL31*1000000</f>
        <v>1.9565246807760139</v>
      </c>
      <c r="BA31" s="3"/>
      <c r="BC31" s="2"/>
    </row>
    <row r="32" spans="1:55" x14ac:dyDescent="0.35">
      <c r="A32" s="39">
        <v>2100</v>
      </c>
      <c r="B32" s="287">
        <f t="shared" ref="B32:B50" si="24">A32/10</f>
        <v>210</v>
      </c>
      <c r="C32" s="40">
        <f t="shared" si="20"/>
        <v>-250288.29999999993</v>
      </c>
      <c r="D32" s="41">
        <f>C33-C32</f>
        <v>28804.699999999953</v>
      </c>
      <c r="E32" s="42">
        <v>23.5</v>
      </c>
      <c r="F32" s="43">
        <v>54.8</v>
      </c>
      <c r="G32" s="44">
        <v>0.66439467900000004</v>
      </c>
      <c r="H32" s="101">
        <f t="shared" ref="H32:H51" si="25">G32/MAX($G$31:$G$51)</f>
        <v>9.3603038504069008E-2</v>
      </c>
      <c r="I32" s="100">
        <f t="shared" si="21"/>
        <v>9.2037438925009916</v>
      </c>
      <c r="J32" s="45">
        <v>4.1147698799999998E-3</v>
      </c>
      <c r="K32" s="46">
        <f t="shared" si="22"/>
        <v>0.61932613400716285</v>
      </c>
      <c r="L32" s="165">
        <f t="shared" ref="L32:L51" si="26">(G32-O32)/SQRT(SUMSQ(J32,P32))</f>
        <v>161.14131635060701</v>
      </c>
      <c r="M32" s="165">
        <f t="shared" ref="M32:M51" si="27">1/L32*100</f>
        <v>0.62057330959381418</v>
      </c>
      <c r="N32" s="148">
        <v>9.4770959300000002E-3</v>
      </c>
      <c r="O32" s="101">
        <f t="shared" ref="O32:O51" si="28">N32/MAX($G$31:$G$51)</f>
        <v>1.3351777238458974E-3</v>
      </c>
      <c r="P32" s="48">
        <v>1.8405582200000001E-6</v>
      </c>
      <c r="Q32" s="49">
        <f t="shared" ref="Q32:Q51" si="29">G32-N32</f>
        <v>0.65491758307000003</v>
      </c>
      <c r="R32" s="50">
        <v>-0.13429839399999999</v>
      </c>
      <c r="S32" s="45">
        <v>1.1113863600000001E-3</v>
      </c>
      <c r="T32" s="46">
        <f t="shared" si="23"/>
        <v>-0.82755000033730874</v>
      </c>
      <c r="U32" s="47">
        <v>1.34151172E-2</v>
      </c>
      <c r="V32" s="48">
        <v>1.6025276600000001E-6</v>
      </c>
      <c r="W32" s="49">
        <f t="shared" ref="W32:W51" si="30">R32-U32</f>
        <v>-0.14771351119999998</v>
      </c>
      <c r="X32" s="51">
        <v>0.1163</v>
      </c>
      <c r="Y32" s="52">
        <v>4.25</v>
      </c>
      <c r="Z32" s="58">
        <f t="shared" ref="Z32:Z51" si="31">X32*(-W32/Q32)</f>
        <v>2.6230905684393319E-2</v>
      </c>
      <c r="AA32" s="104">
        <v>2.6200000000000001E-2</v>
      </c>
      <c r="AB32" s="55">
        <v>2.0000000000000001E-4</v>
      </c>
      <c r="AC32" s="56">
        <f t="shared" ref="AC32:AC51" si="32">AB32*100/AA32</f>
        <v>0.76335877862595414</v>
      </c>
      <c r="AD32" s="106">
        <f t="shared" ref="AD32:AD51" si="33">ABS(Z32-AA32)/AA32*100</f>
        <v>0.11796062745541042</v>
      </c>
      <c r="AE32" s="108">
        <f t="shared" ref="AE32:AE51" si="34">SQRT(SUMSQ(Y32,AC32))</f>
        <v>4.318010725427313</v>
      </c>
      <c r="AF32" s="58">
        <f t="shared" ref="AF32:AF51" si="35">AE32/100*Z32</f>
        <v>1.1326533208288264E-3</v>
      </c>
      <c r="AG32" s="765"/>
      <c r="AH32" s="2"/>
      <c r="AL32" s="101">
        <f t="shared" ref="AL32:AL51" si="36">Q32/(X32*$AM$1)</f>
        <v>5.631277584436802E-6</v>
      </c>
      <c r="AM32" s="2">
        <f t="shared" ref="AM32:AM51" si="37">AL32*1000000</f>
        <v>5.6312775844368019</v>
      </c>
      <c r="BA32" s="3"/>
      <c r="BC32" s="2"/>
    </row>
    <row r="33" spans="1:55" x14ac:dyDescent="0.35">
      <c r="A33" s="39">
        <v>2200</v>
      </c>
      <c r="B33" s="287">
        <f t="shared" si="24"/>
        <v>220</v>
      </c>
      <c r="C33" s="40">
        <f t="shared" si="20"/>
        <v>-221483.59999999998</v>
      </c>
      <c r="D33" s="41">
        <f t="shared" ref="D33" si="38">C34-C33</f>
        <v>28804.70000000007</v>
      </c>
      <c r="E33" s="767"/>
      <c r="F33" s="768"/>
      <c r="G33" s="44">
        <v>1.5263496999999999</v>
      </c>
      <c r="H33" s="101">
        <f t="shared" si="25"/>
        <v>0.21503930458144768</v>
      </c>
      <c r="I33" s="100">
        <f t="shared" si="21"/>
        <v>21.314599335951929</v>
      </c>
      <c r="J33" s="45">
        <v>1.6642790599999999E-2</v>
      </c>
      <c r="K33" s="59">
        <f t="shared" si="22"/>
        <v>1.090365504051922</v>
      </c>
      <c r="L33" s="165">
        <f t="shared" si="26"/>
        <v>91.632197009259642</v>
      </c>
      <c r="M33" s="165">
        <f t="shared" si="27"/>
        <v>1.0913194626327116</v>
      </c>
      <c r="N33" s="149">
        <v>9.4702501099999999E-3</v>
      </c>
      <c r="O33" s="101">
        <f t="shared" si="28"/>
        <v>1.3342132526162115E-3</v>
      </c>
      <c r="P33" s="61">
        <v>2.67537617E-6</v>
      </c>
      <c r="Q33" s="49">
        <f t="shared" si="29"/>
        <v>1.51687944989</v>
      </c>
      <c r="R33" s="50">
        <v>-0.31426127300000001</v>
      </c>
      <c r="S33" s="45">
        <v>2.3189712900000001E-3</v>
      </c>
      <c r="T33" s="59">
        <f t="shared" si="23"/>
        <v>-0.73791188709402322</v>
      </c>
      <c r="U33" s="60">
        <v>1.34153811E-2</v>
      </c>
      <c r="V33" s="61">
        <v>1.5922115399999999E-6</v>
      </c>
      <c r="W33" s="49">
        <f t="shared" si="30"/>
        <v>-0.32767665410000002</v>
      </c>
      <c r="X33" s="62">
        <v>0.12089999999999999</v>
      </c>
      <c r="Y33" s="63">
        <v>2.29</v>
      </c>
      <c r="Z33" s="58">
        <f t="shared" si="31"/>
        <v>2.6116846321283377E-2</v>
      </c>
      <c r="AA33" s="104">
        <v>2.564E-2</v>
      </c>
      <c r="AB33" s="55">
        <v>1.7000000000000001E-4</v>
      </c>
      <c r="AC33" s="56">
        <f t="shared" si="32"/>
        <v>0.66302652106084248</v>
      </c>
      <c r="AD33" s="106">
        <f t="shared" si="33"/>
        <v>1.8597750440069343</v>
      </c>
      <c r="AE33" s="105">
        <f t="shared" si="34"/>
        <v>2.3840520480119651</v>
      </c>
      <c r="AF33" s="58">
        <f t="shared" si="35"/>
        <v>6.22639209598694E-4</v>
      </c>
      <c r="AG33" s="765"/>
      <c r="AH33" s="2"/>
      <c r="AL33" s="101">
        <f t="shared" si="36"/>
        <v>1.254656286095947E-5</v>
      </c>
      <c r="AM33" s="2">
        <f t="shared" si="37"/>
        <v>12.546562860959471</v>
      </c>
      <c r="BA33" s="3"/>
      <c r="BC33" s="2"/>
    </row>
    <row r="34" spans="1:55" x14ac:dyDescent="0.35">
      <c r="A34" s="39">
        <v>2300</v>
      </c>
      <c r="B34" s="287">
        <f t="shared" si="24"/>
        <v>230</v>
      </c>
      <c r="C34" s="40">
        <f t="shared" si="20"/>
        <v>-192678.89999999991</v>
      </c>
      <c r="D34" s="41">
        <f>C35-C34</f>
        <v>28804.699999999953</v>
      </c>
      <c r="E34" s="65"/>
      <c r="F34" s="66"/>
      <c r="G34" s="44">
        <v>3.1198480900000001</v>
      </c>
      <c r="H34" s="101">
        <f t="shared" si="25"/>
        <v>0.43953883154912526</v>
      </c>
      <c r="I34" s="100">
        <f t="shared" si="21"/>
        <v>43.477790226404871</v>
      </c>
      <c r="J34" s="45">
        <v>3.3958440800000003E-2</v>
      </c>
      <c r="K34" s="46">
        <f t="shared" si="22"/>
        <v>1.0884645604651861</v>
      </c>
      <c r="L34" s="165">
        <f t="shared" si="26"/>
        <v>91.833267235701896</v>
      </c>
      <c r="M34" s="165">
        <f t="shared" si="27"/>
        <v>1.0889300033650893</v>
      </c>
      <c r="N34" s="148">
        <v>9.4653009100000001E-3</v>
      </c>
      <c r="O34" s="101">
        <f>N34/MAX($G$31:$G$51)</f>
        <v>1.3335159861076031E-3</v>
      </c>
      <c r="P34" s="48">
        <v>1.9458634500000001E-6</v>
      </c>
      <c r="Q34" s="49">
        <f t="shared" si="29"/>
        <v>3.11038278909</v>
      </c>
      <c r="R34" s="50">
        <v>-0.64288391099999997</v>
      </c>
      <c r="S34" s="45">
        <v>4.5682484800000003E-3</v>
      </c>
      <c r="T34" s="46">
        <f t="shared" si="23"/>
        <v>-0.71058684185985177</v>
      </c>
      <c r="U34" s="47">
        <v>1.34164373E-2</v>
      </c>
      <c r="V34" s="48">
        <v>1.8241401700000001E-6</v>
      </c>
      <c r="W34" s="49">
        <f t="shared" si="30"/>
        <v>-0.65630034829999995</v>
      </c>
      <c r="X34" s="51">
        <v>0.127</v>
      </c>
      <c r="Y34" s="52">
        <v>2.02</v>
      </c>
      <c r="Z34" s="58">
        <f t="shared" si="31"/>
        <v>2.6797391152773714E-2</v>
      </c>
      <c r="AA34" s="104">
        <v>2.5999999999999999E-2</v>
      </c>
      <c r="AB34" s="55">
        <v>1.6000000000000001E-4</v>
      </c>
      <c r="AC34" s="56">
        <f t="shared" si="32"/>
        <v>0.61538461538461542</v>
      </c>
      <c r="AD34" s="106">
        <f t="shared" si="33"/>
        <v>3.0668890491296743</v>
      </c>
      <c r="AE34" s="105">
        <f t="shared" si="34"/>
        <v>2.1116576959469713</v>
      </c>
      <c r="AF34" s="58">
        <f t="shared" si="35"/>
        <v>5.6586917259055891E-4</v>
      </c>
      <c r="AG34" s="765"/>
      <c r="AH34" s="2"/>
      <c r="AL34" s="101">
        <f t="shared" si="36"/>
        <v>2.4491203063700786E-5</v>
      </c>
      <c r="AM34" s="2">
        <f t="shared" si="37"/>
        <v>24.491203063700787</v>
      </c>
      <c r="BA34" s="3"/>
      <c r="BC34" s="2"/>
    </row>
    <row r="35" spans="1:55" x14ac:dyDescent="0.35">
      <c r="A35" s="39">
        <v>2400</v>
      </c>
      <c r="B35" s="287">
        <f t="shared" si="24"/>
        <v>240</v>
      </c>
      <c r="C35" s="40">
        <f t="shared" si="20"/>
        <v>-163874.19999999995</v>
      </c>
      <c r="D35" s="67">
        <f t="shared" ref="D35:D50" si="39">C36-C35</f>
        <v>28804.70000000007</v>
      </c>
      <c r="E35" s="65"/>
      <c r="F35" s="66"/>
      <c r="G35" s="68">
        <v>4.1405376599999997</v>
      </c>
      <c r="H35" s="101">
        <f t="shared" si="25"/>
        <v>0.58333836538225459</v>
      </c>
      <c r="I35" s="100">
        <f t="shared" si="21"/>
        <v>56.625902260531191</v>
      </c>
      <c r="J35" s="69">
        <v>4.6566930499999999E-2</v>
      </c>
      <c r="K35" s="70">
        <f t="shared" si="22"/>
        <v>1.1246590255623954</v>
      </c>
      <c r="L35" s="165">
        <f t="shared" si="26"/>
        <v>88.887214122169681</v>
      </c>
      <c r="M35" s="165">
        <f t="shared" si="27"/>
        <v>1.1250211966656589</v>
      </c>
      <c r="N35" s="150">
        <v>9.4611855500000008E-3</v>
      </c>
      <c r="O35" s="101">
        <f t="shared" si="28"/>
        <v>1.3329361948890492E-3</v>
      </c>
      <c r="P35" s="72">
        <v>1.2280819599999999E-6</v>
      </c>
      <c r="Q35" s="49">
        <f t="shared" si="29"/>
        <v>4.1310764744499995</v>
      </c>
      <c r="R35" s="73">
        <v>-0.85326971900000004</v>
      </c>
      <c r="S35" s="69">
        <v>6.0070279700000003E-3</v>
      </c>
      <c r="T35" s="70">
        <f t="shared" si="23"/>
        <v>-0.70400107213930097</v>
      </c>
      <c r="U35" s="71">
        <v>1.3416113699999999E-2</v>
      </c>
      <c r="V35" s="72">
        <v>1.4170963500000001E-6</v>
      </c>
      <c r="W35" s="49">
        <f t="shared" si="30"/>
        <v>-0.86668583269999999</v>
      </c>
      <c r="X35" s="74">
        <v>0.13039999999999999</v>
      </c>
      <c r="Y35" s="75">
        <v>2</v>
      </c>
      <c r="Z35" s="58">
        <f t="shared" si="31"/>
        <v>2.7357477713875197E-2</v>
      </c>
      <c r="AA35" s="104">
        <v>2.6769999999999999E-2</v>
      </c>
      <c r="AB35" s="55">
        <v>1.7000000000000001E-4</v>
      </c>
      <c r="AC35" s="56">
        <f t="shared" si="32"/>
        <v>0.63503922301083315</v>
      </c>
      <c r="AD35" s="106">
        <f t="shared" si="33"/>
        <v>2.1945375938558014</v>
      </c>
      <c r="AE35" s="105">
        <f t="shared" si="34"/>
        <v>2.0983981544888479</v>
      </c>
      <c r="AF35" s="58">
        <f t="shared" si="35"/>
        <v>5.7406880746265507E-4</v>
      </c>
      <c r="AG35" s="765"/>
      <c r="AH35" s="2"/>
      <c r="AL35" s="101">
        <f t="shared" si="36"/>
        <v>3.168003431326687E-5</v>
      </c>
      <c r="AM35" s="2">
        <f t="shared" si="37"/>
        <v>31.680034313266869</v>
      </c>
      <c r="BA35" s="3"/>
      <c r="BC35" s="2"/>
    </row>
    <row r="36" spans="1:55" x14ac:dyDescent="0.35">
      <c r="A36" s="39">
        <v>2500</v>
      </c>
      <c r="B36" s="287">
        <f t="shared" si="24"/>
        <v>250</v>
      </c>
      <c r="C36" s="40">
        <f t="shared" si="20"/>
        <v>-135069.49999999988</v>
      </c>
      <c r="D36" s="41">
        <f t="shared" si="39"/>
        <v>28804.699999999953</v>
      </c>
      <c r="E36" s="65"/>
      <c r="F36" s="66"/>
      <c r="G36" s="44">
        <v>4.8550775899999996</v>
      </c>
      <c r="H36" s="101">
        <f t="shared" si="25"/>
        <v>0.68400610203714851</v>
      </c>
      <c r="I36" s="100">
        <f t="shared" si="21"/>
        <v>64.182201601934551</v>
      </c>
      <c r="J36" s="45">
        <v>5.7181386600000002E-2</v>
      </c>
      <c r="K36" s="46">
        <f t="shared" si="22"/>
        <v>1.1777646297100683</v>
      </c>
      <c r="L36" s="165">
        <f t="shared" si="26"/>
        <v>84.883304981412962</v>
      </c>
      <c r="M36" s="165">
        <f t="shared" si="27"/>
        <v>1.1780879646698155</v>
      </c>
      <c r="N36" s="148">
        <v>9.4581479399999998E-3</v>
      </c>
      <c r="O36" s="101">
        <f t="shared" si="28"/>
        <v>1.3325082421453301E-3</v>
      </c>
      <c r="P36" s="48">
        <v>2.2417342400000002E-6</v>
      </c>
      <c r="Q36" s="49">
        <f t="shared" si="29"/>
        <v>4.8456194420599994</v>
      </c>
      <c r="R36" s="50">
        <v>-1.0012002200000001</v>
      </c>
      <c r="S36" s="45">
        <v>7.1797662299999997E-3</v>
      </c>
      <c r="T36" s="46">
        <f t="shared" si="23"/>
        <v>-0.71711592612314834</v>
      </c>
      <c r="U36" s="47">
        <v>1.34145311E-2</v>
      </c>
      <c r="V36" s="48">
        <v>1.0477120799999999E-6</v>
      </c>
      <c r="W36" s="49">
        <f t="shared" si="30"/>
        <v>-1.0146147511000001</v>
      </c>
      <c r="X36" s="51">
        <v>0.12189999999999999</v>
      </c>
      <c r="Y36" s="52">
        <v>1.64</v>
      </c>
      <c r="Z36" s="58">
        <f t="shared" si="31"/>
        <v>2.5524401913516705E-2</v>
      </c>
      <c r="AA36" s="104">
        <v>2.4729999999999999E-2</v>
      </c>
      <c r="AB36" s="55">
        <v>1.4999999999999999E-4</v>
      </c>
      <c r="AC36" s="56">
        <f t="shared" si="32"/>
        <v>0.60655074807925602</v>
      </c>
      <c r="AD36" s="107">
        <f t="shared" si="33"/>
        <v>3.2123004994610063</v>
      </c>
      <c r="AE36" s="108">
        <f t="shared" si="34"/>
        <v>1.7485719344640942</v>
      </c>
      <c r="AF36" s="58">
        <f t="shared" si="35"/>
        <v>4.4631252829956933E-4</v>
      </c>
      <c r="AG36" s="765"/>
      <c r="AH36" s="2"/>
      <c r="AL36" s="101">
        <f t="shared" si="36"/>
        <v>3.9750774750287115E-5</v>
      </c>
      <c r="AM36" s="2">
        <f t="shared" si="37"/>
        <v>39.750774750287114</v>
      </c>
      <c r="BA36" s="3"/>
      <c r="BC36" s="2"/>
    </row>
    <row r="37" spans="1:55" x14ac:dyDescent="0.35">
      <c r="A37" s="39">
        <v>2600</v>
      </c>
      <c r="B37" s="287">
        <f t="shared" si="24"/>
        <v>260</v>
      </c>
      <c r="C37" s="40">
        <f t="shared" si="20"/>
        <v>-106264.79999999993</v>
      </c>
      <c r="D37" s="41">
        <f t="shared" si="39"/>
        <v>28804.699999999953</v>
      </c>
      <c r="E37" s="65"/>
      <c r="F37" s="66"/>
      <c r="G37" s="44">
        <v>5.3006368999999998</v>
      </c>
      <c r="H37" s="101">
        <f t="shared" si="25"/>
        <v>0.74677858738057257</v>
      </c>
      <c r="I37" s="100">
        <f t="shared" si="21"/>
        <v>66.674242489539267</v>
      </c>
      <c r="J37" s="45">
        <v>6.8721186000000004E-2</v>
      </c>
      <c r="K37" s="46">
        <f t="shared" si="22"/>
        <v>1.2964703543455316</v>
      </c>
      <c r="L37" s="165">
        <f t="shared" si="26"/>
        <v>77.113115305311666</v>
      </c>
      <c r="M37" s="165">
        <f t="shared" si="27"/>
        <v>1.2967962661613783</v>
      </c>
      <c r="N37" s="148">
        <v>9.4556618400000007E-3</v>
      </c>
      <c r="O37" s="101">
        <f t="shared" si="28"/>
        <v>1.3321579887170891E-3</v>
      </c>
      <c r="P37" s="48">
        <v>1.9233527299999999E-6</v>
      </c>
      <c r="Q37" s="49">
        <f t="shared" si="29"/>
        <v>5.2911812381600001</v>
      </c>
      <c r="R37" s="50">
        <v>-1.0869416300000001</v>
      </c>
      <c r="S37" s="45">
        <v>1.27216555E-2</v>
      </c>
      <c r="T37" s="46">
        <f t="shared" si="23"/>
        <v>-1.1704083410624357</v>
      </c>
      <c r="U37" s="47">
        <v>1.34147161E-2</v>
      </c>
      <c r="V37" s="48">
        <v>2.8779814599999999E-6</v>
      </c>
      <c r="W37" s="49">
        <f t="shared" si="30"/>
        <v>-1.1003563461000001</v>
      </c>
      <c r="X37" s="51">
        <v>0.1103</v>
      </c>
      <c r="Y37" s="52">
        <v>1.66</v>
      </c>
      <c r="Z37" s="58">
        <f t="shared" si="31"/>
        <v>2.2938035858517669E-2</v>
      </c>
      <c r="AA37" s="104">
        <v>2.2395999999999999E-2</v>
      </c>
      <c r="AB37" s="55">
        <v>9.7999999999999997E-5</v>
      </c>
      <c r="AC37" s="56">
        <f t="shared" si="32"/>
        <v>0.43757813895338454</v>
      </c>
      <c r="AD37" s="106">
        <f t="shared" si="33"/>
        <v>2.4202351246547149</v>
      </c>
      <c r="AE37" s="105">
        <f t="shared" si="34"/>
        <v>1.7167045836980535</v>
      </c>
      <c r="AF37" s="58">
        <f t="shared" si="35"/>
        <v>3.9377831299347598E-4</v>
      </c>
      <c r="AG37" s="765"/>
      <c r="AH37" s="2"/>
      <c r="AL37" s="101">
        <f t="shared" si="36"/>
        <v>4.7970818115684495E-5</v>
      </c>
      <c r="AM37" s="2">
        <f t="shared" si="37"/>
        <v>47.970818115684494</v>
      </c>
      <c r="BA37" s="3"/>
      <c r="BC37" s="2"/>
    </row>
    <row r="38" spans="1:55" x14ac:dyDescent="0.35">
      <c r="A38" s="39">
        <v>2700</v>
      </c>
      <c r="B38" s="287">
        <f t="shared" si="24"/>
        <v>270</v>
      </c>
      <c r="C38" s="40">
        <f t="shared" si="20"/>
        <v>-77460.099999999977</v>
      </c>
      <c r="D38" s="41">
        <f t="shared" si="39"/>
        <v>28804.70000000007</v>
      </c>
      <c r="E38" s="65"/>
      <c r="F38" s="66"/>
      <c r="G38" s="44">
        <v>5.9584698700000001</v>
      </c>
      <c r="H38" s="101">
        <f t="shared" si="25"/>
        <v>0.83945718154516558</v>
      </c>
      <c r="I38" s="100">
        <f t="shared" si="21"/>
        <v>70.825398432310905</v>
      </c>
      <c r="J38" s="45">
        <v>7.00689434E-2</v>
      </c>
      <c r="K38" s="46">
        <f t="shared" si="22"/>
        <v>1.1759553195491781</v>
      </c>
      <c r="L38" s="165">
        <f t="shared" si="26"/>
        <v>85.018236204047028</v>
      </c>
      <c r="M38" s="165">
        <f t="shared" si="27"/>
        <v>1.1762182381671169</v>
      </c>
      <c r="N38" s="148">
        <v>9.4537256099999998E-3</v>
      </c>
      <c r="O38" s="101">
        <f t="shared" si="28"/>
        <v>1.3318852035534335E-3</v>
      </c>
      <c r="P38" s="48">
        <v>2.6459119100000002E-6</v>
      </c>
      <c r="Q38" s="49">
        <f t="shared" si="29"/>
        <v>5.9490161443899998</v>
      </c>
      <c r="R38" s="50">
        <v>-1.2180486100000001</v>
      </c>
      <c r="S38" s="45">
        <v>1.37366269E-2</v>
      </c>
      <c r="T38" s="46">
        <f t="shared" si="23"/>
        <v>-1.1277568717064583</v>
      </c>
      <c r="U38" s="47">
        <v>1.34145037E-2</v>
      </c>
      <c r="V38" s="48">
        <v>1.61192236E-6</v>
      </c>
      <c r="W38" s="49">
        <f t="shared" si="30"/>
        <v>-1.2314631137000001</v>
      </c>
      <c r="X38" s="51">
        <v>0.10009999999999999</v>
      </c>
      <c r="Y38" s="52">
        <v>1.64</v>
      </c>
      <c r="Z38" s="58">
        <f t="shared" si="31"/>
        <v>2.0720982207724333E-2</v>
      </c>
      <c r="AA38" s="104">
        <v>2.0250000000000001E-2</v>
      </c>
      <c r="AB38" s="55">
        <v>1E-4</v>
      </c>
      <c r="AC38" s="56">
        <f t="shared" si="32"/>
        <v>0.49382716049382713</v>
      </c>
      <c r="AD38" s="107">
        <f t="shared" si="33"/>
        <v>2.3258380628362101</v>
      </c>
      <c r="AE38" s="108">
        <f t="shared" si="34"/>
        <v>1.7127361923079094</v>
      </c>
      <c r="AF38" s="58">
        <f t="shared" si="35"/>
        <v>3.5489576167337713E-4</v>
      </c>
      <c r="AG38" s="765"/>
      <c r="AH38" s="2"/>
      <c r="AL38" s="101">
        <f t="shared" si="36"/>
        <v>5.9430730713186809E-5</v>
      </c>
      <c r="AM38" s="2">
        <f t="shared" si="37"/>
        <v>59.430730713186811</v>
      </c>
      <c r="BA38" s="3"/>
      <c r="BC38" s="2"/>
    </row>
    <row r="39" spans="1:55" x14ac:dyDescent="0.35">
      <c r="A39" s="39">
        <v>2800</v>
      </c>
      <c r="B39" s="287">
        <f t="shared" si="24"/>
        <v>280</v>
      </c>
      <c r="C39" s="40">
        <f t="shared" si="20"/>
        <v>-48655.399999999907</v>
      </c>
      <c r="D39" s="41">
        <f t="shared" si="39"/>
        <v>28804.699999999953</v>
      </c>
      <c r="E39" s="65"/>
      <c r="F39" s="66"/>
      <c r="G39" s="44">
        <v>7.0980033300000001</v>
      </c>
      <c r="H39" s="101">
        <f t="shared" si="25"/>
        <v>1</v>
      </c>
      <c r="I39" s="100">
        <f t="shared" si="21"/>
        <v>80.665292318517288</v>
      </c>
      <c r="J39" s="45">
        <v>8.2400421500000001E-2</v>
      </c>
      <c r="K39" s="46">
        <f t="shared" si="22"/>
        <v>1.1608957853222084</v>
      </c>
      <c r="L39" s="165">
        <f t="shared" si="26"/>
        <v>86.124213297987765</v>
      </c>
      <c r="M39" s="165">
        <f t="shared" si="27"/>
        <v>1.1611136539964939</v>
      </c>
      <c r="N39" s="148">
        <v>9.4534881000000008E-3</v>
      </c>
      <c r="O39" s="101">
        <f t="shared" si="28"/>
        <v>1.3318517420306706E-3</v>
      </c>
      <c r="P39" s="48">
        <v>1.48205326E-6</v>
      </c>
      <c r="Q39" s="49">
        <f t="shared" si="29"/>
        <v>7.0885498418999999</v>
      </c>
      <c r="R39" s="50">
        <v>-1.5388702000000001</v>
      </c>
      <c r="S39" s="45">
        <v>1.8071760499999999E-2</v>
      </c>
      <c r="T39" s="46">
        <f t="shared" si="23"/>
        <v>-1.1743524892482808</v>
      </c>
      <c r="U39" s="47">
        <v>1.3413198600000001E-2</v>
      </c>
      <c r="V39" s="48">
        <v>3.0679217499999998E-6</v>
      </c>
      <c r="W39" s="49">
        <f t="shared" si="30"/>
        <v>-1.5522833986</v>
      </c>
      <c r="X39" s="51">
        <v>0.10249999999999999</v>
      </c>
      <c r="Y39" s="52">
        <v>1.63</v>
      </c>
      <c r="Z39" s="58">
        <f>X39*(-W39/Q39)</f>
        <v>2.2445923624041662E-2</v>
      </c>
      <c r="AA39" s="104">
        <v>2.146E-2</v>
      </c>
      <c r="AB39" s="55">
        <v>1.2999999999999999E-4</v>
      </c>
      <c r="AC39" s="56">
        <f t="shared" si="32"/>
        <v>0.60577819198508853</v>
      </c>
      <c r="AD39" s="107">
        <f t="shared" si="33"/>
        <v>4.5942386954411081</v>
      </c>
      <c r="AE39" s="108">
        <f t="shared" si="34"/>
        <v>1.738927030638354</v>
      </c>
      <c r="AF39" s="58">
        <f t="shared" si="35"/>
        <v>3.9031823317490046E-4</v>
      </c>
      <c r="AG39" s="765"/>
      <c r="AH39" s="2"/>
      <c r="AL39" s="101">
        <f t="shared" si="36"/>
        <v>6.9156583823414634E-5</v>
      </c>
      <c r="AM39" s="2">
        <f t="shared" si="37"/>
        <v>69.156583823414636</v>
      </c>
      <c r="BA39" s="3"/>
      <c r="BC39" s="2"/>
    </row>
    <row r="40" spans="1:55" s="292" customFormat="1" x14ac:dyDescent="0.35">
      <c r="A40" s="297">
        <v>2900</v>
      </c>
      <c r="B40" s="298">
        <f t="shared" si="24"/>
        <v>290</v>
      </c>
      <c r="C40" s="299">
        <f t="shared" si="20"/>
        <v>-19850.699999999953</v>
      </c>
      <c r="D40" s="300">
        <f t="shared" si="39"/>
        <v>28804.70000000007</v>
      </c>
      <c r="E40" s="301"/>
      <c r="F40" s="302"/>
      <c r="G40" s="303">
        <v>9.7344148800000002E-2</v>
      </c>
      <c r="H40" s="304">
        <f t="shared" si="25"/>
        <v>1.3714300243925077E-2</v>
      </c>
      <c r="I40" s="305">
        <f t="shared" si="21"/>
        <v>-26.767511255742004</v>
      </c>
      <c r="J40" s="306">
        <v>1.7896272600000001E-4</v>
      </c>
      <c r="K40" s="307">
        <f t="shared" si="22"/>
        <v>0.18384538588723068</v>
      </c>
      <c r="L40" s="308">
        <f t="shared" si="26"/>
        <v>536.4974944096042</v>
      </c>
      <c r="M40" s="308">
        <f t="shared" si="27"/>
        <v>0.18639416034933459</v>
      </c>
      <c r="N40" s="309">
        <v>9.4422176699999992E-3</v>
      </c>
      <c r="O40" s="304">
        <f t="shared" si="28"/>
        <v>1.3302639109919942E-3</v>
      </c>
      <c r="P40" s="310">
        <v>7.4449351400000001E-7</v>
      </c>
      <c r="Q40" s="311">
        <f t="shared" si="29"/>
        <v>8.7901931129999999E-2</v>
      </c>
      <c r="R40" s="312">
        <v>-1.13132905E-2</v>
      </c>
      <c r="S40" s="306">
        <v>8.1042936300000003E-5</v>
      </c>
      <c r="T40" s="307">
        <f t="shared" si="23"/>
        <v>-0.71635158930993603</v>
      </c>
      <c r="U40" s="313">
        <v>9.4771995500000008E-3</v>
      </c>
      <c r="V40" s="310">
        <v>8.3534704899999996E-7</v>
      </c>
      <c r="W40" s="311">
        <f t="shared" si="30"/>
        <v>-2.0790490049999999E-2</v>
      </c>
      <c r="X40" s="314">
        <v>0.1147</v>
      </c>
      <c r="Y40" s="315">
        <v>1.64</v>
      </c>
      <c r="Z40" s="316">
        <f t="shared" si="31"/>
        <v>2.7128746525582729E-2</v>
      </c>
      <c r="AA40" s="317">
        <v>2.6179999999999998E-2</v>
      </c>
      <c r="AB40" s="318">
        <v>1.2999999999999999E-4</v>
      </c>
      <c r="AC40" s="319">
        <f t="shared" si="32"/>
        <v>0.49656226126814362</v>
      </c>
      <c r="AD40" s="320">
        <f t="shared" si="33"/>
        <v>3.623936308566579</v>
      </c>
      <c r="AE40" s="319">
        <f t="shared" si="34"/>
        <v>1.7135267956223303</v>
      </c>
      <c r="AF40" s="316">
        <f t="shared" si="35"/>
        <v>4.6485834103232202E-4</v>
      </c>
      <c r="AG40" s="765"/>
      <c r="AL40" s="293">
        <f t="shared" si="36"/>
        <v>7.6636382850915431E-7</v>
      </c>
      <c r="AM40" s="292">
        <f t="shared" si="37"/>
        <v>0.7663638285091543</v>
      </c>
      <c r="BA40" s="321"/>
    </row>
    <row r="41" spans="1:55" s="292" customFormat="1" x14ac:dyDescent="0.35">
      <c r="A41" s="297">
        <v>3000</v>
      </c>
      <c r="B41" s="298">
        <f t="shared" si="24"/>
        <v>300</v>
      </c>
      <c r="C41" s="299">
        <f t="shared" si="20"/>
        <v>8954.0000000001164</v>
      </c>
      <c r="D41" s="322">
        <f t="shared" si="39"/>
        <v>28804.699999999953</v>
      </c>
      <c r="E41" s="323"/>
      <c r="F41" s="324"/>
      <c r="G41" s="325">
        <v>0.11243209799999999</v>
      </c>
      <c r="H41" s="304">
        <f t="shared" si="25"/>
        <v>1.5839961292325851E-2</v>
      </c>
      <c r="I41" s="305">
        <f t="shared" si="21"/>
        <v>-36.965681951302557</v>
      </c>
      <c r="J41" s="326">
        <v>8.0853965600000003E-4</v>
      </c>
      <c r="K41" s="327">
        <f t="shared" si="22"/>
        <v>0.71913596773761179</v>
      </c>
      <c r="L41" s="308">
        <f t="shared" si="26"/>
        <v>137.41060583841971</v>
      </c>
      <c r="M41" s="308">
        <f t="shared" si="27"/>
        <v>0.72774586350044468</v>
      </c>
      <c r="N41" s="328">
        <v>9.4414268700000002E-3</v>
      </c>
      <c r="O41" s="304">
        <f t="shared" si="28"/>
        <v>1.330152499379005E-3</v>
      </c>
      <c r="P41" s="329">
        <v>5.0330343399999998E-7</v>
      </c>
      <c r="Q41" s="330">
        <f t="shared" si="29"/>
        <v>0.10299067112999999</v>
      </c>
      <c r="R41" s="331">
        <v>-1.55889299E-2</v>
      </c>
      <c r="S41" s="326">
        <v>1.00117132E-4</v>
      </c>
      <c r="T41" s="327">
        <f t="shared" si="23"/>
        <v>-0.642232229166673</v>
      </c>
      <c r="U41" s="332">
        <v>9.4767069599999993E-3</v>
      </c>
      <c r="V41" s="329">
        <v>6.6195628800000001E-7</v>
      </c>
      <c r="W41" s="330">
        <f t="shared" si="30"/>
        <v>-2.5065636859999997E-2</v>
      </c>
      <c r="X41" s="333">
        <v>0.1295</v>
      </c>
      <c r="Y41" s="334">
        <v>1.63</v>
      </c>
      <c r="Z41" s="316">
        <f t="shared" si="31"/>
        <v>3.1517417429708129E-2</v>
      </c>
      <c r="AA41" s="317">
        <v>3.0630000000000001E-2</v>
      </c>
      <c r="AB41" s="318">
        <v>1.1E-4</v>
      </c>
      <c r="AC41" s="319">
        <f t="shared" si="32"/>
        <v>0.35912504080966373</v>
      </c>
      <c r="AD41" s="320">
        <f t="shared" si="33"/>
        <v>2.897216551446713</v>
      </c>
      <c r="AE41" s="319">
        <f t="shared" si="34"/>
        <v>1.6690928059687222</v>
      </c>
      <c r="AF41" s="316">
        <f t="shared" si="35"/>
        <v>5.2605494694639052E-4</v>
      </c>
      <c r="AG41" s="765"/>
      <c r="AL41" s="293">
        <f t="shared" si="36"/>
        <v>7.9529475776061766E-7</v>
      </c>
      <c r="AM41" s="292">
        <f t="shared" si="37"/>
        <v>0.79529475776061764</v>
      </c>
      <c r="BA41" s="321"/>
    </row>
    <row r="42" spans="1:55" s="292" customFormat="1" x14ac:dyDescent="0.35">
      <c r="A42" s="297">
        <v>3100</v>
      </c>
      <c r="B42" s="298">
        <f t="shared" si="24"/>
        <v>310</v>
      </c>
      <c r="C42" s="299">
        <f t="shared" si="20"/>
        <v>37758.70000000007</v>
      </c>
      <c r="D42" s="322">
        <f t="shared" si="39"/>
        <v>28804.70000000007</v>
      </c>
      <c r="E42" s="323"/>
      <c r="F42" s="324"/>
      <c r="G42" s="325">
        <v>0.119248677</v>
      </c>
      <c r="H42" s="304">
        <f t="shared" si="25"/>
        <v>1.6800312912786417E-2</v>
      </c>
      <c r="I42" s="305">
        <f t="shared" si="21"/>
        <v>-45.758090572905481</v>
      </c>
      <c r="J42" s="326">
        <v>8.5798157199999995E-4</v>
      </c>
      <c r="K42" s="327">
        <f t="shared" si="22"/>
        <v>0.71948938435602094</v>
      </c>
      <c r="L42" s="308">
        <f t="shared" si="26"/>
        <v>137.43699331742837</v>
      </c>
      <c r="M42" s="308">
        <f t="shared" si="27"/>
        <v>0.7276061385382403</v>
      </c>
      <c r="N42" s="328">
        <v>9.4416936900000008E-3</v>
      </c>
      <c r="O42" s="304">
        <f t="shared" si="28"/>
        <v>1.3301900902320373E-3</v>
      </c>
      <c r="P42" s="329">
        <v>9.9523886100000006E-7</v>
      </c>
      <c r="Q42" s="330">
        <f t="shared" si="29"/>
        <v>0.10980698330999999</v>
      </c>
      <c r="R42" s="331">
        <v>-1.7302883500000001E-2</v>
      </c>
      <c r="S42" s="326">
        <v>1.00121155E-4</v>
      </c>
      <c r="T42" s="327">
        <f t="shared" si="23"/>
        <v>-0.5786385546663364</v>
      </c>
      <c r="U42" s="332">
        <v>9.4769268000000004E-3</v>
      </c>
      <c r="V42" s="329">
        <v>2.0363079700000002E-6</v>
      </c>
      <c r="W42" s="330">
        <f t="shared" si="30"/>
        <v>-2.6779810300000002E-2</v>
      </c>
      <c r="X42" s="333">
        <v>0.13750000000000001</v>
      </c>
      <c r="Y42" s="334">
        <v>1.63</v>
      </c>
      <c r="Z42" s="316">
        <f t="shared" si="31"/>
        <v>3.3533604195778548E-2</v>
      </c>
      <c r="AA42" s="317">
        <v>3.2731999999999997E-2</v>
      </c>
      <c r="AB42" s="318">
        <v>9.5000000000000005E-5</v>
      </c>
      <c r="AC42" s="319">
        <f t="shared" si="32"/>
        <v>0.29023585482097031</v>
      </c>
      <c r="AD42" s="320">
        <f t="shared" si="33"/>
        <v>2.4489924104196219</v>
      </c>
      <c r="AE42" s="319">
        <f t="shared" si="34"/>
        <v>1.6556378986431963</v>
      </c>
      <c r="AF42" s="316">
        <f t="shared" si="35"/>
        <v>5.5519505984631473E-4</v>
      </c>
      <c r="AG42" s="765"/>
      <c r="AL42" s="293">
        <f t="shared" si="36"/>
        <v>7.9859624225454546E-7</v>
      </c>
      <c r="AM42" s="292">
        <f t="shared" si="37"/>
        <v>0.79859624225454551</v>
      </c>
      <c r="BA42" s="321"/>
    </row>
    <row r="43" spans="1:55" s="292" customFormat="1" x14ac:dyDescent="0.35">
      <c r="A43" s="297">
        <v>3200</v>
      </c>
      <c r="B43" s="298">
        <f t="shared" si="24"/>
        <v>320</v>
      </c>
      <c r="C43" s="299">
        <f t="shared" si="20"/>
        <v>66563.40000000014</v>
      </c>
      <c r="D43" s="335">
        <f t="shared" si="39"/>
        <v>28804.699999999953</v>
      </c>
      <c r="E43" s="323"/>
      <c r="F43" s="324"/>
      <c r="G43" s="325">
        <v>0.121850825</v>
      </c>
      <c r="H43" s="304">
        <f t="shared" si="25"/>
        <v>1.7166915727552919E-2</v>
      </c>
      <c r="I43" s="305">
        <f t="shared" si="21"/>
        <v>-52.83057560087979</v>
      </c>
      <c r="J43" s="326">
        <v>8.9381867600000001E-4</v>
      </c>
      <c r="K43" s="327">
        <f t="shared" si="22"/>
        <v>0.73353518615897761</v>
      </c>
      <c r="L43" s="308">
        <f t="shared" si="26"/>
        <v>134.83789133062635</v>
      </c>
      <c r="M43" s="308">
        <f t="shared" si="27"/>
        <v>0.74163129527735761</v>
      </c>
      <c r="N43" s="328">
        <v>9.4415375399999994E-3</v>
      </c>
      <c r="O43" s="304">
        <f>N43/MAX($G$31:$G$51)</f>
        <v>1.3301680910876663E-3</v>
      </c>
      <c r="P43" s="329">
        <v>6.4525908700000002E-7</v>
      </c>
      <c r="Q43" s="330">
        <f t="shared" si="29"/>
        <v>0.11240928745999999</v>
      </c>
      <c r="R43" s="331">
        <v>-1.7760920900000001E-2</v>
      </c>
      <c r="S43" s="326">
        <v>1.36059483E-4</v>
      </c>
      <c r="T43" s="327">
        <f t="shared" si="23"/>
        <v>-0.76606097040835308</v>
      </c>
      <c r="U43" s="332">
        <v>9.4766413500000004E-3</v>
      </c>
      <c r="V43" s="329">
        <v>2.2458099900000002E-6</v>
      </c>
      <c r="W43" s="330">
        <f t="shared" si="30"/>
        <v>-2.723756225E-2</v>
      </c>
      <c r="X43" s="333">
        <v>0.14219999999999999</v>
      </c>
      <c r="Y43" s="334">
        <v>1.63</v>
      </c>
      <c r="Z43" s="316">
        <f t="shared" si="31"/>
        <v>3.4456061767389481E-2</v>
      </c>
      <c r="AA43" s="317">
        <v>3.3631000000000001E-2</v>
      </c>
      <c r="AB43" s="318">
        <v>9.6000000000000002E-5</v>
      </c>
      <c r="AC43" s="319">
        <f t="shared" si="32"/>
        <v>0.28545092325532995</v>
      </c>
      <c r="AD43" s="320">
        <f t="shared" si="33"/>
        <v>2.453277533791681</v>
      </c>
      <c r="AE43" s="319">
        <f t="shared" si="34"/>
        <v>1.6548057981489308</v>
      </c>
      <c r="AF43" s="316">
        <f t="shared" si="35"/>
        <v>5.7018090794053807E-4</v>
      </c>
      <c r="AG43" s="765"/>
      <c r="AL43" s="293">
        <f t="shared" si="36"/>
        <v>7.9050131828410682E-7</v>
      </c>
      <c r="AM43" s="292">
        <f t="shared" si="37"/>
        <v>0.79050131828410686</v>
      </c>
      <c r="BA43" s="321"/>
    </row>
    <row r="44" spans="1:55" s="292" customFormat="1" x14ac:dyDescent="0.35">
      <c r="A44" s="297">
        <v>3300</v>
      </c>
      <c r="B44" s="298">
        <f t="shared" si="24"/>
        <v>330</v>
      </c>
      <c r="C44" s="299">
        <f t="shared" si="20"/>
        <v>95368.100000000093</v>
      </c>
      <c r="D44" s="335">
        <f t="shared" si="39"/>
        <v>28804.699999999953</v>
      </c>
      <c r="E44" s="323"/>
      <c r="F44" s="324"/>
      <c r="G44" s="325">
        <v>0.124485874</v>
      </c>
      <c r="H44" s="304">
        <f t="shared" si="25"/>
        <v>1.7538153789510829E-2</v>
      </c>
      <c r="I44" s="305">
        <f t="shared" si="21"/>
        <v>-59.192638495950156</v>
      </c>
      <c r="J44" s="326">
        <v>9.0240045499999995E-4</v>
      </c>
      <c r="K44" s="327">
        <f t="shared" si="22"/>
        <v>0.72490189127804161</v>
      </c>
      <c r="L44" s="308">
        <f t="shared" si="26"/>
        <v>136.47574236688382</v>
      </c>
      <c r="M44" s="308">
        <f t="shared" si="27"/>
        <v>0.73273094738823896</v>
      </c>
      <c r="N44" s="328">
        <v>9.4406428300000001E-3</v>
      </c>
      <c r="O44" s="304">
        <f t="shared" si="28"/>
        <v>1.3300420401465211E-3</v>
      </c>
      <c r="P44" s="329">
        <v>8.9040389500000003E-7</v>
      </c>
      <c r="Q44" s="330">
        <f t="shared" si="29"/>
        <v>0.11504523117</v>
      </c>
      <c r="R44" s="331">
        <v>-1.8207791500000001E-2</v>
      </c>
      <c r="S44" s="326">
        <v>1.3093529400000001E-4</v>
      </c>
      <c r="T44" s="327">
        <f t="shared" si="23"/>
        <v>-0.71911683522957748</v>
      </c>
      <c r="U44" s="332">
        <v>9.4771622399999998E-3</v>
      </c>
      <c r="V44" s="329">
        <v>2.1083406099999999E-6</v>
      </c>
      <c r="W44" s="330">
        <f t="shared" si="30"/>
        <v>-2.7684953740000001E-2</v>
      </c>
      <c r="X44" s="333">
        <v>0.14549999999999999</v>
      </c>
      <c r="Y44" s="334">
        <v>1.63</v>
      </c>
      <c r="Z44" s="316">
        <f t="shared" si="31"/>
        <v>3.5013713547306174E-2</v>
      </c>
      <c r="AA44" s="317">
        <v>3.4394000000000001E-2</v>
      </c>
      <c r="AB44" s="318">
        <v>8.8999999999999995E-5</v>
      </c>
      <c r="AC44" s="319">
        <f t="shared" si="32"/>
        <v>0.25876606384834561</v>
      </c>
      <c r="AD44" s="320">
        <f t="shared" si="33"/>
        <v>1.8018071387630792</v>
      </c>
      <c r="AE44" s="319">
        <f t="shared" si="34"/>
        <v>1.6504120321300271</v>
      </c>
      <c r="AF44" s="316">
        <f t="shared" si="35"/>
        <v>5.778705412802825E-4</v>
      </c>
      <c r="AG44" s="765"/>
      <c r="AL44" s="293">
        <f t="shared" si="36"/>
        <v>7.9068887402061857E-7</v>
      </c>
      <c r="AM44" s="292">
        <f t="shared" si="37"/>
        <v>0.7906888740206186</v>
      </c>
      <c r="BA44" s="321"/>
    </row>
    <row r="45" spans="1:55" s="292" customFormat="1" x14ac:dyDescent="0.35">
      <c r="A45" s="297">
        <v>3400</v>
      </c>
      <c r="B45" s="298">
        <f t="shared" si="24"/>
        <v>340</v>
      </c>
      <c r="C45" s="299">
        <f t="shared" si="20"/>
        <v>124172.80000000005</v>
      </c>
      <c r="D45" s="335">
        <f t="shared" si="39"/>
        <v>28804.70000000007</v>
      </c>
      <c r="E45" s="323"/>
      <c r="F45" s="324"/>
      <c r="G45" s="325">
        <v>0.125326781</v>
      </c>
      <c r="H45" s="304">
        <f t="shared" si="25"/>
        <v>1.7656624711670853E-2</v>
      </c>
      <c r="I45" s="305">
        <f t="shared" si="21"/>
        <v>-65.083545384654329</v>
      </c>
      <c r="J45" s="326">
        <v>9.3843629399999998E-4</v>
      </c>
      <c r="K45" s="327">
        <f t="shared" si="22"/>
        <v>0.74879150849649612</v>
      </c>
      <c r="L45" s="308">
        <f t="shared" si="26"/>
        <v>132.13113935738573</v>
      </c>
      <c r="M45" s="308">
        <f t="shared" si="27"/>
        <v>0.75682386821415315</v>
      </c>
      <c r="N45" s="328">
        <v>9.4399457299999996E-3</v>
      </c>
      <c r="O45" s="304">
        <f t="shared" si="28"/>
        <v>1.3299438294290008E-3</v>
      </c>
      <c r="P45" s="329">
        <v>1.6009190500000001E-6</v>
      </c>
      <c r="Q45" s="330">
        <f t="shared" si="29"/>
        <v>0.11588683527</v>
      </c>
      <c r="R45" s="331">
        <v>-1.8776147199999999E-2</v>
      </c>
      <c r="S45" s="326">
        <v>1.3857655000000001E-4</v>
      </c>
      <c r="T45" s="327">
        <f t="shared" si="23"/>
        <v>-0.73804571578987199</v>
      </c>
      <c r="U45" s="332">
        <v>9.4768300299999993E-3</v>
      </c>
      <c r="V45" s="329">
        <v>1.28591959E-6</v>
      </c>
      <c r="W45" s="330">
        <f t="shared" si="30"/>
        <v>-2.8252977229999997E-2</v>
      </c>
      <c r="X45" s="333">
        <v>0.14779999999999999</v>
      </c>
      <c r="Y45" s="334">
        <v>1.63</v>
      </c>
      <c r="Z45" s="316">
        <f t="shared" si="31"/>
        <v>3.6033342569628347E-2</v>
      </c>
      <c r="AA45" s="317">
        <v>3.5340000000000003E-2</v>
      </c>
      <c r="AB45" s="318">
        <v>9.0000000000000006E-5</v>
      </c>
      <c r="AC45" s="319">
        <f t="shared" si="32"/>
        <v>0.25466893039049238</v>
      </c>
      <c r="AD45" s="320">
        <f t="shared" si="33"/>
        <v>1.9619201177938428</v>
      </c>
      <c r="AE45" s="319">
        <f t="shared" si="34"/>
        <v>1.6497746100926143</v>
      </c>
      <c r="AF45" s="316">
        <f t="shared" si="35"/>
        <v>5.9446893688142207E-4</v>
      </c>
      <c r="AG45" s="765"/>
      <c r="AL45" s="293">
        <f t="shared" si="36"/>
        <v>7.8407872307171853E-7</v>
      </c>
      <c r="AM45" s="292">
        <f t="shared" si="37"/>
        <v>0.78407872307171855</v>
      </c>
      <c r="BA45" s="321"/>
    </row>
    <row r="46" spans="1:55" s="292" customFormat="1" x14ac:dyDescent="0.35">
      <c r="A46" s="297">
        <v>3500</v>
      </c>
      <c r="B46" s="298">
        <f t="shared" si="24"/>
        <v>350</v>
      </c>
      <c r="C46" s="299">
        <f t="shared" si="20"/>
        <v>152977.50000000012</v>
      </c>
      <c r="D46" s="335">
        <f t="shared" si="39"/>
        <v>28804.699999999953</v>
      </c>
      <c r="E46" s="323"/>
      <c r="F46" s="324"/>
      <c r="G46" s="325">
        <v>0.123032815</v>
      </c>
      <c r="H46" s="304">
        <f t="shared" si="25"/>
        <v>1.7333440022491507E-2</v>
      </c>
      <c r="I46" s="305">
        <f t="shared" si="21"/>
        <v>-69.213608553197886</v>
      </c>
      <c r="J46" s="326">
        <v>9.0974236500000001E-4</v>
      </c>
      <c r="K46" s="327">
        <f t="shared" si="22"/>
        <v>0.73943066733862828</v>
      </c>
      <c r="L46" s="308">
        <f t="shared" si="26"/>
        <v>133.77679451365941</v>
      </c>
      <c r="M46" s="308">
        <f t="shared" si="27"/>
        <v>0.7475137998600303</v>
      </c>
      <c r="N46" s="328">
        <v>9.4391782000000004E-3</v>
      </c>
      <c r="O46" s="304">
        <f t="shared" si="28"/>
        <v>1.3298356962027518E-3</v>
      </c>
      <c r="P46" s="329">
        <v>2.7644352400000001E-6</v>
      </c>
      <c r="Q46" s="330">
        <f t="shared" si="29"/>
        <v>0.11359363680000001</v>
      </c>
      <c r="R46" s="331">
        <v>-1.8518507399999998E-2</v>
      </c>
      <c r="S46" s="326">
        <v>1.0927738599999999E-4</v>
      </c>
      <c r="T46" s="327">
        <f t="shared" si="23"/>
        <v>-0.59009823869498246</v>
      </c>
      <c r="U46" s="332">
        <v>9.4771413000000002E-3</v>
      </c>
      <c r="V46" s="329">
        <v>6.1237763600000004E-7</v>
      </c>
      <c r="W46" s="330">
        <f t="shared" si="30"/>
        <v>-2.79956487E-2</v>
      </c>
      <c r="X46" s="333">
        <v>0.14810000000000001</v>
      </c>
      <c r="Y46" s="334">
        <v>1.63</v>
      </c>
      <c r="Z46" s="316">
        <f t="shared" si="31"/>
        <v>3.6499892857290751E-2</v>
      </c>
      <c r="AA46" s="317">
        <v>3.5982E-2</v>
      </c>
      <c r="AB46" s="318">
        <v>9.2E-5</v>
      </c>
      <c r="AC46" s="319">
        <f t="shared" si="32"/>
        <v>0.25568339725418265</v>
      </c>
      <c r="AD46" s="320">
        <f t="shared" si="33"/>
        <v>1.4393109257149441</v>
      </c>
      <c r="AE46" s="319">
        <f t="shared" si="34"/>
        <v>1.6499315136185015</v>
      </c>
      <c r="AF46" s="316">
        <f t="shared" si="35"/>
        <v>6.0222323468942863E-4</v>
      </c>
      <c r="AG46" s="765"/>
      <c r="AL46" s="293">
        <f t="shared" si="36"/>
        <v>7.6700632545577318E-7</v>
      </c>
      <c r="AM46" s="292">
        <f t="shared" si="37"/>
        <v>0.76700632545577319</v>
      </c>
      <c r="BA46" s="321"/>
    </row>
    <row r="47" spans="1:55" s="292" customFormat="1" x14ac:dyDescent="0.35">
      <c r="A47" s="297">
        <v>3600</v>
      </c>
      <c r="B47" s="298">
        <f t="shared" si="24"/>
        <v>360</v>
      </c>
      <c r="C47" s="299">
        <f t="shared" si="20"/>
        <v>181782.20000000007</v>
      </c>
      <c r="D47" s="335">
        <f t="shared" si="39"/>
        <v>28804.70000000007</v>
      </c>
      <c r="E47" s="323"/>
      <c r="F47" s="324"/>
      <c r="G47" s="325">
        <v>0.11723389400000001</v>
      </c>
      <c r="H47" s="304">
        <f t="shared" si="25"/>
        <v>1.6516460834063881E-2</v>
      </c>
      <c r="I47" s="305">
        <f t="shared" si="21"/>
        <v>-70.549516909506366</v>
      </c>
      <c r="J47" s="326">
        <v>8.6722899E-4</v>
      </c>
      <c r="K47" s="327">
        <f t="shared" si="22"/>
        <v>0.73974254408029816</v>
      </c>
      <c r="L47" s="308">
        <f t="shared" si="26"/>
        <v>133.64847850569473</v>
      </c>
      <c r="M47" s="308">
        <f t="shared" si="27"/>
        <v>0.7482314884395711</v>
      </c>
      <c r="N47" s="328">
        <v>9.4401998099999992E-3</v>
      </c>
      <c r="O47" s="304">
        <f t="shared" si="28"/>
        <v>1.3299796254110801E-3</v>
      </c>
      <c r="P47" s="329">
        <v>1.01475196E-6</v>
      </c>
      <c r="Q47" s="330">
        <f t="shared" si="29"/>
        <v>0.10779369419000001</v>
      </c>
      <c r="R47" s="331">
        <v>-1.7911418700000001E-2</v>
      </c>
      <c r="S47" s="326">
        <v>1.12349551E-4</v>
      </c>
      <c r="T47" s="327">
        <f t="shared" si="23"/>
        <v>-0.62725098933676304</v>
      </c>
      <c r="U47" s="332">
        <v>9.47633841E-3</v>
      </c>
      <c r="V47" s="329">
        <v>1.38086591E-6</v>
      </c>
      <c r="W47" s="330">
        <f t="shared" si="30"/>
        <v>-2.7387757110000001E-2</v>
      </c>
      <c r="X47" s="333">
        <v>0.1447</v>
      </c>
      <c r="Y47" s="334">
        <v>1.63</v>
      </c>
      <c r="Z47" s="316">
        <f t="shared" si="31"/>
        <v>3.6764752183292809E-2</v>
      </c>
      <c r="AA47" s="317">
        <v>3.585E-2</v>
      </c>
      <c r="AB47" s="318">
        <v>1E-4</v>
      </c>
      <c r="AC47" s="319">
        <f t="shared" si="32"/>
        <v>0.2789400278940028</v>
      </c>
      <c r="AD47" s="320">
        <f t="shared" si="33"/>
        <v>2.5516099952379618</v>
      </c>
      <c r="AE47" s="319">
        <f t="shared" si="34"/>
        <v>1.6536951167496101</v>
      </c>
      <c r="AF47" s="316">
        <f t="shared" si="35"/>
        <v>6.0797691154020886E-4</v>
      </c>
      <c r="AG47" s="765"/>
      <c r="AL47" s="293">
        <f t="shared" si="36"/>
        <v>7.4494605521769185E-7</v>
      </c>
      <c r="AM47" s="292">
        <f t="shared" si="37"/>
        <v>0.74494605521769186</v>
      </c>
      <c r="BA47" s="321"/>
    </row>
    <row r="48" spans="1:55" s="292" customFormat="1" x14ac:dyDescent="0.35">
      <c r="A48" s="297">
        <v>3700</v>
      </c>
      <c r="B48" s="298">
        <f t="shared" si="24"/>
        <v>370</v>
      </c>
      <c r="C48" s="299">
        <f t="shared" si="20"/>
        <v>210586.90000000014</v>
      </c>
      <c r="D48" s="335">
        <f t="shared" si="39"/>
        <v>28804.699999999953</v>
      </c>
      <c r="E48" s="323"/>
      <c r="F48" s="324"/>
      <c r="G48" s="325">
        <v>0.114930962</v>
      </c>
      <c r="H48" s="304">
        <f t="shared" si="25"/>
        <v>1.6192012972752436E-2</v>
      </c>
      <c r="I48" s="305">
        <f t="shared" si="21"/>
        <v>-73.087472366535266</v>
      </c>
      <c r="J48" s="326">
        <v>8.8684243799999998E-4</v>
      </c>
      <c r="K48" s="327">
        <f t="shared" si="22"/>
        <v>0.77163057070730856</v>
      </c>
      <c r="L48" s="308">
        <f t="shared" si="26"/>
        <v>128.09584982073895</v>
      </c>
      <c r="M48" s="308">
        <f t="shared" si="27"/>
        <v>0.78066541687293456</v>
      </c>
      <c r="N48" s="328">
        <v>9.4408560899999997E-3</v>
      </c>
      <c r="O48" s="304">
        <f t="shared" si="28"/>
        <v>1.3300720852155474E-3</v>
      </c>
      <c r="P48" s="329">
        <v>8.6600104200000002E-7</v>
      </c>
      <c r="Q48" s="330">
        <f t="shared" si="29"/>
        <v>0.10549010590999999</v>
      </c>
      <c r="R48" s="331">
        <v>-2.2676620000000001E-2</v>
      </c>
      <c r="S48" s="326">
        <v>1.52591514E-4</v>
      </c>
      <c r="T48" s="327">
        <f t="shared" si="23"/>
        <v>-0.6729023725758071</v>
      </c>
      <c r="U48" s="332">
        <v>9.4773058000000004E-3</v>
      </c>
      <c r="V48" s="329">
        <v>2.9884554699999999E-6</v>
      </c>
      <c r="W48" s="330">
        <f t="shared" si="30"/>
        <v>-3.2153925800000004E-2</v>
      </c>
      <c r="X48" s="333">
        <v>0.1449</v>
      </c>
      <c r="Y48" s="334">
        <v>1.33</v>
      </c>
      <c r="Z48" s="316">
        <f t="shared" si="31"/>
        <v>4.4166263823784239E-2</v>
      </c>
      <c r="AA48" s="317">
        <v>4.1169999999999998E-2</v>
      </c>
      <c r="AB48" s="318">
        <v>2.5999999999999998E-4</v>
      </c>
      <c r="AC48" s="319">
        <f t="shared" si="32"/>
        <v>0.63152781151323778</v>
      </c>
      <c r="AD48" s="320">
        <f t="shared" si="33"/>
        <v>7.2777843667336448</v>
      </c>
      <c r="AE48" s="319">
        <f t="shared" si="34"/>
        <v>1.47232040558932</v>
      </c>
      <c r="AF48" s="316">
        <f t="shared" si="35"/>
        <v>6.5026891466398926E-4</v>
      </c>
      <c r="AG48" s="765"/>
      <c r="AL48" s="293">
        <f t="shared" si="36"/>
        <v>7.2802005458937194E-7</v>
      </c>
      <c r="AM48" s="292">
        <f t="shared" si="37"/>
        <v>0.72802005458937191</v>
      </c>
      <c r="BA48" s="321"/>
    </row>
    <row r="49" spans="1:55" s="292" customFormat="1" x14ac:dyDescent="0.35">
      <c r="A49" s="297">
        <v>3800</v>
      </c>
      <c r="B49" s="298">
        <f t="shared" si="24"/>
        <v>380</v>
      </c>
      <c r="C49" s="299">
        <f t="shared" si="20"/>
        <v>239391.60000000009</v>
      </c>
      <c r="D49" s="335">
        <f t="shared" si="39"/>
        <v>28804.699999999953</v>
      </c>
      <c r="E49" s="323"/>
      <c r="F49" s="324"/>
      <c r="G49" s="325">
        <v>0.121121298</v>
      </c>
      <c r="H49" s="304">
        <f t="shared" si="25"/>
        <v>1.7064136542184461E-2</v>
      </c>
      <c r="I49" s="305">
        <f t="shared" si="21"/>
        <v>-81.101923929062593</v>
      </c>
      <c r="J49" s="326">
        <v>9.2592245499999995E-4</v>
      </c>
      <c r="K49" s="327">
        <f t="shared" si="22"/>
        <v>0.76445882787682795</v>
      </c>
      <c r="L49" s="308">
        <f t="shared" si="26"/>
        <v>129.3748905257365</v>
      </c>
      <c r="M49" s="308">
        <f t="shared" si="27"/>
        <v>0.77294751395447203</v>
      </c>
      <c r="N49" s="328">
        <v>9.4410801800000003E-3</v>
      </c>
      <c r="O49" s="304">
        <f t="shared" si="28"/>
        <v>1.3301036560657686E-3</v>
      </c>
      <c r="P49" s="329">
        <v>1.0572638899999999E-6</v>
      </c>
      <c r="Q49" s="330">
        <f t="shared" si="29"/>
        <v>0.11168021782</v>
      </c>
      <c r="R49" s="331">
        <v>-3.6417588799999998E-2</v>
      </c>
      <c r="S49" s="326">
        <v>2.5360108799999997E-4</v>
      </c>
      <c r="T49" s="327">
        <f t="shared" si="23"/>
        <v>-0.69636979370803365</v>
      </c>
      <c r="U49" s="332">
        <v>9.4775010699999999E-3</v>
      </c>
      <c r="V49" s="329">
        <v>2.91766788E-6</v>
      </c>
      <c r="W49" s="330">
        <f t="shared" si="30"/>
        <v>-4.5895089869999996E-2</v>
      </c>
      <c r="X49" s="333">
        <v>0.15670000000000001</v>
      </c>
      <c r="Y49" s="334">
        <v>0.79</v>
      </c>
      <c r="Z49" s="316">
        <f t="shared" si="31"/>
        <v>6.4396011424514607E-2</v>
      </c>
      <c r="AA49" s="317">
        <v>6.0400000000000002E-2</v>
      </c>
      <c r="AB49" s="318">
        <v>4.2000000000000002E-4</v>
      </c>
      <c r="AC49" s="319">
        <f t="shared" si="32"/>
        <v>0.69536423841059603</v>
      </c>
      <c r="AD49" s="320">
        <f t="shared" si="33"/>
        <v>6.6159129544943784</v>
      </c>
      <c r="AE49" s="319">
        <f t="shared" si="34"/>
        <v>1.0524406985955779</v>
      </c>
      <c r="AF49" s="316">
        <f t="shared" si="35"/>
        <v>6.7772983250384967E-4</v>
      </c>
      <c r="AG49" s="765"/>
      <c r="AL49" s="293">
        <f t="shared" si="36"/>
        <v>7.1270081569878743E-7</v>
      </c>
      <c r="AM49" s="292">
        <f t="shared" si="37"/>
        <v>0.7127008156987874</v>
      </c>
      <c r="BA49" s="321"/>
    </row>
    <row r="50" spans="1:55" s="292" customFormat="1" x14ac:dyDescent="0.35">
      <c r="A50" s="297">
        <v>3900</v>
      </c>
      <c r="B50" s="298">
        <f t="shared" si="24"/>
        <v>390</v>
      </c>
      <c r="C50" s="299">
        <f t="shared" si="20"/>
        <v>268196.30000000005</v>
      </c>
      <c r="D50" s="300">
        <f t="shared" si="39"/>
        <v>28804.699999999953</v>
      </c>
      <c r="E50" s="301"/>
      <c r="F50" s="302"/>
      <c r="G50" s="303">
        <v>0.12618294599999999</v>
      </c>
      <c r="H50" s="304">
        <f t="shared" si="25"/>
        <v>1.7777245252433543E-2</v>
      </c>
      <c r="I50" s="305">
        <f t="shared" si="21"/>
        <v>-89.514325395487177</v>
      </c>
      <c r="J50" s="306">
        <v>9.7661279900000003E-4</v>
      </c>
      <c r="K50" s="307">
        <f t="shared" si="22"/>
        <v>0.77396576158556341</v>
      </c>
      <c r="L50" s="308">
        <f t="shared" si="26"/>
        <v>127.84267150210695</v>
      </c>
      <c r="M50" s="308">
        <f t="shared" si="27"/>
        <v>0.78221143867720189</v>
      </c>
      <c r="N50" s="309">
        <v>9.4411527799999999E-3</v>
      </c>
      <c r="O50" s="304">
        <f t="shared" si="28"/>
        <v>1.3301138842942751E-3</v>
      </c>
      <c r="P50" s="310">
        <v>8.09295148E-7</v>
      </c>
      <c r="Q50" s="336">
        <f t="shared" si="29"/>
        <v>0.11674179321999999</v>
      </c>
      <c r="R50" s="312">
        <v>-4.7999230599999998E-2</v>
      </c>
      <c r="S50" s="306">
        <v>3.3086978299999998E-4</v>
      </c>
      <c r="T50" s="307">
        <f t="shared" si="23"/>
        <v>-0.68932309719147877</v>
      </c>
      <c r="U50" s="313">
        <v>9.4785129300000003E-3</v>
      </c>
      <c r="V50" s="310">
        <v>2.7065631799999999E-6</v>
      </c>
      <c r="W50" s="336">
        <f t="shared" si="30"/>
        <v>-5.747774353E-2</v>
      </c>
      <c r="X50" s="314">
        <v>0.1691</v>
      </c>
      <c r="Y50" s="315">
        <v>0.65</v>
      </c>
      <c r="Z50" s="316">
        <f t="shared" si="31"/>
        <v>8.3256271493162878E-2</v>
      </c>
      <c r="AA50" s="317">
        <v>8.0509999999999998E-2</v>
      </c>
      <c r="AB50" s="318">
        <v>3.6000000000000002E-4</v>
      </c>
      <c r="AC50" s="319">
        <f t="shared" si="32"/>
        <v>0.44714942243199607</v>
      </c>
      <c r="AD50" s="320">
        <f t="shared" si="33"/>
        <v>3.4110936444701032</v>
      </c>
      <c r="AE50" s="319">
        <f t="shared" si="34"/>
        <v>0.78895031908306357</v>
      </c>
      <c r="AF50" s="316">
        <f t="shared" si="35"/>
        <v>6.5685061960197016E-4</v>
      </c>
      <c r="AG50" s="765"/>
      <c r="AL50" s="293">
        <f t="shared" si="36"/>
        <v>6.9037133778829088E-7</v>
      </c>
      <c r="AM50" s="292">
        <f t="shared" si="37"/>
        <v>0.69037133778829085</v>
      </c>
      <c r="BA50" s="321"/>
    </row>
    <row r="51" spans="1:55" s="292" customFormat="1" ht="15" thickBot="1" x14ac:dyDescent="0.4">
      <c r="A51" s="337">
        <v>4000</v>
      </c>
      <c r="B51" s="298">
        <f>A51/10</f>
        <v>400</v>
      </c>
      <c r="C51" s="338">
        <f t="shared" si="20"/>
        <v>297001</v>
      </c>
      <c r="D51" s="339" t="e">
        <f>#REF!-C51</f>
        <v>#REF!</v>
      </c>
      <c r="E51" s="340" t="s">
        <v>30</v>
      </c>
      <c r="F51" s="341"/>
      <c r="G51" s="342">
        <v>0.127051149</v>
      </c>
      <c r="H51" s="304">
        <f t="shared" si="25"/>
        <v>1.7899561763096553E-2</v>
      </c>
      <c r="I51" s="305">
        <f t="shared" si="21"/>
        <v>-98.210043823690341</v>
      </c>
      <c r="J51" s="343">
        <v>9.33703496E-4</v>
      </c>
      <c r="K51" s="344">
        <f t="shared" si="22"/>
        <v>0.73490362216244098</v>
      </c>
      <c r="L51" s="308">
        <f t="shared" si="26"/>
        <v>134.64764517411092</v>
      </c>
      <c r="M51" s="308">
        <f t="shared" si="27"/>
        <v>0.74267915989686595</v>
      </c>
      <c r="N51" s="345">
        <v>9.4411953399999998E-3</v>
      </c>
      <c r="O51" s="304">
        <f t="shared" si="28"/>
        <v>1.330119880346689E-3</v>
      </c>
      <c r="P51" s="346">
        <v>8.4997747000000003E-7</v>
      </c>
      <c r="Q51" s="347">
        <f t="shared" si="29"/>
        <v>0.11760995366</v>
      </c>
      <c r="R51" s="348">
        <v>-5.4426722199999999E-2</v>
      </c>
      <c r="S51" s="343">
        <v>3.35358083E-4</v>
      </c>
      <c r="T51" s="344">
        <f t="shared" si="23"/>
        <v>-0.61616439396749112</v>
      </c>
      <c r="U51" s="349">
        <v>9.4777681000000006E-3</v>
      </c>
      <c r="V51" s="346">
        <v>2.72952654E-6</v>
      </c>
      <c r="W51" s="347">
        <f t="shared" si="30"/>
        <v>-6.3904490300000005E-2</v>
      </c>
      <c r="X51" s="350">
        <v>0.17979999999999999</v>
      </c>
      <c r="Y51" s="351">
        <v>0.49</v>
      </c>
      <c r="Z51" s="352">
        <f t="shared" si="31"/>
        <v>9.7696045261242551E-2</v>
      </c>
      <c r="AA51" s="353">
        <v>9.5990000000000006E-2</v>
      </c>
      <c r="AB51" s="354">
        <v>3.2000000000000003E-4</v>
      </c>
      <c r="AC51" s="355">
        <f t="shared" si="32"/>
        <v>0.33336805917283047</v>
      </c>
      <c r="AD51" s="356">
        <f t="shared" si="33"/>
        <v>1.777315617504474</v>
      </c>
      <c r="AE51" s="355">
        <f t="shared" si="34"/>
        <v>0.59265020279812586</v>
      </c>
      <c r="AF51" s="352">
        <f t="shared" si="35"/>
        <v>5.7899581036650286E-4</v>
      </c>
      <c r="AG51" s="766"/>
      <c r="AL51" s="293">
        <f t="shared" si="36"/>
        <v>6.5411542636262514E-7</v>
      </c>
      <c r="AM51" s="292">
        <f t="shared" si="37"/>
        <v>0.6541154263626251</v>
      </c>
      <c r="BA51" s="321"/>
    </row>
    <row r="52" spans="1:55" x14ac:dyDescent="0.35">
      <c r="C52" s="2"/>
      <c r="AA52" s="2"/>
      <c r="AB52" s="2"/>
      <c r="AC52" s="2"/>
      <c r="AD52" s="2"/>
      <c r="AE52" s="2"/>
      <c r="AF52" s="2"/>
      <c r="AG52" s="2"/>
      <c r="AH52" s="2"/>
      <c r="BC52" s="2"/>
    </row>
    <row r="53" spans="1:55" ht="15.5" x14ac:dyDescent="0.35">
      <c r="C53" s="2"/>
      <c r="N53" s="15" t="s">
        <v>33</v>
      </c>
      <c r="R53" s="110" t="s">
        <v>34</v>
      </c>
      <c r="S53" s="110" t="s">
        <v>35</v>
      </c>
      <c r="T53" s="111" t="s">
        <v>36</v>
      </c>
      <c r="AA53" s="2"/>
      <c r="AB53" s="2"/>
      <c r="AC53" s="2"/>
      <c r="AD53" s="2"/>
      <c r="AE53" s="2"/>
      <c r="AF53" s="2"/>
      <c r="AG53" s="2"/>
      <c r="AH53" s="2"/>
      <c r="BC53" s="2"/>
    </row>
    <row r="54" spans="1:55" ht="18.5" x14ac:dyDescent="0.35">
      <c r="C54" s="2"/>
      <c r="N54" s="18">
        <v>288.04700000000003</v>
      </c>
      <c r="O54" s="18"/>
      <c r="Q54" s="2">
        <f>N54*6330-N55</f>
        <v>968150.51000000024</v>
      </c>
      <c r="R54" s="112"/>
      <c r="S54" s="113">
        <v>9050</v>
      </c>
      <c r="T54" s="114">
        <f>S54*N54-N55</f>
        <v>1751638.35</v>
      </c>
      <c r="AA54" s="2"/>
      <c r="AB54" s="2"/>
      <c r="AC54" s="2"/>
      <c r="AD54" s="2"/>
      <c r="AE54" s="2"/>
      <c r="AF54" s="2"/>
      <c r="AG54" s="2"/>
      <c r="AH54" s="2"/>
      <c r="BC54" s="2"/>
    </row>
    <row r="55" spans="1:55" x14ac:dyDescent="0.35">
      <c r="C55" s="2"/>
      <c r="N55" s="115">
        <v>855187</v>
      </c>
      <c r="O55" s="115"/>
      <c r="AA55" s="2"/>
      <c r="AB55" s="2"/>
      <c r="AC55" s="2"/>
      <c r="AD55" s="2"/>
      <c r="AE55" s="2"/>
      <c r="AF55" s="2"/>
      <c r="AG55" s="2"/>
      <c r="AH55" s="2"/>
      <c r="BC55" s="2"/>
    </row>
    <row r="56" spans="1:55" x14ac:dyDescent="0.35">
      <c r="C56" s="2"/>
      <c r="J56" s="2">
        <v>2000</v>
      </c>
      <c r="K56" s="2">
        <f>J56*$N$54-$N$55</f>
        <v>-279093</v>
      </c>
      <c r="N56" s="99">
        <v>5500</v>
      </c>
      <c r="O56" s="99"/>
      <c r="P56" s="99">
        <f t="shared" ref="P56:P61" si="40">N56*$N$54-$N$55</f>
        <v>729071.50000000023</v>
      </c>
      <c r="Q56" s="99">
        <f>P56-P58</f>
        <v>288047.00000000023</v>
      </c>
      <c r="AA56" s="2"/>
      <c r="AB56" s="2"/>
      <c r="AC56" s="2"/>
      <c r="AD56" s="2"/>
      <c r="AE56" s="2"/>
      <c r="AF56" s="2"/>
      <c r="AG56" s="2"/>
      <c r="AH56" s="2"/>
      <c r="BC56" s="2"/>
    </row>
    <row r="57" spans="1:55" x14ac:dyDescent="0.35">
      <c r="C57" s="2"/>
      <c r="F57" s="100">
        <v>6970</v>
      </c>
      <c r="J57" s="2">
        <v>2500</v>
      </c>
      <c r="K57" s="2">
        <f>J57*$N$54-$N$55</f>
        <v>-135069.49999999988</v>
      </c>
      <c r="N57" s="99">
        <v>5000</v>
      </c>
      <c r="O57" s="99"/>
      <c r="P57" s="99">
        <f t="shared" si="40"/>
        <v>585048.00000000023</v>
      </c>
      <c r="AA57" s="2"/>
      <c r="AB57" s="2"/>
      <c r="AC57" s="2"/>
      <c r="AD57" s="2"/>
      <c r="AE57" s="2"/>
      <c r="AF57" s="2"/>
      <c r="AG57" s="2"/>
      <c r="AH57" s="2"/>
      <c r="BC57" s="2"/>
    </row>
    <row r="58" spans="1:55" x14ac:dyDescent="0.35">
      <c r="C58" s="2"/>
      <c r="N58" s="99">
        <v>4500</v>
      </c>
      <c r="O58" s="99"/>
      <c r="P58" s="99">
        <f t="shared" si="40"/>
        <v>441024.5</v>
      </c>
      <c r="Q58" s="99">
        <f>P58-P59</f>
        <v>288046.99999999988</v>
      </c>
      <c r="AA58" s="2"/>
      <c r="AB58" s="2"/>
      <c r="AC58" s="2"/>
      <c r="AD58" s="2"/>
      <c r="AE58" s="2"/>
      <c r="AF58" s="2"/>
      <c r="AG58" s="2"/>
      <c r="AH58" s="2"/>
      <c r="BC58" s="2"/>
    </row>
    <row r="59" spans="1:55" x14ac:dyDescent="0.35">
      <c r="C59" s="2"/>
      <c r="N59" s="99">
        <v>3500</v>
      </c>
      <c r="O59" s="99"/>
      <c r="P59" s="99">
        <f t="shared" si="40"/>
        <v>152977.50000000012</v>
      </c>
      <c r="AA59" s="2"/>
      <c r="AB59" s="2"/>
      <c r="AC59" s="2"/>
      <c r="AD59" s="2"/>
      <c r="AE59" s="2"/>
      <c r="AF59" s="2"/>
      <c r="AG59" s="2"/>
      <c r="AH59" s="2"/>
      <c r="BC59" s="2"/>
    </row>
    <row r="60" spans="1:55" x14ac:dyDescent="0.35">
      <c r="C60" s="2"/>
      <c r="F60" s="100">
        <v>9658</v>
      </c>
      <c r="J60" s="2">
        <f>K56-K57</f>
        <v>-144023.50000000012</v>
      </c>
      <c r="K60" s="2" t="s">
        <v>30</v>
      </c>
      <c r="N60" s="99">
        <f>F60-40</f>
        <v>9618</v>
      </c>
      <c r="O60" s="99"/>
      <c r="P60" s="99">
        <f t="shared" si="40"/>
        <v>1915249.0460000001</v>
      </c>
      <c r="AA60" s="2"/>
      <c r="AB60" s="2"/>
      <c r="AC60" s="2"/>
      <c r="AD60" s="2"/>
      <c r="AE60" s="2"/>
      <c r="AF60" s="2"/>
      <c r="AG60" s="2"/>
      <c r="AH60" s="2"/>
      <c r="BC60" s="2"/>
    </row>
    <row r="61" spans="1:55" x14ac:dyDescent="0.35">
      <c r="C61" s="2"/>
      <c r="N61" s="99">
        <f>F60+40</f>
        <v>9698</v>
      </c>
      <c r="O61" s="99"/>
      <c r="P61" s="99">
        <f t="shared" si="40"/>
        <v>1938292.8060000003</v>
      </c>
      <c r="AA61" s="2"/>
      <c r="AB61" s="2"/>
      <c r="AC61" s="2"/>
      <c r="AD61" s="2"/>
      <c r="AE61" s="2"/>
      <c r="AF61" s="2"/>
      <c r="AG61" s="2"/>
      <c r="AH61" s="2"/>
    </row>
    <row r="62" spans="1:55" x14ac:dyDescent="0.35">
      <c r="C62" s="2"/>
      <c r="AA62" s="2"/>
      <c r="AB62" s="2"/>
      <c r="AC62" s="2"/>
      <c r="AD62" s="2"/>
      <c r="AE62" s="2"/>
      <c r="AF62" s="2"/>
      <c r="AG62" s="2"/>
      <c r="AH62" s="2"/>
    </row>
    <row r="99" spans="10:12" x14ac:dyDescent="0.35">
      <c r="K99" s="2" t="s">
        <v>385</v>
      </c>
      <c r="L99" s="2" t="s">
        <v>217</v>
      </c>
    </row>
    <row r="100" spans="10:12" x14ac:dyDescent="0.35">
      <c r="J100" s="2">
        <v>2000</v>
      </c>
      <c r="K100" s="101">
        <f>-Q5</f>
        <v>4.387974900000001E-4</v>
      </c>
      <c r="L100" s="101">
        <f>W5</f>
        <v>9.1572499999999571E-5</v>
      </c>
    </row>
    <row r="101" spans="10:12" x14ac:dyDescent="0.35">
      <c r="J101" s="2">
        <v>2100</v>
      </c>
      <c r="K101" s="101">
        <f t="shared" ref="K101:K120" si="41">-Q6</f>
        <v>8.6255107999999928E-4</v>
      </c>
      <c r="L101" s="101">
        <f t="shared" ref="L101:L120" si="42">W6</f>
        <v>1.8266570000000093E-4</v>
      </c>
    </row>
    <row r="102" spans="10:12" x14ac:dyDescent="0.35">
      <c r="J102" s="2">
        <v>2200</v>
      </c>
      <c r="K102" s="101">
        <f t="shared" si="41"/>
        <v>3.0359860899999997E-3</v>
      </c>
      <c r="L102" s="101">
        <f t="shared" si="42"/>
        <v>6.4170169999999867E-4</v>
      </c>
    </row>
    <row r="103" spans="10:12" x14ac:dyDescent="0.35">
      <c r="J103" s="2">
        <v>2300</v>
      </c>
      <c r="K103" s="101">
        <f t="shared" si="41"/>
        <v>2.2015094339999999E-2</v>
      </c>
      <c r="L103" s="101">
        <f t="shared" si="42"/>
        <v>4.5877652699999986E-3</v>
      </c>
    </row>
    <row r="104" spans="10:12" x14ac:dyDescent="0.35">
      <c r="J104" s="2">
        <v>2400</v>
      </c>
      <c r="K104" s="101">
        <f t="shared" si="41"/>
        <v>0.10353072898</v>
      </c>
      <c r="L104" s="101">
        <f t="shared" si="42"/>
        <v>2.1537807620000002E-2</v>
      </c>
    </row>
    <row r="105" spans="10:12" x14ac:dyDescent="0.35">
      <c r="J105" s="2">
        <v>2500</v>
      </c>
      <c r="K105" s="101">
        <f t="shared" si="41"/>
        <v>0.26965288934999998</v>
      </c>
      <c r="L105" s="101">
        <f t="shared" si="42"/>
        <v>5.57081491E-2</v>
      </c>
    </row>
    <row r="106" spans="10:12" x14ac:dyDescent="0.35">
      <c r="J106" s="2">
        <v>2600</v>
      </c>
      <c r="K106" s="101">
        <f t="shared" si="41"/>
        <v>0.52012508678000002</v>
      </c>
      <c r="L106" s="101">
        <f t="shared" si="42"/>
        <v>0.1072366753</v>
      </c>
    </row>
    <row r="107" spans="10:12" x14ac:dyDescent="0.35">
      <c r="J107" s="2">
        <v>2700</v>
      </c>
      <c r="K107" s="101">
        <f t="shared" si="41"/>
        <v>0.85870207390000008</v>
      </c>
      <c r="L107" s="101">
        <f t="shared" si="42"/>
        <v>0.1770632573</v>
      </c>
    </row>
    <row r="108" spans="10:12" x14ac:dyDescent="0.35">
      <c r="J108" s="2">
        <v>2800</v>
      </c>
      <c r="K108" s="101">
        <f t="shared" si="41"/>
        <v>1.2699138996700001</v>
      </c>
      <c r="L108" s="101">
        <f t="shared" si="42"/>
        <v>0.27228057449999998</v>
      </c>
    </row>
    <row r="109" spans="10:12" x14ac:dyDescent="0.35">
      <c r="J109" s="2">
        <v>2900</v>
      </c>
      <c r="K109" s="101">
        <f t="shared" si="41"/>
        <v>1.8524965345700002</v>
      </c>
      <c r="L109" s="101">
        <f t="shared" si="42"/>
        <v>0.43160333369999998</v>
      </c>
    </row>
    <row r="110" spans="10:12" x14ac:dyDescent="0.35">
      <c r="J110" s="2">
        <v>3000</v>
      </c>
      <c r="K110" s="101">
        <f t="shared" si="41"/>
        <v>2.5413829528799998</v>
      </c>
      <c r="L110" s="101">
        <f t="shared" si="42"/>
        <v>0.61118265670000005</v>
      </c>
    </row>
    <row r="111" spans="10:12" x14ac:dyDescent="0.35">
      <c r="J111" s="2">
        <v>3100</v>
      </c>
      <c r="K111" s="101">
        <f t="shared" si="41"/>
        <v>3.1295386332199997</v>
      </c>
      <c r="L111" s="101">
        <f t="shared" si="42"/>
        <v>0.75769572550000008</v>
      </c>
    </row>
    <row r="112" spans="10:12" x14ac:dyDescent="0.35">
      <c r="J112" s="2">
        <v>3200</v>
      </c>
      <c r="K112" s="101">
        <f t="shared" si="41"/>
        <v>3.5999564613599997</v>
      </c>
      <c r="L112" s="101">
        <f t="shared" si="42"/>
        <v>0.86483583760000005</v>
      </c>
    </row>
    <row r="113" spans="10:12" x14ac:dyDescent="0.35">
      <c r="J113" s="2">
        <v>3300</v>
      </c>
      <c r="K113" s="101">
        <f t="shared" si="41"/>
        <v>4.0233954981100002</v>
      </c>
      <c r="L113" s="101">
        <f t="shared" si="42"/>
        <v>0.96587984099999991</v>
      </c>
    </row>
    <row r="114" spans="10:12" x14ac:dyDescent="0.35">
      <c r="J114" s="2">
        <v>3400</v>
      </c>
      <c r="K114" s="101">
        <f t="shared" si="41"/>
        <v>4.4139859697999997</v>
      </c>
      <c r="L114" s="101">
        <f t="shared" si="42"/>
        <v>1.0688206504</v>
      </c>
    </row>
    <row r="115" spans="10:12" x14ac:dyDescent="0.35">
      <c r="J115" s="2">
        <v>3500</v>
      </c>
      <c r="K115" s="101">
        <f t="shared" si="41"/>
        <v>4.6851362005099997</v>
      </c>
      <c r="L115" s="101">
        <f t="shared" si="42"/>
        <v>1.1508788456000001</v>
      </c>
    </row>
    <row r="116" spans="10:12" x14ac:dyDescent="0.35">
      <c r="J116" s="2">
        <v>3600</v>
      </c>
      <c r="K116" s="101">
        <f t="shared" si="41"/>
        <v>4.7681285584599999</v>
      </c>
      <c r="L116" s="101">
        <f t="shared" si="42"/>
        <v>1.2007447951999999</v>
      </c>
    </row>
    <row r="117" spans="10:12" x14ac:dyDescent="0.35">
      <c r="J117" s="2">
        <v>3700</v>
      </c>
      <c r="K117" s="101">
        <f t="shared" si="41"/>
        <v>4.9339207912100003</v>
      </c>
      <c r="L117" s="101">
        <f t="shared" si="42"/>
        <v>1.4407457932000001</v>
      </c>
    </row>
    <row r="118" spans="10:12" x14ac:dyDescent="0.35">
      <c r="J118" s="2">
        <v>3800</v>
      </c>
      <c r="K118" s="101">
        <f t="shared" si="41"/>
        <v>5.4700131829899998</v>
      </c>
      <c r="L118" s="101">
        <f t="shared" si="42"/>
        <v>2.1510280902999996</v>
      </c>
    </row>
    <row r="119" spans="10:12" x14ac:dyDescent="0.35">
      <c r="J119" s="2">
        <v>3900</v>
      </c>
      <c r="K119" s="101">
        <f t="shared" si="41"/>
        <v>6.03138656401</v>
      </c>
      <c r="L119" s="101">
        <f t="shared" si="42"/>
        <v>2.9073011427999997</v>
      </c>
    </row>
    <row r="120" spans="10:12" x14ac:dyDescent="0.35">
      <c r="J120" s="2">
        <v>4000</v>
      </c>
      <c r="K120" s="101">
        <f t="shared" si="41"/>
        <v>6.6075974875299996</v>
      </c>
      <c r="L120" s="101">
        <f t="shared" si="42"/>
        <v>3.5609934459999999</v>
      </c>
    </row>
    <row r="121" spans="10:12" x14ac:dyDescent="0.35">
      <c r="K121" s="101"/>
    </row>
  </sheetData>
  <mergeCells count="54">
    <mergeCell ref="A30:D30"/>
    <mergeCell ref="R30:T30"/>
    <mergeCell ref="E31:F31"/>
    <mergeCell ref="AG31:AG51"/>
    <mergeCell ref="E33:F33"/>
    <mergeCell ref="AD27:AD29"/>
    <mergeCell ref="AE27:AE29"/>
    <mergeCell ref="AG27:AG29"/>
    <mergeCell ref="E28:E29"/>
    <mergeCell ref="F28:F29"/>
    <mergeCell ref="G28:K28"/>
    <mergeCell ref="N28:Q28"/>
    <mergeCell ref="R28:T28"/>
    <mergeCell ref="U28:W28"/>
    <mergeCell ref="X27:X29"/>
    <mergeCell ref="Y27:Y29"/>
    <mergeCell ref="Z27:Z29"/>
    <mergeCell ref="AA27:AA29"/>
    <mergeCell ref="AB27:AB29"/>
    <mergeCell ref="AC27:AC29"/>
    <mergeCell ref="R27:W27"/>
    <mergeCell ref="A27:A29"/>
    <mergeCell ref="C27:C29"/>
    <mergeCell ref="D27:D29"/>
    <mergeCell ref="E27:F27"/>
    <mergeCell ref="G27:Q27"/>
    <mergeCell ref="A4:D4"/>
    <mergeCell ref="G4:K4"/>
    <mergeCell ref="R4:T4"/>
    <mergeCell ref="E5:F5"/>
    <mergeCell ref="AG5:AG25"/>
    <mergeCell ref="E7:F7"/>
    <mergeCell ref="AD1:AD3"/>
    <mergeCell ref="AE1:AE3"/>
    <mergeCell ref="AG1:AG3"/>
    <mergeCell ref="AH1:AH2"/>
    <mergeCell ref="E2:E3"/>
    <mergeCell ref="F2:F3"/>
    <mergeCell ref="G2:K2"/>
    <mergeCell ref="N2:Q2"/>
    <mergeCell ref="R2:T2"/>
    <mergeCell ref="U2:W2"/>
    <mergeCell ref="X1:X3"/>
    <mergeCell ref="Y1:Y3"/>
    <mergeCell ref="Z1:Z3"/>
    <mergeCell ref="AA1:AA3"/>
    <mergeCell ref="AB1:AB3"/>
    <mergeCell ref="AC1:AC3"/>
    <mergeCell ref="R1:W1"/>
    <mergeCell ref="A1:A3"/>
    <mergeCell ref="C1:C3"/>
    <mergeCell ref="D1:D3"/>
    <mergeCell ref="E1:F1"/>
    <mergeCell ref="G1:Q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5E56E-EAD8-44BA-98F5-01BF9D99DE1C}">
  <dimension ref="A1:P32"/>
  <sheetViews>
    <sheetView zoomScale="70" zoomScaleNormal="70" workbookViewId="0">
      <selection activeCell="L41" sqref="L41"/>
    </sheetView>
  </sheetViews>
  <sheetFormatPr defaultColWidth="9" defaultRowHeight="14.5" x14ac:dyDescent="0.35"/>
  <cols>
    <col min="1" max="16384" width="9" style="2"/>
  </cols>
  <sheetData>
    <row r="1" spans="1:16" x14ac:dyDescent="0.35">
      <c r="B1" s="914" t="s">
        <v>4</v>
      </c>
      <c r="C1" s="914"/>
      <c r="D1" s="914"/>
      <c r="E1" s="914"/>
      <c r="F1" s="914"/>
      <c r="G1" s="914"/>
      <c r="H1" s="914"/>
      <c r="I1" s="914"/>
    </row>
    <row r="2" spans="1:16" x14ac:dyDescent="0.35">
      <c r="B2" s="914" t="s">
        <v>296</v>
      </c>
      <c r="C2" s="914"/>
      <c r="D2" s="914"/>
      <c r="E2" s="914"/>
      <c r="H2" s="914" t="s">
        <v>297</v>
      </c>
      <c r="I2" s="914"/>
      <c r="J2" s="914"/>
      <c r="K2" s="914"/>
      <c r="N2" s="2" t="s">
        <v>298</v>
      </c>
    </row>
    <row r="3" spans="1:16" x14ac:dyDescent="0.35">
      <c r="D3" s="914" t="s">
        <v>299</v>
      </c>
      <c r="E3" s="914"/>
      <c r="J3" s="914" t="s">
        <v>299</v>
      </c>
      <c r="K3" s="914"/>
    </row>
    <row r="4" spans="1:16" x14ac:dyDescent="0.35">
      <c r="B4" s="689" t="s">
        <v>300</v>
      </c>
      <c r="C4" s="689" t="s">
        <v>301</v>
      </c>
      <c r="D4" s="2" t="s">
        <v>300</v>
      </c>
      <c r="E4" s="2" t="s">
        <v>301</v>
      </c>
      <c r="F4" s="2" t="s">
        <v>300</v>
      </c>
      <c r="G4" s="2" t="s">
        <v>301</v>
      </c>
      <c r="H4" s="689" t="s">
        <v>300</v>
      </c>
      <c r="I4" s="689" t="s">
        <v>301</v>
      </c>
      <c r="J4" s="2" t="s">
        <v>300</v>
      </c>
      <c r="K4" s="2" t="s">
        <v>301</v>
      </c>
      <c r="L4" s="2" t="s">
        <v>300</v>
      </c>
      <c r="M4" s="2" t="s">
        <v>301</v>
      </c>
      <c r="P4" s="101"/>
    </row>
    <row r="5" spans="1:16" x14ac:dyDescent="0.35">
      <c r="A5" s="2">
        <v>200</v>
      </c>
      <c r="B5" s="690">
        <f>-'Response calculation'!G5</f>
        <v>9.9425398699999994E-3</v>
      </c>
      <c r="C5" s="690">
        <f>-'Response calculation'!N5</f>
        <v>9.5037423799999993E-3</v>
      </c>
      <c r="D5" s="101">
        <f>B5/MAX($B$5:$B$13,$H$5:$H$13)</f>
        <v>1.4007516491260929E-3</v>
      </c>
      <c r="E5" s="101">
        <f>C5/MAX($B$5:$B$13,$H$5:$H$13)</f>
        <v>1.3389318006983802E-3</v>
      </c>
      <c r="F5" s="101">
        <f>B5/MAX($B$5:$B$25,$H$5:$H$25)</f>
        <v>1.4007516491260929E-3</v>
      </c>
      <c r="G5" s="101">
        <f>C5/MAX($B$5:$B$25,$H$5:$H$25)</f>
        <v>1.3389318006983802E-3</v>
      </c>
      <c r="H5" s="689">
        <f>'Response calculation'!G31</f>
        <v>0.231357177</v>
      </c>
      <c r="I5" s="690">
        <f>'Response calculation'!N31</f>
        <v>9.4872781999999992E-3</v>
      </c>
      <c r="J5" s="101">
        <f>H5/MAX($B$5:$B$13,$H$5:$H$13)</f>
        <v>3.2594684201141394E-2</v>
      </c>
      <c r="K5" s="101">
        <f>I5/MAX($B$5:$B$13,$H$5:$H$13)</f>
        <v>1.3366122498001138E-3</v>
      </c>
      <c r="L5" s="101">
        <f>H5/MAX($B$5:$B$25,$H$5:$H$25)</f>
        <v>3.2594684201141394E-2</v>
      </c>
      <c r="M5" s="101">
        <f>I5/MAX($B$5:$B$25,$H$5:$H$25)</f>
        <v>1.3366122498001138E-3</v>
      </c>
      <c r="N5" s="99">
        <f>(J5-D5)*100</f>
        <v>3.1193932552015302</v>
      </c>
      <c r="O5" s="100">
        <f>ABS(H5-B5)/H5*100</f>
        <v>95.702515046680404</v>
      </c>
      <c r="P5" s="101"/>
    </row>
    <row r="6" spans="1:16" x14ac:dyDescent="0.35">
      <c r="A6" s="2">
        <v>210</v>
      </c>
      <c r="B6" s="690">
        <f>-'Response calculation'!G6</f>
        <v>1.0359669199999999E-2</v>
      </c>
      <c r="C6" s="690">
        <f>-'Response calculation'!N6</f>
        <v>9.4971181200000001E-3</v>
      </c>
      <c r="D6" s="101">
        <f t="shared" ref="D6:D12" si="0">B6/MAX($B$5:$B$13,$H$5:$H$13)</f>
        <v>1.4595187855455682E-3</v>
      </c>
      <c r="E6" s="101">
        <f t="shared" ref="E6:E13" si="1">C6/MAX($B$5:$B$13,$H$5:$H$13)</f>
        <v>1.3379985438806492E-3</v>
      </c>
      <c r="F6" s="101">
        <f t="shared" ref="F6:F25" si="2">B6/MAX($B$5:$B$25,$H$5:$H$25)</f>
        <v>1.4595187855455682E-3</v>
      </c>
      <c r="G6" s="101">
        <f t="shared" ref="G6:G25" si="3">C6/MAX($B$5:$B$25,$H$5:$H$25)</f>
        <v>1.3379985438806492E-3</v>
      </c>
      <c r="H6" s="689">
        <f>'Response calculation'!G32</f>
        <v>0.66439467900000004</v>
      </c>
      <c r="I6" s="690">
        <f>'Response calculation'!N32</f>
        <v>9.4770959300000002E-3</v>
      </c>
      <c r="J6" s="101">
        <f t="shared" ref="J6:J13" si="4">H6/MAX($B$5:$B$13,$H$5:$H$13)</f>
        <v>9.3603038504069008E-2</v>
      </c>
      <c r="K6" s="101">
        <f t="shared" ref="K6:K13" si="5">I6/MAX($B$5:$B$13,$H$5:$H$13)</f>
        <v>1.3351777238458974E-3</v>
      </c>
      <c r="L6" s="101">
        <f t="shared" ref="L6:L25" si="6">H6/MAX($B$5:$B$25,$H$5:$H$25)</f>
        <v>9.3603038504069008E-2</v>
      </c>
      <c r="M6" s="101">
        <f t="shared" ref="M6:M25" si="7">I6/MAX($B$5:$B$25,$H$5:$H$25)</f>
        <v>1.3351777238458974E-3</v>
      </c>
      <c r="N6" s="99">
        <f t="shared" ref="N6:N25" si="8">(J6-D6)*100</f>
        <v>9.214351971852345</v>
      </c>
      <c r="O6" s="100">
        <f t="shared" ref="O6:O12" si="9">ABS(H6-B6)/H6*100</f>
        <v>98.4407356760303</v>
      </c>
    </row>
    <row r="7" spans="1:16" x14ac:dyDescent="0.35">
      <c r="A7" s="2">
        <v>220</v>
      </c>
      <c r="B7" s="690">
        <f>-'Response calculation'!G7</f>
        <v>1.25281574E-2</v>
      </c>
      <c r="C7" s="690">
        <f>-'Response calculation'!N7</f>
        <v>9.4921713100000003E-3</v>
      </c>
      <c r="D7" s="101">
        <f t="shared" si="0"/>
        <v>1.7650255737482164E-3</v>
      </c>
      <c r="E7" s="101">
        <f t="shared" si="1"/>
        <v>1.3373016140864505E-3</v>
      </c>
      <c r="F7" s="101">
        <f t="shared" si="2"/>
        <v>1.7650255737482164E-3</v>
      </c>
      <c r="G7" s="101">
        <f t="shared" si="3"/>
        <v>1.3373016140864505E-3</v>
      </c>
      <c r="H7" s="689">
        <f>'Response calculation'!G33</f>
        <v>1.5263496999999999</v>
      </c>
      <c r="I7" s="690">
        <f>'Response calculation'!N33</f>
        <v>9.4702501099999999E-3</v>
      </c>
      <c r="J7" s="101">
        <f t="shared" si="4"/>
        <v>0.21503930458144768</v>
      </c>
      <c r="K7" s="101">
        <f t="shared" si="5"/>
        <v>1.3342132526162115E-3</v>
      </c>
      <c r="L7" s="101">
        <f t="shared" si="6"/>
        <v>0.21503930458144768</v>
      </c>
      <c r="M7" s="101">
        <f t="shared" si="7"/>
        <v>1.3342132526162115E-3</v>
      </c>
      <c r="N7" s="99">
        <f t="shared" si="8"/>
        <v>21.327427900769948</v>
      </c>
      <c r="O7" s="100">
        <f t="shared" si="9"/>
        <v>99.179207923321897</v>
      </c>
    </row>
    <row r="8" spans="1:16" x14ac:dyDescent="0.35">
      <c r="A8" s="2">
        <v>230</v>
      </c>
      <c r="B8" s="690">
        <f>-'Response calculation'!G8</f>
        <v>3.1503363399999998E-2</v>
      </c>
      <c r="C8" s="690">
        <f>-'Response calculation'!N8</f>
        <v>9.4882690600000003E-3</v>
      </c>
      <c r="D8" s="101">
        <f t="shared" si="0"/>
        <v>4.4383415920431803E-3</v>
      </c>
      <c r="E8" s="101">
        <f t="shared" si="1"/>
        <v>1.3367518468042196E-3</v>
      </c>
      <c r="F8" s="101">
        <f t="shared" si="2"/>
        <v>4.4383415920431803E-3</v>
      </c>
      <c r="G8" s="101">
        <f t="shared" si="3"/>
        <v>1.3367518468042196E-3</v>
      </c>
      <c r="H8" s="689">
        <f>'Response calculation'!G34</f>
        <v>3.1198480900000001</v>
      </c>
      <c r="I8" s="690">
        <f>'Response calculation'!N34</f>
        <v>9.4653009100000001E-3</v>
      </c>
      <c r="J8" s="101">
        <f t="shared" si="4"/>
        <v>0.43953883154912526</v>
      </c>
      <c r="K8" s="101">
        <f t="shared" si="5"/>
        <v>1.3335159861076031E-3</v>
      </c>
      <c r="L8" s="101">
        <f t="shared" si="6"/>
        <v>0.43953883154912526</v>
      </c>
      <c r="M8" s="101">
        <f t="shared" si="7"/>
        <v>1.3335159861076031E-3</v>
      </c>
      <c r="N8" s="99">
        <f t="shared" si="8"/>
        <v>43.510048995708203</v>
      </c>
      <c r="O8" s="100">
        <f t="shared" si="9"/>
        <v>98.990227649193002</v>
      </c>
    </row>
    <row r="9" spans="1:16" x14ac:dyDescent="0.35">
      <c r="A9" s="2">
        <v>240</v>
      </c>
      <c r="B9" s="690">
        <f>-'Response calculation'!G9</f>
        <v>0.113015067</v>
      </c>
      <c r="C9" s="690">
        <f>-'Response calculation'!N9</f>
        <v>9.4843380200000001E-3</v>
      </c>
      <c r="D9" s="101">
        <f t="shared" si="0"/>
        <v>1.5922092699271809E-2</v>
      </c>
      <c r="E9" s="101">
        <f t="shared" si="1"/>
        <v>1.3361980234517586E-3</v>
      </c>
      <c r="F9" s="101">
        <f t="shared" si="2"/>
        <v>1.5922092699271809E-2</v>
      </c>
      <c r="G9" s="101">
        <f t="shared" si="3"/>
        <v>1.3361980234517586E-3</v>
      </c>
      <c r="H9" s="689">
        <f>'Response calculation'!G35</f>
        <v>4.1405376599999997</v>
      </c>
      <c r="I9" s="690">
        <f>'Response calculation'!N35</f>
        <v>9.4611855500000008E-3</v>
      </c>
      <c r="J9" s="101">
        <f t="shared" si="4"/>
        <v>0.58333836538225459</v>
      </c>
      <c r="K9" s="101">
        <f t="shared" si="5"/>
        <v>1.3329361948890492E-3</v>
      </c>
      <c r="L9" s="101">
        <f t="shared" si="6"/>
        <v>0.58333836538225459</v>
      </c>
      <c r="M9" s="101">
        <f t="shared" si="7"/>
        <v>1.3329361948890492E-3</v>
      </c>
      <c r="N9" s="99">
        <f t="shared" si="8"/>
        <v>56.741627268298281</v>
      </c>
      <c r="O9" s="100">
        <f t="shared" si="9"/>
        <v>97.270521939897051</v>
      </c>
    </row>
    <row r="10" spans="1:16" x14ac:dyDescent="0.35">
      <c r="A10" s="2">
        <v>250</v>
      </c>
      <c r="B10" s="690">
        <f>-'Response calculation'!G10</f>
        <v>0.27913470499999998</v>
      </c>
      <c r="C10" s="690">
        <f>-'Response calculation'!N10</f>
        <v>9.4818156499999993E-3</v>
      </c>
      <c r="D10" s="101">
        <f t="shared" si="0"/>
        <v>3.9325806430693798E-2</v>
      </c>
      <c r="E10" s="101">
        <f t="shared" si="1"/>
        <v>1.3358426601358046E-3</v>
      </c>
      <c r="F10" s="101">
        <f t="shared" si="2"/>
        <v>3.9325806430693798E-2</v>
      </c>
      <c r="G10" s="101">
        <f t="shared" si="3"/>
        <v>1.3358426601358046E-3</v>
      </c>
      <c r="H10" s="689">
        <f>'Response calculation'!G36</f>
        <v>4.8550775899999996</v>
      </c>
      <c r="I10" s="690">
        <f>'Response calculation'!N36</f>
        <v>9.4581479399999998E-3</v>
      </c>
      <c r="J10" s="101">
        <f t="shared" si="4"/>
        <v>0.68400610203714851</v>
      </c>
      <c r="K10" s="101">
        <f t="shared" si="5"/>
        <v>1.3325082421453301E-3</v>
      </c>
      <c r="L10" s="101">
        <f t="shared" si="6"/>
        <v>0.68400610203714851</v>
      </c>
      <c r="M10" s="101">
        <f t="shared" si="7"/>
        <v>1.3325082421453301E-3</v>
      </c>
      <c r="N10" s="99">
        <f t="shared" si="8"/>
        <v>64.468029560645462</v>
      </c>
      <c r="O10" s="100">
        <f t="shared" si="9"/>
        <v>94.250664385365681</v>
      </c>
    </row>
    <row r="11" spans="1:16" x14ac:dyDescent="0.35">
      <c r="A11" s="2">
        <v>260</v>
      </c>
      <c r="B11" s="690">
        <f>-'Response calculation'!G11</f>
        <v>0.52960423499999998</v>
      </c>
      <c r="C11" s="690">
        <f>-'Response calculation'!N11</f>
        <v>9.4791482200000006E-3</v>
      </c>
      <c r="D11" s="101">
        <f t="shared" si="0"/>
        <v>7.461312856273343E-2</v>
      </c>
      <c r="E11" s="101">
        <f t="shared" si="1"/>
        <v>1.3354668600866944E-3</v>
      </c>
      <c r="F11" s="101">
        <f t="shared" si="2"/>
        <v>7.461312856273343E-2</v>
      </c>
      <c r="G11" s="101">
        <f t="shared" si="3"/>
        <v>1.3354668600866944E-3</v>
      </c>
      <c r="H11" s="689">
        <f>'Response calculation'!G37</f>
        <v>5.3006368999999998</v>
      </c>
      <c r="I11" s="690">
        <f>'Response calculation'!N37</f>
        <v>9.4556618400000007E-3</v>
      </c>
      <c r="J11" s="101">
        <f t="shared" si="4"/>
        <v>0.74677858738057257</v>
      </c>
      <c r="K11" s="101">
        <f t="shared" si="5"/>
        <v>1.3321579887170891E-3</v>
      </c>
      <c r="L11" s="101">
        <f t="shared" si="6"/>
        <v>0.74677858738057257</v>
      </c>
      <c r="M11" s="101">
        <f t="shared" si="7"/>
        <v>1.3321579887170891E-3</v>
      </c>
      <c r="N11" s="99">
        <f t="shared" si="8"/>
        <v>67.216545881783915</v>
      </c>
      <c r="O11" s="100">
        <f t="shared" si="9"/>
        <v>90.008667920641756</v>
      </c>
    </row>
    <row r="12" spans="1:16" x14ac:dyDescent="0.35">
      <c r="A12" s="2">
        <v>270</v>
      </c>
      <c r="B12" s="690">
        <f>-'Response calculation'!G12</f>
        <v>0.86817966700000004</v>
      </c>
      <c r="C12" s="690">
        <f>-'Response calculation'!N12</f>
        <v>9.4775931000000008E-3</v>
      </c>
      <c r="D12" s="101">
        <f t="shared" si="0"/>
        <v>0.12231322340053059</v>
      </c>
      <c r="E12" s="101">
        <f>C12/MAX($B$5:$B$13,$H$5:$H$13)</f>
        <v>1.3352477674873112E-3</v>
      </c>
      <c r="F12" s="101">
        <f t="shared" si="2"/>
        <v>0.12231322340053059</v>
      </c>
      <c r="G12" s="101">
        <f t="shared" si="3"/>
        <v>1.3352477674873112E-3</v>
      </c>
      <c r="H12" s="689">
        <f>'Response calculation'!G38</f>
        <v>5.9584698700000001</v>
      </c>
      <c r="I12" s="690">
        <f>'Response calculation'!N38</f>
        <v>9.4537256099999998E-3</v>
      </c>
      <c r="J12" s="101">
        <f t="shared" si="4"/>
        <v>0.83945718154516558</v>
      </c>
      <c r="K12" s="101">
        <f t="shared" si="5"/>
        <v>1.3318852035534335E-3</v>
      </c>
      <c r="L12" s="101">
        <f t="shared" si="6"/>
        <v>0.83945718154516558</v>
      </c>
      <c r="M12" s="101">
        <f t="shared" si="7"/>
        <v>1.3318852035534335E-3</v>
      </c>
      <c r="N12" s="99">
        <f t="shared" si="8"/>
        <v>71.714395814463501</v>
      </c>
      <c r="O12" s="100">
        <f t="shared" si="9"/>
        <v>85.42948632884503</v>
      </c>
    </row>
    <row r="13" spans="1:16" x14ac:dyDescent="0.35">
      <c r="A13" s="2">
        <v>280</v>
      </c>
      <c r="B13" s="690">
        <f>-'Response calculation'!G13</f>
        <v>1.27938956</v>
      </c>
      <c r="C13" s="690">
        <f>-'Response calculation'!N13</f>
        <v>9.4756603299999999E-3</v>
      </c>
      <c r="D13" s="101">
        <f>B13/MAX($B$5:$B$13,$H$5:$H$13)</f>
        <v>0.18024640177225729</v>
      </c>
      <c r="E13" s="101">
        <f t="shared" si="1"/>
        <v>1.3349754697846838E-3</v>
      </c>
      <c r="F13" s="101">
        <f t="shared" si="2"/>
        <v>0.18024640177225729</v>
      </c>
      <c r="G13" s="101">
        <f t="shared" si="3"/>
        <v>1.3349754697846838E-3</v>
      </c>
      <c r="H13" s="689">
        <f>'Response calculation'!G39</f>
        <v>7.0980033300000001</v>
      </c>
      <c r="I13" s="690">
        <f>'Response calculation'!N39</f>
        <v>9.4534881000000008E-3</v>
      </c>
      <c r="J13" s="101">
        <f t="shared" si="4"/>
        <v>1</v>
      </c>
      <c r="K13" s="101">
        <f t="shared" si="5"/>
        <v>1.3318517420306706E-3</v>
      </c>
      <c r="L13" s="101">
        <f t="shared" si="6"/>
        <v>1</v>
      </c>
      <c r="M13" s="101">
        <f t="shared" si="7"/>
        <v>1.3318517420306706E-3</v>
      </c>
      <c r="N13" s="99">
        <f t="shared" si="8"/>
        <v>81.97535982277428</v>
      </c>
      <c r="O13" s="100">
        <f>ABS(H13-B13)/H13*100</f>
        <v>81.97535982277428</v>
      </c>
    </row>
    <row r="14" spans="1:16" x14ac:dyDescent="0.35">
      <c r="A14" s="2">
        <v>290</v>
      </c>
      <c r="B14" s="690">
        <f>-'Response calculation'!G14</f>
        <v>1.8619711400000001</v>
      </c>
      <c r="C14" s="690">
        <f>-'Response calculation'!N14</f>
        <v>9.4746054299999997E-3</v>
      </c>
      <c r="D14" s="101"/>
      <c r="E14" s="101"/>
      <c r="F14" s="101">
        <f t="shared" si="2"/>
        <v>0.26232322717154882</v>
      </c>
      <c r="G14" s="101">
        <f t="shared" si="3"/>
        <v>1.3348268505250194E-3</v>
      </c>
      <c r="H14" s="691">
        <f>'Response calculation'!G40</f>
        <v>9.7344148800000002E-2</v>
      </c>
      <c r="I14" s="692">
        <f>'Response calculation'!N40</f>
        <v>9.4422176699999992E-3</v>
      </c>
      <c r="J14" s="293"/>
      <c r="K14" s="293"/>
      <c r="L14" s="101">
        <f t="shared" si="6"/>
        <v>1.3714300243925077E-2</v>
      </c>
      <c r="M14" s="101">
        <f t="shared" si="7"/>
        <v>1.3302639109919942E-3</v>
      </c>
      <c r="N14" s="294">
        <f t="shared" si="8"/>
        <v>0</v>
      </c>
      <c r="O14" s="99"/>
    </row>
    <row r="15" spans="1:16" x14ac:dyDescent="0.35">
      <c r="A15" s="2">
        <v>300</v>
      </c>
      <c r="B15" s="690">
        <f>-'Response calculation'!G15</f>
        <v>2.5508560299999998</v>
      </c>
      <c r="C15" s="690">
        <f>-'Response calculation'!N15</f>
        <v>9.4730771199999994E-3</v>
      </c>
      <c r="D15" s="101"/>
      <c r="E15" s="101"/>
      <c r="F15" s="101">
        <f t="shared" si="2"/>
        <v>0.35937656146464497</v>
      </c>
      <c r="G15" s="101">
        <f t="shared" si="3"/>
        <v>1.3346115350441796E-3</v>
      </c>
      <c r="H15" s="691">
        <f>'Response calculation'!G41</f>
        <v>0.11243209799999999</v>
      </c>
      <c r="I15" s="692">
        <f>'Response calculation'!N41</f>
        <v>9.4414268700000002E-3</v>
      </c>
      <c r="J15" s="293"/>
      <c r="K15" s="293"/>
      <c r="L15" s="101">
        <f t="shared" si="6"/>
        <v>1.5839961292325851E-2</v>
      </c>
      <c r="M15" s="101">
        <f t="shared" si="7"/>
        <v>1.330152499379005E-3</v>
      </c>
      <c r="N15" s="294">
        <f t="shared" si="8"/>
        <v>0</v>
      </c>
      <c r="O15" s="99"/>
    </row>
    <row r="16" spans="1:16" x14ac:dyDescent="0.35">
      <c r="A16" s="2">
        <v>310</v>
      </c>
      <c r="B16" s="690">
        <f>-'Response calculation'!G16</f>
        <v>3.1390098499999999</v>
      </c>
      <c r="C16" s="690">
        <f>-'Response calculation'!N16</f>
        <v>9.4712167799999997E-3</v>
      </c>
      <c r="D16" s="101"/>
      <c r="E16" s="101"/>
      <c r="F16" s="101">
        <f t="shared" si="2"/>
        <v>0.44223843016991088</v>
      </c>
      <c r="G16" s="101">
        <f t="shared" si="3"/>
        <v>1.3343494416196617E-3</v>
      </c>
      <c r="H16" s="691">
        <f>'Response calculation'!G42</f>
        <v>0.119248677</v>
      </c>
      <c r="I16" s="692">
        <f>'Response calculation'!N42</f>
        <v>9.4416936900000008E-3</v>
      </c>
      <c r="J16" s="293"/>
      <c r="K16" s="293"/>
      <c r="L16" s="101">
        <f t="shared" si="6"/>
        <v>1.6800312912786417E-2</v>
      </c>
      <c r="M16" s="101">
        <f t="shared" si="7"/>
        <v>1.3301900902320373E-3</v>
      </c>
      <c r="N16" s="294">
        <f t="shared" si="8"/>
        <v>0</v>
      </c>
      <c r="O16" s="99"/>
    </row>
    <row r="17" spans="1:15" x14ac:dyDescent="0.35">
      <c r="A17" s="2">
        <v>320</v>
      </c>
      <c r="B17" s="690">
        <f>-'Response calculation'!G17</f>
        <v>3.6094263899999999</v>
      </c>
      <c r="C17" s="690">
        <f>-'Response calculation'!N17</f>
        <v>9.4699286399999999E-3</v>
      </c>
      <c r="D17" s="101"/>
      <c r="E17" s="101"/>
      <c r="F17" s="101">
        <f t="shared" si="2"/>
        <v>0.508512918660465</v>
      </c>
      <c r="G17" s="101">
        <f t="shared" si="3"/>
        <v>1.3341679624148612E-3</v>
      </c>
      <c r="H17" s="691">
        <f>'Response calculation'!G43</f>
        <v>0.121850825</v>
      </c>
      <c r="I17" s="692">
        <f>'Response calculation'!N43</f>
        <v>9.4415375399999994E-3</v>
      </c>
      <c r="J17" s="293"/>
      <c r="K17" s="293"/>
      <c r="L17" s="101">
        <f t="shared" si="6"/>
        <v>1.7166915727552919E-2</v>
      </c>
      <c r="M17" s="101">
        <f t="shared" si="7"/>
        <v>1.3301680910876663E-3</v>
      </c>
      <c r="N17" s="294">
        <f t="shared" si="8"/>
        <v>0</v>
      </c>
      <c r="O17" s="99"/>
    </row>
    <row r="18" spans="1:15" x14ac:dyDescent="0.35">
      <c r="A18" s="2">
        <v>330</v>
      </c>
      <c r="B18" s="690">
        <f>-'Response calculation'!G18</f>
        <v>4.0328645300000003</v>
      </c>
      <c r="C18" s="690">
        <f>-'Response calculation'!N18</f>
        <v>9.4690318900000001E-3</v>
      </c>
      <c r="D18" s="101"/>
      <c r="E18" s="101"/>
      <c r="F18" s="101">
        <f t="shared" si="2"/>
        <v>0.56816886982215609</v>
      </c>
      <c r="G18" s="101">
        <f t="shared" si="3"/>
        <v>1.3340416240689478E-3</v>
      </c>
      <c r="H18" s="691">
        <f>'Response calculation'!G44</f>
        <v>0.124485874</v>
      </c>
      <c r="I18" s="692">
        <f>'Response calculation'!N44</f>
        <v>9.4406428300000001E-3</v>
      </c>
      <c r="J18" s="293"/>
      <c r="K18" s="293"/>
      <c r="L18" s="101">
        <f t="shared" si="6"/>
        <v>1.7538153789510829E-2</v>
      </c>
      <c r="M18" s="101">
        <f t="shared" si="7"/>
        <v>1.3300420401465211E-3</v>
      </c>
      <c r="N18" s="294">
        <f t="shared" si="8"/>
        <v>0</v>
      </c>
      <c r="O18" s="99"/>
    </row>
    <row r="19" spans="1:15" x14ac:dyDescent="0.35">
      <c r="A19" s="2">
        <v>340</v>
      </c>
      <c r="B19" s="690">
        <f>-'Response calculation'!G19</f>
        <v>4.4234534099999996</v>
      </c>
      <c r="C19" s="690">
        <f>-'Response calculation'!N19</f>
        <v>9.4674401999999998E-3</v>
      </c>
      <c r="D19" s="101"/>
      <c r="E19" s="101"/>
      <c r="F19" s="101">
        <f t="shared" si="2"/>
        <v>0.62319686316630674</v>
      </c>
      <c r="G19" s="101">
        <f t="shared" si="3"/>
        <v>1.333817379316445E-3</v>
      </c>
      <c r="H19" s="691">
        <f>'Response calculation'!G45</f>
        <v>0.125326781</v>
      </c>
      <c r="I19" s="692">
        <f>'Response calculation'!N45</f>
        <v>9.4399457299999996E-3</v>
      </c>
      <c r="J19" s="293"/>
      <c r="K19" s="293"/>
      <c r="L19" s="101">
        <f t="shared" si="6"/>
        <v>1.7656624711670853E-2</v>
      </c>
      <c r="M19" s="101">
        <f t="shared" si="7"/>
        <v>1.3299438294290008E-3</v>
      </c>
      <c r="N19" s="294">
        <f t="shared" si="8"/>
        <v>0</v>
      </c>
      <c r="O19" s="99"/>
    </row>
    <row r="20" spans="1:15" x14ac:dyDescent="0.35">
      <c r="A20" s="2">
        <v>350</v>
      </c>
      <c r="B20" s="690">
        <f>-'Response calculation'!G20</f>
        <v>4.69460371</v>
      </c>
      <c r="C20" s="690">
        <f>-'Response calculation'!N20</f>
        <v>9.4675094899999996E-3</v>
      </c>
      <c r="D20" s="101"/>
      <c r="E20" s="101"/>
      <c r="F20" s="101">
        <f t="shared" si="2"/>
        <v>0.66139778917235303</v>
      </c>
      <c r="G20" s="101">
        <f t="shared" si="3"/>
        <v>1.333827141216627E-3</v>
      </c>
      <c r="H20" s="691">
        <f>'Response calculation'!G46</f>
        <v>0.123032815</v>
      </c>
      <c r="I20" s="692">
        <f>'Response calculation'!N46</f>
        <v>9.4391782000000004E-3</v>
      </c>
      <c r="J20" s="293"/>
      <c r="K20" s="293"/>
      <c r="L20" s="101">
        <f t="shared" si="6"/>
        <v>1.7333440022491507E-2</v>
      </c>
      <c r="M20" s="101">
        <f t="shared" si="7"/>
        <v>1.3298356962027518E-3</v>
      </c>
      <c r="N20" s="294">
        <f t="shared" si="8"/>
        <v>0</v>
      </c>
      <c r="O20" s="99"/>
    </row>
    <row r="21" spans="1:15" x14ac:dyDescent="0.35">
      <c r="A21" s="2">
        <v>360</v>
      </c>
      <c r="B21" s="690">
        <f>-'Response calculation'!G21</f>
        <v>4.7775955899999998</v>
      </c>
      <c r="C21" s="690">
        <f>-'Response calculation'!N21</f>
        <v>9.4670315400000003E-3</v>
      </c>
      <c r="D21" s="101"/>
      <c r="E21" s="101"/>
      <c r="F21" s="101">
        <f t="shared" si="2"/>
        <v>0.67309007447309832</v>
      </c>
      <c r="G21" s="101">
        <f t="shared" si="3"/>
        <v>1.3337598053789587E-3</v>
      </c>
      <c r="H21" s="691">
        <f>'Response calculation'!G47</f>
        <v>0.11723389400000001</v>
      </c>
      <c r="I21" s="692">
        <f>'Response calculation'!N47</f>
        <v>9.4401998099999992E-3</v>
      </c>
      <c r="J21" s="293"/>
      <c r="K21" s="293"/>
      <c r="L21" s="101">
        <f t="shared" si="6"/>
        <v>1.6516460834063881E-2</v>
      </c>
      <c r="M21" s="101">
        <f t="shared" si="7"/>
        <v>1.3299796254110801E-3</v>
      </c>
      <c r="N21" s="294">
        <f t="shared" si="8"/>
        <v>0</v>
      </c>
      <c r="O21" s="99"/>
    </row>
    <row r="22" spans="1:15" x14ac:dyDescent="0.35">
      <c r="A22" s="2">
        <v>370</v>
      </c>
      <c r="B22" s="690">
        <f>-'Response calculation'!G22</f>
        <v>4.94338678</v>
      </c>
      <c r="C22" s="690">
        <f>-'Response calculation'!N22</f>
        <v>9.4659887899999993E-3</v>
      </c>
      <c r="D22" s="101"/>
      <c r="E22" s="101"/>
      <c r="F22" s="101">
        <f t="shared" si="2"/>
        <v>0.69644751490980206</v>
      </c>
      <c r="G22" s="101">
        <f t="shared" si="3"/>
        <v>1.3336128978682798E-3</v>
      </c>
      <c r="H22" s="691">
        <f>'Response calculation'!G48</f>
        <v>0.114930962</v>
      </c>
      <c r="I22" s="692">
        <f>'Response calculation'!N48</f>
        <v>9.4408560899999997E-3</v>
      </c>
      <c r="J22" s="293"/>
      <c r="K22" s="293"/>
      <c r="L22" s="101">
        <f t="shared" si="6"/>
        <v>1.6192012972752436E-2</v>
      </c>
      <c r="M22" s="101">
        <f t="shared" si="7"/>
        <v>1.3300720852155474E-3</v>
      </c>
      <c r="N22" s="294">
        <f t="shared" si="8"/>
        <v>0</v>
      </c>
      <c r="O22" s="99"/>
    </row>
    <row r="23" spans="1:15" x14ac:dyDescent="0.35">
      <c r="A23" s="2">
        <v>380</v>
      </c>
      <c r="B23" s="690">
        <f>-'Response calculation'!G23</f>
        <v>5.4794788900000002</v>
      </c>
      <c r="C23" s="690">
        <f>-'Response calculation'!N23</f>
        <v>9.4657070099999994E-3</v>
      </c>
      <c r="D23" s="101"/>
      <c r="E23" s="101"/>
      <c r="F23" s="101">
        <f t="shared" si="2"/>
        <v>0.77197468573179717</v>
      </c>
      <c r="G23" s="101">
        <f t="shared" si="3"/>
        <v>1.3335731993802825E-3</v>
      </c>
      <c r="H23" s="691">
        <f>'Response calculation'!G49</f>
        <v>0.121121298</v>
      </c>
      <c r="I23" s="692">
        <f>'Response calculation'!N49</f>
        <v>9.4410801800000003E-3</v>
      </c>
      <c r="J23" s="293"/>
      <c r="K23" s="293"/>
      <c r="L23" s="101">
        <f t="shared" si="6"/>
        <v>1.7064136542184461E-2</v>
      </c>
      <c r="M23" s="101">
        <f t="shared" si="7"/>
        <v>1.3301036560657686E-3</v>
      </c>
      <c r="N23" s="294">
        <f t="shared" si="8"/>
        <v>0</v>
      </c>
      <c r="O23" s="99"/>
    </row>
    <row r="24" spans="1:15" x14ac:dyDescent="0.35">
      <c r="A24" s="2">
        <v>390</v>
      </c>
      <c r="B24" s="690">
        <f>-'Response calculation'!G24</f>
        <v>6.0408513800000003</v>
      </c>
      <c r="C24" s="690">
        <f>-'Response calculation'!N24</f>
        <v>9.4648159900000001E-3</v>
      </c>
      <c r="D24" s="101"/>
      <c r="E24" s="101"/>
      <c r="F24" s="101">
        <f t="shared" si="2"/>
        <v>0.85106347505756952</v>
      </c>
      <c r="G24" s="101">
        <f t="shared" si="3"/>
        <v>1.333447668303644E-3</v>
      </c>
      <c r="H24" s="691">
        <f>'Response calculation'!G50</f>
        <v>0.12618294599999999</v>
      </c>
      <c r="I24" s="692">
        <f>'Response calculation'!N50</f>
        <v>9.4411527799999999E-3</v>
      </c>
      <c r="J24" s="293"/>
      <c r="K24" s="293"/>
      <c r="L24" s="101">
        <f t="shared" si="6"/>
        <v>1.7777245252433543E-2</v>
      </c>
      <c r="M24" s="101">
        <f t="shared" si="7"/>
        <v>1.3301138842942751E-3</v>
      </c>
      <c r="N24" s="294">
        <f t="shared" si="8"/>
        <v>0</v>
      </c>
      <c r="O24" s="99"/>
    </row>
    <row r="25" spans="1:15" x14ac:dyDescent="0.35">
      <c r="A25" s="2">
        <v>400</v>
      </c>
      <c r="B25" s="690">
        <f>-'Response calculation'!G25</f>
        <v>6.61706182</v>
      </c>
      <c r="C25" s="690">
        <f>-'Response calculation'!N25</f>
        <v>9.4643324699999996E-3</v>
      </c>
      <c r="D25" s="101"/>
      <c r="E25" s="101"/>
      <c r="F25" s="101">
        <f t="shared" si="2"/>
        <v>0.93224270437190682</v>
      </c>
      <c r="G25" s="101">
        <f t="shared" si="3"/>
        <v>1.333379547738251E-3</v>
      </c>
      <c r="H25" s="691">
        <f>'Response calculation'!G51</f>
        <v>0.127051149</v>
      </c>
      <c r="I25" s="692">
        <f>'Response calculation'!N51</f>
        <v>9.4411953399999998E-3</v>
      </c>
      <c r="J25" s="293"/>
      <c r="K25" s="293"/>
      <c r="L25" s="101">
        <f t="shared" si="6"/>
        <v>1.7899561763096553E-2</v>
      </c>
      <c r="M25" s="101">
        <f t="shared" si="7"/>
        <v>1.330119880346689E-3</v>
      </c>
      <c r="N25" s="294">
        <f t="shared" si="8"/>
        <v>0</v>
      </c>
      <c r="O25" s="99"/>
    </row>
    <row r="29" spans="1:15" x14ac:dyDescent="0.35">
      <c r="C29" s="2" t="s">
        <v>302</v>
      </c>
    </row>
    <row r="30" spans="1:15" x14ac:dyDescent="0.35">
      <c r="C30" s="2" t="s">
        <v>303</v>
      </c>
    </row>
    <row r="31" spans="1:15" x14ac:dyDescent="0.35">
      <c r="C31" s="2" t="s">
        <v>296</v>
      </c>
    </row>
    <row r="32" spans="1:15" x14ac:dyDescent="0.35">
      <c r="C32" s="2" t="s">
        <v>304</v>
      </c>
    </row>
  </sheetData>
  <mergeCells count="5">
    <mergeCell ref="B1:I1"/>
    <mergeCell ref="D3:E3"/>
    <mergeCell ref="J3:K3"/>
    <mergeCell ref="H2:K2"/>
    <mergeCell ref="B2:E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67264-9B90-46FB-8433-F5BD85FC591D}">
  <sheetPr>
    <pageSetUpPr fitToPage="1"/>
  </sheetPr>
  <dimension ref="A1:CG68"/>
  <sheetViews>
    <sheetView zoomScale="50" zoomScaleNormal="5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67" sqref="L67"/>
    </sheetView>
  </sheetViews>
  <sheetFormatPr defaultColWidth="9.1796875" defaultRowHeight="10" x14ac:dyDescent="0.35"/>
  <cols>
    <col min="1" max="1" width="11" style="357" customWidth="1"/>
    <col min="2" max="2" width="19.26953125" style="357" customWidth="1"/>
    <col min="3" max="9" width="15.26953125" style="357" customWidth="1"/>
    <col min="10" max="11" width="15.1796875" style="357" customWidth="1"/>
    <col min="12" max="12" width="21" style="357" customWidth="1"/>
    <col min="13" max="14" width="14.26953125" style="357" customWidth="1"/>
    <col min="15" max="15" width="15.26953125" style="357" customWidth="1"/>
    <col min="16" max="16" width="18.453125" style="357" customWidth="1"/>
    <col min="17" max="17" width="15.26953125" style="357" customWidth="1"/>
    <col min="18" max="18" width="22.7265625" style="358" customWidth="1"/>
    <col min="19" max="19" width="11.453125" style="358" customWidth="1"/>
    <col min="20" max="24" width="20" style="358" customWidth="1"/>
    <col min="25" max="25" width="13" style="358" customWidth="1"/>
    <col min="26" max="26" width="24.1796875" style="358" customWidth="1"/>
    <col min="27" max="27" width="11.1796875" style="358" customWidth="1"/>
    <col min="28" max="28" width="9" style="358" customWidth="1"/>
    <col min="29" max="29" width="11.1796875" style="358" customWidth="1"/>
    <col min="30" max="30" width="14.7265625" style="358" customWidth="1"/>
    <col min="31" max="31" width="10.7265625" style="358" customWidth="1"/>
    <col min="32" max="32" width="8.453125" style="358" customWidth="1"/>
    <col min="33" max="33" width="10.453125" style="358" customWidth="1"/>
    <col min="34" max="34" width="8.1796875" style="358" customWidth="1"/>
    <col min="35" max="35" width="19.453125" style="358" customWidth="1"/>
    <col min="36" max="36" width="14.26953125" style="358" customWidth="1"/>
    <col min="37" max="37" width="11.81640625" style="358" customWidth="1"/>
    <col min="38" max="38" width="12.1796875" style="358" customWidth="1"/>
    <col min="39" max="39" width="11.7265625" style="358" customWidth="1"/>
    <col min="40" max="40" width="17.1796875" style="358" customWidth="1"/>
    <col min="41" max="41" width="8.1796875" style="358" customWidth="1"/>
    <col min="42" max="42" width="19.54296875" style="358" customWidth="1"/>
    <col min="43" max="44" width="8.1796875" style="358" customWidth="1"/>
    <col min="45" max="45" width="9.81640625" style="358" customWidth="1"/>
    <col min="46" max="46" width="9" style="358" customWidth="1"/>
    <col min="47" max="47" width="7.81640625" style="357" customWidth="1"/>
    <col min="48" max="48" width="8.1796875" style="357" customWidth="1"/>
    <col min="49" max="49" width="12.1796875" style="357" customWidth="1"/>
    <col min="50" max="50" width="13.1796875" style="357" customWidth="1"/>
    <col min="51" max="51" width="15.7265625" style="357" customWidth="1"/>
    <col min="52" max="52" width="16.81640625" style="357" customWidth="1"/>
    <col min="53" max="53" width="13" style="357" customWidth="1"/>
    <col min="54" max="54" width="11.453125" style="357" customWidth="1"/>
    <col min="55" max="55" width="10.453125" style="453" customWidth="1"/>
    <col min="56" max="56" width="5.81640625" style="419" customWidth="1"/>
    <col min="57" max="57" width="12.54296875" style="358" customWidth="1"/>
    <col min="58" max="58" width="13.453125" style="358" customWidth="1"/>
    <col min="59" max="59" width="16.453125" style="358" bestFit="1" customWidth="1"/>
    <col min="60" max="60" width="13" style="358" hidden="1" customWidth="1"/>
    <col min="61" max="61" width="19.7265625" style="358" customWidth="1"/>
    <col min="62" max="62" width="11" style="358" customWidth="1"/>
    <col min="63" max="64" width="19.453125" style="358" customWidth="1"/>
    <col min="65" max="66" width="17.81640625" style="358" customWidth="1"/>
    <col min="67" max="68" width="20.7265625" style="358" customWidth="1"/>
    <col min="69" max="69" width="23.54296875" style="358" customWidth="1"/>
    <col min="70" max="70" width="17.26953125" style="357" customWidth="1"/>
    <col min="71" max="71" width="14.1796875" style="357" customWidth="1"/>
    <col min="72" max="72" width="16.1796875" style="357" customWidth="1"/>
    <col min="73" max="73" width="17.26953125" style="357" customWidth="1"/>
    <col min="74" max="74" width="18.81640625" style="357" customWidth="1"/>
    <col min="75" max="75" width="16.7265625" style="357" customWidth="1"/>
    <col min="76" max="76" width="16.26953125" style="453" customWidth="1"/>
    <col min="77" max="77" width="17.453125" style="357" customWidth="1"/>
    <col min="78" max="79" width="13.26953125" style="357" customWidth="1"/>
    <col min="80" max="80" width="21.54296875" style="367" customWidth="1"/>
    <col min="81" max="81" width="20.26953125" style="357" customWidth="1"/>
    <col min="82" max="82" width="23.54296875" style="357" customWidth="1"/>
    <col min="83" max="83" width="20.7265625" style="357" customWidth="1"/>
    <col min="84" max="84" width="13.81640625" style="357" customWidth="1"/>
    <col min="85" max="16384" width="9.1796875" style="357"/>
  </cols>
  <sheetData>
    <row r="1" spans="1:82" ht="60.75" customHeight="1" x14ac:dyDescent="0.2">
      <c r="A1" s="899" t="s">
        <v>37</v>
      </c>
      <c r="B1" s="899"/>
      <c r="C1" s="899"/>
      <c r="D1" s="899"/>
      <c r="J1" s="904"/>
      <c r="K1" s="904"/>
      <c r="L1" s="904"/>
      <c r="M1" s="904"/>
      <c r="S1" s="359" t="s">
        <v>38</v>
      </c>
      <c r="W1" s="357"/>
      <c r="X1" s="357"/>
      <c r="Y1" s="357"/>
      <c r="Z1" s="357"/>
      <c r="AA1" s="359" t="s">
        <v>39</v>
      </c>
      <c r="AB1" s="359" t="s">
        <v>40</v>
      </c>
      <c r="AC1" s="359" t="s">
        <v>41</v>
      </c>
      <c r="AD1" s="359" t="s">
        <v>41</v>
      </c>
      <c r="AE1" s="359" t="s">
        <v>42</v>
      </c>
      <c r="AF1" s="360" t="str">
        <f>AF13</f>
        <v>Linearity of the standard detector</v>
      </c>
      <c r="AG1" s="359" t="s">
        <v>43</v>
      </c>
      <c r="AH1" s="361" t="s">
        <v>44</v>
      </c>
      <c r="AI1" s="362"/>
      <c r="AJ1" s="363"/>
      <c r="AK1" s="363"/>
      <c r="AM1" s="363" t="s">
        <v>45</v>
      </c>
      <c r="AN1" s="808" t="s">
        <v>46</v>
      </c>
      <c r="AO1" s="809"/>
      <c r="AP1" s="809"/>
      <c r="AQ1" s="809"/>
      <c r="AR1" s="821"/>
      <c r="AS1" s="364" t="s">
        <v>47</v>
      </c>
      <c r="AT1" s="365" t="s">
        <v>48</v>
      </c>
      <c r="AU1" s="365" t="s">
        <v>49</v>
      </c>
      <c r="AV1" s="361" t="s">
        <v>50</v>
      </c>
      <c r="AW1" s="359" t="s">
        <v>51</v>
      </c>
      <c r="BA1" s="359" t="str">
        <f>AX13</f>
        <v>Effect of resolution of the multimeter on the output signal of the standard detector</v>
      </c>
      <c r="BC1" s="357"/>
      <c r="BD1" s="366"/>
      <c r="BE1" s="357"/>
      <c r="BF1" s="364" t="s">
        <v>52</v>
      </c>
      <c r="BG1" s="364" t="s">
        <v>47</v>
      </c>
      <c r="BH1" s="363"/>
      <c r="BI1" s="363"/>
      <c r="BK1" s="363" t="s">
        <v>53</v>
      </c>
      <c r="BL1" s="357"/>
      <c r="BM1" s="808" t="s">
        <v>46</v>
      </c>
      <c r="BN1" s="809"/>
      <c r="BO1" s="809"/>
      <c r="BP1" s="809"/>
      <c r="BQ1" s="810"/>
      <c r="BR1" s="359" t="s">
        <v>54</v>
      </c>
      <c r="BV1" s="359" t="str">
        <f>BS13</f>
        <v>Resolution of UUT</v>
      </c>
      <c r="BX1" s="357"/>
    </row>
    <row r="2" spans="1:82" ht="17.149999999999999" customHeight="1" x14ac:dyDescent="0.2">
      <c r="A2" s="900" t="s">
        <v>14</v>
      </c>
      <c r="B2" s="901"/>
      <c r="C2" s="901"/>
      <c r="D2" s="902"/>
      <c r="J2" s="904"/>
      <c r="K2" s="904"/>
      <c r="L2" s="904"/>
      <c r="M2" s="904"/>
      <c r="S2" s="359"/>
      <c r="W2" s="357"/>
      <c r="X2" s="357"/>
      <c r="Y2" s="357"/>
      <c r="Z2" s="357"/>
      <c r="AA2" s="368"/>
      <c r="AB2" s="359"/>
      <c r="AC2" s="359"/>
      <c r="AD2" s="359"/>
      <c r="AE2" s="359" t="s">
        <v>55</v>
      </c>
      <c r="AF2" s="359"/>
      <c r="AG2" s="359"/>
      <c r="AH2" s="361"/>
      <c r="AI2" s="362"/>
      <c r="AJ2" s="363"/>
      <c r="AK2" s="363"/>
      <c r="AM2" s="363"/>
      <c r="AN2" s="811" t="s">
        <v>56</v>
      </c>
      <c r="AO2" s="812"/>
      <c r="AP2" s="813" t="s">
        <v>57</v>
      </c>
      <c r="AQ2" s="814"/>
      <c r="AR2" s="822"/>
      <c r="AS2" s="363"/>
      <c r="AT2" s="369"/>
      <c r="AU2" s="369"/>
      <c r="AV2" s="361"/>
      <c r="AW2" s="359"/>
      <c r="BA2" s="359"/>
      <c r="BC2" s="357"/>
      <c r="BD2" s="366"/>
      <c r="BE2" s="357"/>
      <c r="BF2" s="363"/>
      <c r="BG2" s="363"/>
      <c r="BH2" s="363"/>
      <c r="BI2" s="363"/>
      <c r="BK2" s="363"/>
      <c r="BL2" s="357"/>
      <c r="BM2" s="811" t="s">
        <v>56</v>
      </c>
      <c r="BN2" s="812"/>
      <c r="BO2" s="813" t="s">
        <v>57</v>
      </c>
      <c r="BP2" s="814"/>
      <c r="BQ2" s="815"/>
      <c r="BR2" s="359"/>
      <c r="BV2" s="359"/>
      <c r="BX2" s="357"/>
    </row>
    <row r="3" spans="1:82" ht="10.5" x14ac:dyDescent="0.2">
      <c r="A3" s="899" t="s">
        <v>58</v>
      </c>
      <c r="B3" s="899"/>
      <c r="C3" s="899"/>
      <c r="D3" s="899"/>
      <c r="J3" s="904"/>
      <c r="K3" s="904"/>
      <c r="L3" s="904"/>
      <c r="M3" s="904"/>
      <c r="S3" s="370" t="s">
        <v>59</v>
      </c>
      <c r="W3" s="357"/>
      <c r="X3" s="357"/>
      <c r="Y3" s="357"/>
      <c r="Z3" s="357"/>
      <c r="AA3" s="371"/>
      <c r="AB3" s="372"/>
      <c r="AC3" s="373">
        <v>4.0999999999999999E-4</v>
      </c>
      <c r="AD3" s="372">
        <v>1E-4</v>
      </c>
      <c r="AE3" s="372"/>
      <c r="AF3" s="372"/>
      <c r="AG3" s="374" t="s">
        <v>60</v>
      </c>
      <c r="AH3" s="375">
        <v>2.1695643531694899E-3</v>
      </c>
      <c r="AI3" s="376"/>
      <c r="AJ3" s="357"/>
      <c r="AK3" s="357"/>
      <c r="AM3" s="370" t="s">
        <v>61</v>
      </c>
      <c r="AN3" s="377" t="s">
        <v>62</v>
      </c>
      <c r="AO3" s="378" t="s">
        <v>63</v>
      </c>
      <c r="AP3" s="358" t="s">
        <v>62</v>
      </c>
      <c r="AQ3" s="358" t="s">
        <v>64</v>
      </c>
      <c r="AR3" s="358" t="s">
        <v>65</v>
      </c>
      <c r="AS3" s="379"/>
      <c r="AT3" s="380">
        <v>0</v>
      </c>
      <c r="AU3" s="381">
        <v>1.5E-5</v>
      </c>
      <c r="AV3" s="382"/>
      <c r="AW3" s="370" t="s">
        <v>61</v>
      </c>
      <c r="BA3" s="370" t="s">
        <v>61</v>
      </c>
      <c r="BC3" s="357"/>
      <c r="BD3" s="383"/>
      <c r="BE3" s="357"/>
      <c r="BF3" s="384"/>
      <c r="BG3" s="379"/>
      <c r="BH3" s="357"/>
      <c r="BI3" s="357"/>
      <c r="BK3" s="370" t="s">
        <v>61</v>
      </c>
      <c r="BL3" s="357"/>
      <c r="BM3" s="377" t="s">
        <v>62</v>
      </c>
      <c r="BN3" s="378" t="s">
        <v>63</v>
      </c>
      <c r="BO3" s="358" t="s">
        <v>62</v>
      </c>
      <c r="BP3" s="358" t="s">
        <v>64</v>
      </c>
      <c r="BQ3" s="358" t="s">
        <v>65</v>
      </c>
      <c r="BR3" s="370" t="s">
        <v>61</v>
      </c>
      <c r="BV3" s="370" t="s">
        <v>61</v>
      </c>
      <c r="BX3" s="357"/>
    </row>
    <row r="4" spans="1:82" ht="10.5" x14ac:dyDescent="0.2">
      <c r="A4" s="903" t="s">
        <v>66</v>
      </c>
      <c r="B4" s="903"/>
      <c r="C4" s="903"/>
      <c r="D4" s="903"/>
      <c r="J4" s="904"/>
      <c r="K4" s="904"/>
      <c r="L4" s="904"/>
      <c r="M4" s="904"/>
      <c r="S4" s="370" t="s">
        <v>67</v>
      </c>
      <c r="W4" s="357"/>
      <c r="X4" s="357"/>
      <c r="Y4" s="357"/>
      <c r="Z4" s="357"/>
      <c r="AA4" s="385" t="s">
        <v>67</v>
      </c>
      <c r="AB4" s="370" t="s">
        <v>67</v>
      </c>
      <c r="AC4" s="370" t="s">
        <v>67</v>
      </c>
      <c r="AD4" s="370" t="s">
        <v>67</v>
      </c>
      <c r="AE4" s="370" t="s">
        <v>67</v>
      </c>
      <c r="AF4" s="370" t="s">
        <v>67</v>
      </c>
      <c r="AG4" s="370" t="s">
        <v>67</v>
      </c>
      <c r="AH4" s="386" t="s">
        <v>68</v>
      </c>
      <c r="AI4" s="387"/>
      <c r="AJ4" s="388"/>
      <c r="AK4" s="388"/>
      <c r="AM4" s="370" t="s">
        <v>67</v>
      </c>
      <c r="AN4" s="377">
        <v>1E-4</v>
      </c>
      <c r="AO4" s="389">
        <v>1.1999999999999999E-6</v>
      </c>
      <c r="AP4" s="390">
        <f>AN7</f>
        <v>0.1</v>
      </c>
      <c r="AQ4" s="380">
        <v>3.0000000000000001E-5</v>
      </c>
      <c r="AR4" s="380">
        <v>3.0000000000000001E-5</v>
      </c>
      <c r="AS4" s="391" t="s">
        <v>67</v>
      </c>
      <c r="AT4" s="370" t="s">
        <v>67</v>
      </c>
      <c r="AU4" s="370" t="s">
        <v>69</v>
      </c>
      <c r="AV4" s="386" t="s">
        <v>69</v>
      </c>
      <c r="AW4" s="370" t="s">
        <v>67</v>
      </c>
      <c r="BA4" s="370" t="s">
        <v>68</v>
      </c>
      <c r="BC4" s="357"/>
      <c r="BD4" s="392"/>
      <c r="BE4" s="357"/>
      <c r="BF4" s="391" t="s">
        <v>68</v>
      </c>
      <c r="BG4" s="370" t="s">
        <v>67</v>
      </c>
      <c r="BH4" s="388"/>
      <c r="BI4" s="388"/>
      <c r="BK4" s="370" t="s">
        <v>68</v>
      </c>
      <c r="BL4" s="357"/>
      <c r="BM4" s="377">
        <v>1E-4</v>
      </c>
      <c r="BN4" s="389">
        <v>1.1999999999999999E-6</v>
      </c>
      <c r="BO4" s="390">
        <f>BM7</f>
        <v>0.1</v>
      </c>
      <c r="BP4" s="380">
        <v>3.0000000000000001E-5</v>
      </c>
      <c r="BQ4" s="380">
        <v>3.0000000000000001E-5</v>
      </c>
      <c r="BR4" s="370" t="s">
        <v>67</v>
      </c>
      <c r="BV4" s="370" t="s">
        <v>68</v>
      </c>
      <c r="BX4" s="357"/>
    </row>
    <row r="5" spans="1:82" ht="10.5" x14ac:dyDescent="0.2">
      <c r="A5" s="903" t="s">
        <v>70</v>
      </c>
      <c r="B5" s="903"/>
      <c r="C5" s="903"/>
      <c r="D5" s="903"/>
      <c r="J5" s="904"/>
      <c r="K5" s="904"/>
      <c r="L5" s="904"/>
      <c r="M5" s="904"/>
      <c r="S5" s="393">
        <v>2</v>
      </c>
      <c r="W5" s="357"/>
      <c r="X5" s="357"/>
      <c r="Y5" s="357"/>
      <c r="Z5" s="357"/>
      <c r="AA5" s="394">
        <v>3.18</v>
      </c>
      <c r="AB5" s="393">
        <v>1</v>
      </c>
      <c r="AC5" s="393">
        <v>1</v>
      </c>
      <c r="AD5" s="393">
        <v>1</v>
      </c>
      <c r="AE5" s="393">
        <v>1</v>
      </c>
      <c r="AF5" s="393">
        <v>1</v>
      </c>
      <c r="AG5" s="393">
        <v>2</v>
      </c>
      <c r="AH5" s="395">
        <f>SQRT(3)</f>
        <v>1.7320508075688772</v>
      </c>
      <c r="AI5" s="396"/>
      <c r="AJ5" s="397"/>
      <c r="AK5" s="397"/>
      <c r="AM5" s="393">
        <v>1</v>
      </c>
      <c r="AN5" s="377">
        <v>1E-3</v>
      </c>
      <c r="AO5" s="389">
        <v>1.1999999999999999E-6</v>
      </c>
      <c r="AP5" s="398">
        <f>AN8</f>
        <v>1</v>
      </c>
      <c r="AQ5" s="380">
        <v>2.0000000000000002E-5</v>
      </c>
      <c r="AR5" s="380">
        <v>6.0000000000000002E-6</v>
      </c>
      <c r="AS5" s="399">
        <v>1</v>
      </c>
      <c r="AT5" s="393">
        <v>1</v>
      </c>
      <c r="AU5" s="393">
        <v>1</v>
      </c>
      <c r="AV5" s="395">
        <v>1</v>
      </c>
      <c r="AW5" s="393">
        <v>1</v>
      </c>
      <c r="BA5" s="393">
        <f>SQRT(3)</f>
        <v>1.7320508075688772</v>
      </c>
      <c r="BC5" s="357"/>
      <c r="BD5" s="400"/>
      <c r="BE5" s="357"/>
      <c r="BF5" s="399">
        <f>SQRT(3)</f>
        <v>1.7320508075688772</v>
      </c>
      <c r="BG5" s="393">
        <v>1</v>
      </c>
      <c r="BH5" s="397"/>
      <c r="BI5" s="397"/>
      <c r="BK5" s="393">
        <f>SQRT(3)</f>
        <v>1.7320508075688772</v>
      </c>
      <c r="BL5" s="357"/>
      <c r="BM5" s="377">
        <v>1E-3</v>
      </c>
      <c r="BN5" s="389">
        <v>1.1999999999999999E-6</v>
      </c>
      <c r="BO5" s="398">
        <f>BM8</f>
        <v>1</v>
      </c>
      <c r="BP5" s="380">
        <v>2.0000000000000002E-5</v>
      </c>
      <c r="BQ5" s="380">
        <v>6.0000000000000002E-6</v>
      </c>
      <c r="BR5" s="393">
        <v>1</v>
      </c>
      <c r="BV5" s="393">
        <f>SQRT(3)</f>
        <v>1.7320508075688772</v>
      </c>
      <c r="BX5" s="357"/>
    </row>
    <row r="6" spans="1:82" ht="10.5" x14ac:dyDescent="0.2">
      <c r="A6" s="903" t="s">
        <v>71</v>
      </c>
      <c r="B6" s="903"/>
      <c r="C6" s="903"/>
      <c r="D6" s="903"/>
      <c r="J6" s="904"/>
      <c r="K6" s="904"/>
      <c r="L6" s="904"/>
      <c r="M6" s="904"/>
      <c r="S6" s="370" t="s">
        <v>61</v>
      </c>
      <c r="W6" s="357"/>
      <c r="X6" s="357"/>
      <c r="Y6" s="357"/>
      <c r="Z6" s="357"/>
      <c r="AA6" s="385" t="s">
        <v>61</v>
      </c>
      <c r="AB6" s="370" t="s">
        <v>61</v>
      </c>
      <c r="AC6" s="370" t="s">
        <v>61</v>
      </c>
      <c r="AD6" s="370" t="s">
        <v>61</v>
      </c>
      <c r="AE6" s="370" t="s">
        <v>61</v>
      </c>
      <c r="AF6" s="370" t="s">
        <v>61</v>
      </c>
      <c r="AG6" s="370" t="s">
        <v>61</v>
      </c>
      <c r="AH6" s="386" t="s">
        <v>61</v>
      </c>
      <c r="AI6" s="387"/>
      <c r="AJ6" s="388"/>
      <c r="AK6" s="388"/>
      <c r="AM6" s="370"/>
      <c r="AN6" s="377">
        <v>0.01</v>
      </c>
      <c r="AO6" s="389">
        <v>1.1999999999999999E-6</v>
      </c>
      <c r="AP6" s="398">
        <f>AN9</f>
        <v>10</v>
      </c>
      <c r="AQ6" s="380">
        <v>1.5E-5</v>
      </c>
      <c r="AR6" s="380">
        <v>3.9999999999999998E-6</v>
      </c>
      <c r="AS6" s="391" t="s">
        <v>61</v>
      </c>
      <c r="AT6" s="370" t="s">
        <v>61</v>
      </c>
      <c r="AU6" s="401" t="s">
        <v>61</v>
      </c>
      <c r="AV6" s="402" t="s">
        <v>61</v>
      </c>
      <c r="AW6" s="370" t="s">
        <v>61</v>
      </c>
      <c r="BA6" s="370" t="s">
        <v>61</v>
      </c>
      <c r="BC6" s="357"/>
      <c r="BD6" s="403"/>
      <c r="BE6" s="357"/>
      <c r="BF6" s="391" t="s">
        <v>61</v>
      </c>
      <c r="BG6" s="370" t="s">
        <v>61</v>
      </c>
      <c r="BH6" s="388"/>
      <c r="BI6" s="388"/>
      <c r="BK6" s="370"/>
      <c r="BL6" s="357"/>
      <c r="BM6" s="377">
        <v>0.01</v>
      </c>
      <c r="BN6" s="389">
        <v>1.1999999999999999E-6</v>
      </c>
      <c r="BO6" s="398">
        <f>BM9</f>
        <v>10</v>
      </c>
      <c r="BP6" s="380">
        <v>1.5E-5</v>
      </c>
      <c r="BQ6" s="380">
        <v>3.9999999999999998E-6</v>
      </c>
      <c r="BR6" s="370" t="s">
        <v>61</v>
      </c>
      <c r="BV6" s="370" t="s">
        <v>61</v>
      </c>
      <c r="BX6" s="357"/>
    </row>
    <row r="7" spans="1:82" ht="10.5" x14ac:dyDescent="0.2">
      <c r="A7" s="903" t="s">
        <v>72</v>
      </c>
      <c r="B7" s="903"/>
      <c r="C7" s="903"/>
      <c r="D7" s="903"/>
      <c r="J7" s="904"/>
      <c r="K7" s="904"/>
      <c r="L7" s="904"/>
      <c r="M7" s="904"/>
      <c r="S7" s="404">
        <f>MAX(W20:W40)</f>
        <v>7.2416147571855631E-4</v>
      </c>
      <c r="W7" s="357"/>
      <c r="X7" s="357"/>
      <c r="Y7" s="357"/>
      <c r="Z7" s="357"/>
      <c r="AA7" s="405"/>
      <c r="AB7" s="404"/>
      <c r="AC7" s="404"/>
      <c r="AD7" s="404"/>
      <c r="AE7" s="404"/>
      <c r="AF7" s="404"/>
      <c r="AG7" s="404"/>
      <c r="AH7" s="406">
        <f>MAX(AH20:AH40)</f>
        <v>0.21695643531694911</v>
      </c>
      <c r="AI7" s="407"/>
      <c r="AJ7" s="357"/>
      <c r="AK7" s="357"/>
      <c r="AM7" s="379"/>
      <c r="AN7" s="377">
        <v>0.1</v>
      </c>
      <c r="AO7" s="408">
        <v>1.1999999999999999E-6</v>
      </c>
      <c r="AP7" s="816" t="s">
        <v>73</v>
      </c>
      <c r="AQ7" s="817"/>
      <c r="AR7" s="409">
        <f>SQRT(3)</f>
        <v>1.7320508075688772</v>
      </c>
      <c r="AS7" s="404">
        <f>MAX(AS20:AS40)</f>
        <v>8.5999999999999993E-2</v>
      </c>
      <c r="AT7" s="404">
        <f>MAX(AT20:AT40)</f>
        <v>0</v>
      </c>
      <c r="AU7" s="410">
        <f>MAX(AU20:AU40)</f>
        <v>1.5299999999999999E-3</v>
      </c>
      <c r="AV7" s="406">
        <f>MAX(AV20:AV40)</f>
        <v>95.586666025609816</v>
      </c>
      <c r="AW7" s="404">
        <f>MAX(AW20:AW40)</f>
        <v>1.2182229597017673</v>
      </c>
      <c r="BA7" s="404">
        <f>MAX(BA20:BA40)</f>
        <v>2.7865284983695514E-7</v>
      </c>
      <c r="BC7" s="357"/>
      <c r="BD7" s="411"/>
      <c r="BE7" s="357"/>
      <c r="BF7" s="384"/>
      <c r="BG7" s="379"/>
      <c r="BH7" s="357"/>
      <c r="BI7" s="357"/>
      <c r="BK7" s="379"/>
      <c r="BL7" s="357"/>
      <c r="BM7" s="377">
        <v>0.1</v>
      </c>
      <c r="BN7" s="408">
        <v>1.1999999999999999E-6</v>
      </c>
      <c r="BO7" s="816" t="s">
        <v>73</v>
      </c>
      <c r="BP7" s="817"/>
      <c r="BQ7" s="409">
        <f>SQRT(3)</f>
        <v>1.7320508075688772</v>
      </c>
      <c r="BR7" s="404">
        <f>MAX(BR20:BR40)</f>
        <v>0.77294363199968397</v>
      </c>
      <c r="BV7" s="404">
        <f>MAX(BV20:BV40)</f>
        <v>2.7354821898782694E-6</v>
      </c>
      <c r="BX7" s="357"/>
    </row>
    <row r="8" spans="1:82" ht="10.5" x14ac:dyDescent="0.35">
      <c r="R8" s="412"/>
      <c r="S8" s="412"/>
      <c r="T8" s="413"/>
      <c r="U8" s="357"/>
      <c r="V8" s="413"/>
      <c r="W8" s="357"/>
      <c r="X8" s="357"/>
      <c r="Y8" s="357"/>
      <c r="Z8" s="413"/>
      <c r="AA8" s="414"/>
      <c r="AB8" s="413"/>
      <c r="AC8" s="413"/>
      <c r="AD8" s="413"/>
      <c r="AE8" s="413"/>
      <c r="AF8" s="413"/>
      <c r="AG8" s="413"/>
      <c r="AH8" s="413"/>
      <c r="AI8" s="413"/>
      <c r="AJ8" s="413"/>
      <c r="AK8" s="413"/>
      <c r="AL8" s="413"/>
      <c r="AM8" s="413"/>
      <c r="AN8" s="415">
        <v>1</v>
      </c>
      <c r="AO8" s="408">
        <v>6.0000000000000002E-6</v>
      </c>
      <c r="AP8" s="416"/>
      <c r="AQ8" s="417"/>
      <c r="AR8" s="418" t="s">
        <v>61</v>
      </c>
      <c r="AS8" s="413"/>
      <c r="AT8" s="413"/>
      <c r="BC8" s="357"/>
      <c r="BE8" s="413"/>
      <c r="BF8" s="413"/>
      <c r="BG8" s="413"/>
      <c r="BH8" s="413"/>
      <c r="BI8" s="413"/>
      <c r="BJ8" s="413"/>
      <c r="BK8" s="413"/>
      <c r="BL8" s="357"/>
      <c r="BM8" s="415">
        <v>1</v>
      </c>
      <c r="BN8" s="408">
        <v>6.0000000000000002E-6</v>
      </c>
      <c r="BO8" s="416"/>
      <c r="BP8" s="417"/>
      <c r="BQ8" s="418" t="s">
        <v>61</v>
      </c>
      <c r="BR8" s="420"/>
      <c r="BX8" s="357"/>
    </row>
    <row r="9" spans="1:82" ht="10.5" x14ac:dyDescent="0.35">
      <c r="R9" s="412"/>
      <c r="S9" s="412"/>
      <c r="T9" s="413"/>
      <c r="U9" s="357"/>
      <c r="V9" s="413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3"/>
      <c r="AK9" s="413"/>
      <c r="AL9" s="413"/>
      <c r="AM9" s="413"/>
      <c r="AN9" s="415">
        <v>10</v>
      </c>
      <c r="AO9" s="408">
        <v>4.0000000000000003E-5</v>
      </c>
      <c r="AP9" s="416"/>
      <c r="AQ9" s="417"/>
      <c r="AR9" s="421">
        <f>MAX(AR20:AR40)</f>
        <v>0.13673733640740721</v>
      </c>
      <c r="AS9" s="413"/>
      <c r="AT9" s="413"/>
      <c r="BC9" s="357"/>
      <c r="BE9" s="413"/>
      <c r="BF9" s="413"/>
      <c r="BG9" s="413"/>
      <c r="BH9" s="413"/>
      <c r="BI9" s="413"/>
      <c r="BJ9" s="413"/>
      <c r="BK9" s="413"/>
      <c r="BL9" s="413"/>
      <c r="BM9" s="415">
        <v>10</v>
      </c>
      <c r="BN9" s="408">
        <v>4.0000000000000003E-5</v>
      </c>
      <c r="BO9" s="416"/>
      <c r="BP9" s="417"/>
      <c r="BQ9" s="421">
        <f>MAX(BQ20:BQ40)</f>
        <v>0.65521854268705448</v>
      </c>
      <c r="BR9" s="420"/>
      <c r="BX9" s="357"/>
    </row>
    <row r="10" spans="1:82" ht="15" customHeight="1" x14ac:dyDescent="0.35">
      <c r="R10" s="357"/>
      <c r="S10" s="357"/>
      <c r="T10" s="413"/>
      <c r="U10" s="357"/>
      <c r="V10" s="413"/>
      <c r="W10" s="413"/>
      <c r="X10" s="413"/>
      <c r="Y10" s="413"/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3"/>
      <c r="AK10" s="413"/>
      <c r="AL10" s="413"/>
      <c r="AM10" s="413"/>
      <c r="AN10" s="422" t="s">
        <v>73</v>
      </c>
      <c r="AO10" s="393">
        <v>2</v>
      </c>
      <c r="AP10" s="413"/>
      <c r="AQ10" s="413"/>
      <c r="AR10" s="423"/>
      <c r="AS10" s="413"/>
      <c r="AT10" s="413"/>
      <c r="BC10" s="357"/>
      <c r="BE10" s="413"/>
      <c r="BF10" s="413"/>
      <c r="BG10" s="413"/>
      <c r="BH10" s="413"/>
      <c r="BI10" s="413"/>
      <c r="BJ10" s="413"/>
      <c r="BK10" s="413"/>
      <c r="BL10" s="413"/>
      <c r="BM10" s="422" t="s">
        <v>73</v>
      </c>
      <c r="BN10" s="393">
        <v>2</v>
      </c>
      <c r="BO10" s="413"/>
      <c r="BP10" s="413"/>
      <c r="BQ10" s="423"/>
      <c r="BR10" s="420"/>
      <c r="BX10" s="357"/>
    </row>
    <row r="11" spans="1:82" ht="10.5" thickBot="1" x14ac:dyDescent="0.4">
      <c r="R11" s="357"/>
      <c r="S11" s="357"/>
      <c r="T11" s="413"/>
      <c r="U11" s="357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3"/>
      <c r="AN11" s="424"/>
      <c r="AO11" s="425"/>
      <c r="AP11" s="426"/>
      <c r="AQ11" s="426"/>
      <c r="AR11" s="427"/>
      <c r="AS11" s="413"/>
      <c r="AT11" s="413"/>
      <c r="BC11" s="357"/>
      <c r="BE11" s="413"/>
      <c r="BF11" s="413"/>
      <c r="BG11" s="413"/>
      <c r="BH11" s="413"/>
      <c r="BI11" s="413"/>
      <c r="BJ11" s="413"/>
      <c r="BK11" s="413"/>
      <c r="BL11" s="413"/>
      <c r="BM11" s="424"/>
      <c r="BN11" s="425"/>
      <c r="BO11" s="426"/>
      <c r="BP11" s="426"/>
      <c r="BQ11" s="426"/>
      <c r="BR11" s="428"/>
      <c r="BX11" s="357"/>
    </row>
    <row r="12" spans="1:82" s="468" customFormat="1" ht="15" customHeight="1" thickBot="1" x14ac:dyDescent="0.4">
      <c r="A12" s="648"/>
      <c r="B12" s="862" t="s">
        <v>74</v>
      </c>
      <c r="C12" s="792"/>
      <c r="D12" s="792"/>
      <c r="E12" s="792"/>
      <c r="F12" s="792"/>
      <c r="G12" s="792"/>
      <c r="H12" s="792"/>
      <c r="I12" s="649"/>
      <c r="J12" s="862" t="s">
        <v>75</v>
      </c>
      <c r="K12" s="792"/>
      <c r="L12" s="792"/>
      <c r="M12" s="792"/>
      <c r="N12" s="792"/>
      <c r="O12" s="793"/>
      <c r="P12" s="649"/>
      <c r="Q12" s="649"/>
      <c r="R12" s="945" t="s">
        <v>305</v>
      </c>
      <c r="S12" s="825"/>
      <c r="T12" s="825"/>
      <c r="U12" s="825"/>
      <c r="V12" s="825"/>
      <c r="W12" s="825"/>
      <c r="X12" s="825"/>
      <c r="Y12" s="825"/>
      <c r="Z12" s="825"/>
      <c r="AA12" s="825"/>
      <c r="AB12" s="825"/>
      <c r="AC12" s="825"/>
      <c r="AD12" s="825"/>
      <c r="AE12" s="825"/>
      <c r="AF12" s="825"/>
      <c r="AG12" s="825"/>
      <c r="AH12" s="825"/>
      <c r="AI12" s="825"/>
      <c r="AJ12" s="825"/>
      <c r="AK12" s="825"/>
      <c r="AL12" s="825"/>
      <c r="AM12" s="825"/>
      <c r="AN12" s="825"/>
      <c r="AO12" s="825"/>
      <c r="AP12" s="825"/>
      <c r="AQ12" s="825"/>
      <c r="AR12" s="825"/>
      <c r="AS12" s="825"/>
      <c r="AT12" s="825"/>
      <c r="AU12" s="825"/>
      <c r="AV12" s="825"/>
      <c r="AW12" s="825"/>
      <c r="AX12" s="825"/>
      <c r="AY12" s="825"/>
      <c r="AZ12" s="825"/>
      <c r="BA12" s="946"/>
      <c r="BB12" s="681"/>
      <c r="BC12" s="681"/>
      <c r="BE12" s="818" t="s">
        <v>77</v>
      </c>
      <c r="BF12" s="819"/>
      <c r="BG12" s="819"/>
      <c r="BH12" s="819"/>
      <c r="BI12" s="819"/>
      <c r="BJ12" s="819"/>
      <c r="BK12" s="819"/>
      <c r="BL12" s="819"/>
      <c r="BM12" s="819"/>
      <c r="BN12" s="819"/>
      <c r="BO12" s="819"/>
      <c r="BP12" s="819"/>
      <c r="BQ12" s="819"/>
      <c r="BR12" s="819"/>
      <c r="BS12" s="819"/>
      <c r="BT12" s="819"/>
      <c r="BU12" s="819"/>
      <c r="BV12" s="820"/>
      <c r="BW12" s="818" t="s">
        <v>78</v>
      </c>
      <c r="BX12" s="819"/>
      <c r="BY12" s="819"/>
      <c r="BZ12" s="819"/>
      <c r="CA12" s="819"/>
      <c r="CB12" s="819"/>
      <c r="CC12" s="819"/>
      <c r="CD12" s="820"/>
    </row>
    <row r="13" spans="1:82" s="478" customFormat="1" ht="75.25" customHeight="1" thickBot="1" x14ac:dyDescent="0.4">
      <c r="A13" s="649" t="s">
        <v>306</v>
      </c>
      <c r="B13" s="936" t="s">
        <v>79</v>
      </c>
      <c r="C13" s="936" t="s">
        <v>80</v>
      </c>
      <c r="D13" s="936" t="s">
        <v>81</v>
      </c>
      <c r="E13" s="936" t="s">
        <v>82</v>
      </c>
      <c r="F13" s="792" t="s">
        <v>83</v>
      </c>
      <c r="G13" s="792" t="s">
        <v>84</v>
      </c>
      <c r="H13" s="792" t="s">
        <v>85</v>
      </c>
      <c r="I13" s="792"/>
      <c r="J13" s="939" t="s">
        <v>79</v>
      </c>
      <c r="K13" s="941" t="s">
        <v>86</v>
      </c>
      <c r="L13" s="943" t="s">
        <v>87</v>
      </c>
      <c r="M13" s="792" t="s">
        <v>88</v>
      </c>
      <c r="N13" s="792" t="s">
        <v>84</v>
      </c>
      <c r="O13" s="792" t="s">
        <v>85</v>
      </c>
      <c r="P13" s="792"/>
      <c r="Q13" s="792"/>
      <c r="R13" s="857" t="s">
        <v>89</v>
      </c>
      <c r="S13" s="857"/>
      <c r="T13" s="857"/>
      <c r="U13" s="857"/>
      <c r="V13" s="857"/>
      <c r="W13" s="857"/>
      <c r="X13" s="857"/>
      <c r="Y13" s="857" t="s">
        <v>307</v>
      </c>
      <c r="Z13" s="857"/>
      <c r="AA13" s="857"/>
      <c r="AB13" s="857"/>
      <c r="AC13" s="664" t="s">
        <v>308</v>
      </c>
      <c r="AD13" s="664" t="s">
        <v>90</v>
      </c>
      <c r="AE13" s="664" t="s">
        <v>309</v>
      </c>
      <c r="AF13" s="664" t="s">
        <v>310</v>
      </c>
      <c r="AG13" s="664" t="s">
        <v>43</v>
      </c>
      <c r="AH13" s="857" t="s">
        <v>311</v>
      </c>
      <c r="AI13" s="857"/>
      <c r="AJ13" s="857" t="s">
        <v>312</v>
      </c>
      <c r="AK13" s="857"/>
      <c r="AL13" s="857" t="s">
        <v>313</v>
      </c>
      <c r="AM13" s="857"/>
      <c r="AN13" s="857" t="s">
        <v>314</v>
      </c>
      <c r="AO13" s="857"/>
      <c r="AP13" s="857"/>
      <c r="AQ13" s="857"/>
      <c r="AR13" s="857"/>
      <c r="AS13" s="664" t="s">
        <v>315</v>
      </c>
      <c r="AT13" s="664" t="s">
        <v>316</v>
      </c>
      <c r="AU13" s="665" t="s">
        <v>317</v>
      </c>
      <c r="AV13" s="665" t="s">
        <v>318</v>
      </c>
      <c r="AW13" s="665" t="s">
        <v>319</v>
      </c>
      <c r="AX13" s="828" t="s">
        <v>320</v>
      </c>
      <c r="AY13" s="828"/>
      <c r="AZ13" s="828"/>
      <c r="BA13" s="828"/>
      <c r="BB13" s="791" t="s">
        <v>321</v>
      </c>
      <c r="BC13" s="875" t="s">
        <v>322</v>
      </c>
      <c r="BD13" s="475"/>
      <c r="BE13" s="845" t="s">
        <v>52</v>
      </c>
      <c r="BF13" s="846"/>
      <c r="BG13" s="476" t="s">
        <v>47</v>
      </c>
      <c r="BH13" s="856" t="s">
        <v>100</v>
      </c>
      <c r="BI13" s="858"/>
      <c r="BJ13" s="856" t="s">
        <v>53</v>
      </c>
      <c r="BK13" s="858"/>
      <c r="BL13" s="477" t="s">
        <v>101</v>
      </c>
      <c r="BM13" s="843" t="s">
        <v>102</v>
      </c>
      <c r="BN13" s="843"/>
      <c r="BO13" s="843"/>
      <c r="BP13" s="843"/>
      <c r="BQ13" s="844"/>
      <c r="BR13" s="881" t="s">
        <v>98</v>
      </c>
      <c r="BS13" s="828" t="s">
        <v>103</v>
      </c>
      <c r="BT13" s="828"/>
      <c r="BU13" s="828"/>
      <c r="BV13" s="829"/>
      <c r="BW13" s="862" t="s">
        <v>104</v>
      </c>
      <c r="BX13" s="963" t="s">
        <v>105</v>
      </c>
      <c r="BY13" s="862" t="s">
        <v>106</v>
      </c>
      <c r="BZ13" s="828" t="s">
        <v>107</v>
      </c>
      <c r="CA13" s="829"/>
      <c r="CB13" s="951" t="s">
        <v>108</v>
      </c>
      <c r="CC13" s="864" t="s">
        <v>109</v>
      </c>
      <c r="CD13" s="864" t="s">
        <v>14</v>
      </c>
    </row>
    <row r="14" spans="1:82" s="478" customFormat="1" ht="80.5" customHeight="1" thickBot="1" x14ac:dyDescent="0.4">
      <c r="A14" s="494"/>
      <c r="B14" s="937"/>
      <c r="C14" s="937"/>
      <c r="D14" s="937"/>
      <c r="E14" s="937"/>
      <c r="F14" s="938"/>
      <c r="G14" s="938"/>
      <c r="H14" s="494"/>
      <c r="I14" s="494" t="s">
        <v>110</v>
      </c>
      <c r="J14" s="940"/>
      <c r="K14" s="942"/>
      <c r="L14" s="944"/>
      <c r="M14" s="938"/>
      <c r="N14" s="938"/>
      <c r="O14" s="494"/>
      <c r="P14" s="494" t="s">
        <v>111</v>
      </c>
      <c r="Q14" s="494" t="s">
        <v>110</v>
      </c>
      <c r="R14" s="476" t="s">
        <v>112</v>
      </c>
      <c r="S14" s="476"/>
      <c r="T14" s="484" t="s">
        <v>114</v>
      </c>
      <c r="U14" s="484" t="s">
        <v>115</v>
      </c>
      <c r="V14" s="484" t="s">
        <v>116</v>
      </c>
      <c r="W14" s="484" t="s">
        <v>117</v>
      </c>
      <c r="X14" s="484" t="s">
        <v>117</v>
      </c>
      <c r="Y14" s="494" t="s">
        <v>118</v>
      </c>
      <c r="Z14" s="484" t="s">
        <v>119</v>
      </c>
      <c r="AA14" s="651" t="s">
        <v>120</v>
      </c>
      <c r="AB14" s="476"/>
      <c r="AC14" s="476"/>
      <c r="AD14" s="476"/>
      <c r="AE14" s="476"/>
      <c r="AF14" s="476"/>
      <c r="AG14" s="476"/>
      <c r="AH14" s="476"/>
      <c r="AI14" s="476" t="s">
        <v>122</v>
      </c>
      <c r="AJ14" s="652">
        <f>21-23.5</f>
        <v>-2.5</v>
      </c>
      <c r="AK14" s="476"/>
      <c r="AL14" s="948"/>
      <c r="AM14" s="948"/>
      <c r="AN14" s="937"/>
      <c r="AO14" s="937"/>
      <c r="AP14" s="937"/>
      <c r="AQ14" s="937"/>
      <c r="AR14" s="476"/>
      <c r="AS14" s="476"/>
      <c r="AT14" s="476"/>
      <c r="AU14" s="650"/>
      <c r="AV14" s="650"/>
      <c r="AW14" s="650"/>
      <c r="AX14" s="494" t="s">
        <v>128</v>
      </c>
      <c r="AY14" s="494" t="s">
        <v>129</v>
      </c>
      <c r="AZ14" s="494" t="s">
        <v>130</v>
      </c>
      <c r="BA14" s="650"/>
      <c r="BB14" s="968"/>
      <c r="BC14" s="876"/>
      <c r="BD14" s="494"/>
      <c r="BE14" s="958" t="s">
        <v>117</v>
      </c>
      <c r="BF14" s="959"/>
      <c r="BG14" s="495" t="s">
        <v>117</v>
      </c>
      <c r="BH14" s="524">
        <f>25.2-23.5</f>
        <v>1.6999999999999993</v>
      </c>
      <c r="BI14" s="493"/>
      <c r="BJ14" s="958" t="s">
        <v>117</v>
      </c>
      <c r="BK14" s="959"/>
      <c r="BL14" s="496" t="s">
        <v>117</v>
      </c>
      <c r="BM14" s="960" t="s">
        <v>123</v>
      </c>
      <c r="BN14" s="961"/>
      <c r="BO14" s="962" t="s">
        <v>124</v>
      </c>
      <c r="BP14" s="961"/>
      <c r="BQ14" s="488" t="s">
        <v>125</v>
      </c>
      <c r="BR14" s="965"/>
      <c r="BS14" s="491" t="s">
        <v>131</v>
      </c>
      <c r="BT14" s="492" t="s">
        <v>132</v>
      </c>
      <c r="BU14" s="492" t="s">
        <v>133</v>
      </c>
      <c r="BV14" s="493" t="s">
        <v>130</v>
      </c>
      <c r="BW14" s="863"/>
      <c r="BX14" s="964"/>
      <c r="BY14" s="863"/>
      <c r="BZ14" s="873"/>
      <c r="CA14" s="832"/>
      <c r="CB14" s="952"/>
      <c r="CC14" s="865"/>
      <c r="CD14" s="865"/>
    </row>
    <row r="15" spans="1:82" s="478" customFormat="1" ht="60" x14ac:dyDescent="0.35">
      <c r="A15" s="494" t="s">
        <v>134</v>
      </c>
      <c r="B15" s="504" t="s">
        <v>135</v>
      </c>
      <c r="C15" s="504" t="s">
        <v>136</v>
      </c>
      <c r="D15" s="504" t="s">
        <v>137</v>
      </c>
      <c r="E15" s="504"/>
      <c r="F15" s="478" t="s">
        <v>138</v>
      </c>
      <c r="G15" s="478" t="s">
        <v>139</v>
      </c>
      <c r="H15" s="478" t="s">
        <v>140</v>
      </c>
      <c r="I15" s="478" t="s">
        <v>141</v>
      </c>
      <c r="J15" s="678" t="s">
        <v>139</v>
      </c>
      <c r="K15" s="653" t="s">
        <v>142</v>
      </c>
      <c r="L15" s="944"/>
      <c r="M15" s="478" t="s">
        <v>138</v>
      </c>
      <c r="N15" s="478" t="s">
        <v>139</v>
      </c>
      <c r="O15" s="478" t="s">
        <v>140</v>
      </c>
      <c r="P15" s="478" t="s">
        <v>143</v>
      </c>
      <c r="Q15" s="478" t="s">
        <v>141</v>
      </c>
      <c r="R15" s="978" t="s">
        <v>135</v>
      </c>
      <c r="S15" s="978"/>
      <c r="T15" s="504"/>
      <c r="U15" s="504"/>
      <c r="V15" s="504"/>
      <c r="W15" s="504"/>
      <c r="X15" s="504"/>
      <c r="Y15" s="978" t="s">
        <v>144</v>
      </c>
      <c r="Z15" s="978"/>
      <c r="AA15" s="978"/>
      <c r="AB15" s="978"/>
      <c r="AC15" s="654" t="s">
        <v>145</v>
      </c>
      <c r="AD15" s="654" t="s">
        <v>55</v>
      </c>
      <c r="AE15" s="654" t="s">
        <v>146</v>
      </c>
      <c r="AF15" s="654" t="s">
        <v>55</v>
      </c>
      <c r="AG15" s="654" t="s">
        <v>147</v>
      </c>
      <c r="AH15" s="654" t="s">
        <v>138</v>
      </c>
      <c r="AI15" s="654"/>
      <c r="AJ15" s="947" t="s">
        <v>148</v>
      </c>
      <c r="AK15" s="947"/>
      <c r="AL15" s="947" t="s">
        <v>149</v>
      </c>
      <c r="AM15" s="947"/>
      <c r="AN15" s="504" t="s">
        <v>150</v>
      </c>
      <c r="AO15" s="504" t="s">
        <v>151</v>
      </c>
      <c r="AP15" s="504" t="s">
        <v>152</v>
      </c>
      <c r="AQ15" s="504" t="s">
        <v>151</v>
      </c>
      <c r="AR15" s="654" t="s">
        <v>153</v>
      </c>
      <c r="AS15" s="655" t="s">
        <v>55</v>
      </c>
      <c r="AT15" s="654" t="s">
        <v>154</v>
      </c>
      <c r="AU15" s="655" t="s">
        <v>155</v>
      </c>
      <c r="AV15" s="655" t="s">
        <v>156</v>
      </c>
      <c r="AW15" s="655" t="s">
        <v>157</v>
      </c>
      <c r="AX15" s="947" t="s">
        <v>157</v>
      </c>
      <c r="AY15" s="947"/>
      <c r="AZ15" s="947"/>
      <c r="BA15" s="967"/>
      <c r="BB15" s="684"/>
      <c r="BC15" s="512"/>
      <c r="BE15" s="897" t="s">
        <v>158</v>
      </c>
      <c r="BF15" s="898"/>
      <c r="BG15" s="510" t="s">
        <v>55</v>
      </c>
      <c r="BH15" s="953" t="s">
        <v>55</v>
      </c>
      <c r="BI15" s="954"/>
      <c r="BJ15" s="955" t="s">
        <v>55</v>
      </c>
      <c r="BK15" s="956"/>
      <c r="BL15" s="505" t="s">
        <v>55</v>
      </c>
      <c r="BM15" s="498" t="s">
        <v>150</v>
      </c>
      <c r="BN15" s="499" t="s">
        <v>151</v>
      </c>
      <c r="BO15" s="499" t="s">
        <v>152</v>
      </c>
      <c r="BP15" s="499" t="s">
        <v>151</v>
      </c>
      <c r="BQ15" s="507" t="s">
        <v>153</v>
      </c>
      <c r="BR15" s="508" t="s">
        <v>157</v>
      </c>
      <c r="BS15" s="955" t="s">
        <v>157</v>
      </c>
      <c r="BT15" s="957"/>
      <c r="BU15" s="957"/>
      <c r="BV15" s="956"/>
      <c r="BW15" s="511"/>
      <c r="BX15" s="512"/>
      <c r="BY15" s="511"/>
      <c r="CA15" s="513" t="s">
        <v>159</v>
      </c>
      <c r="CB15" s="773"/>
      <c r="CC15" s="865"/>
      <c r="CD15" s="865"/>
    </row>
    <row r="16" spans="1:82" s="478" customFormat="1" ht="21" x14ac:dyDescent="0.35">
      <c r="A16" s="494" t="s">
        <v>160</v>
      </c>
      <c r="B16" s="504"/>
      <c r="C16" s="504"/>
      <c r="D16" s="504"/>
      <c r="E16" s="504"/>
      <c r="J16" s="678"/>
      <c r="K16" s="653"/>
      <c r="L16" s="656"/>
      <c r="R16" s="978" t="s">
        <v>161</v>
      </c>
      <c r="S16" s="978"/>
      <c r="T16" s="504"/>
      <c r="U16" s="504"/>
      <c r="V16" s="504"/>
      <c r="W16" s="504"/>
      <c r="X16" s="504"/>
      <c r="Y16" s="654"/>
      <c r="Z16" s="654"/>
      <c r="AA16" s="654"/>
      <c r="AB16" s="654"/>
      <c r="AC16" s="654"/>
      <c r="AD16" s="654"/>
      <c r="AE16" s="654"/>
      <c r="AF16" s="654"/>
      <c r="AG16" s="654"/>
      <c r="AH16" s="654"/>
      <c r="AI16" s="654"/>
      <c r="AJ16" s="655"/>
      <c r="AK16" s="655"/>
      <c r="AL16" s="655"/>
      <c r="AM16" s="655"/>
      <c r="AN16" s="504"/>
      <c r="AO16" s="504"/>
      <c r="AP16" s="504"/>
      <c r="AQ16" s="504"/>
      <c r="AR16" s="654"/>
      <c r="AS16" s="655"/>
      <c r="AT16" s="654"/>
      <c r="AU16" s="655"/>
      <c r="AV16" s="655"/>
      <c r="AW16" s="655"/>
      <c r="AX16" s="655"/>
      <c r="AY16" s="655"/>
      <c r="AZ16" s="655"/>
      <c r="BA16" s="655"/>
      <c r="BB16" s="684"/>
      <c r="BC16" s="512"/>
      <c r="BE16" s="630"/>
      <c r="BF16" s="641"/>
      <c r="BG16" s="510"/>
      <c r="BH16" s="635"/>
      <c r="BI16" s="517"/>
      <c r="BJ16" s="635"/>
      <c r="BK16" s="517"/>
      <c r="BL16" s="632"/>
      <c r="BM16" s="498"/>
      <c r="BN16" s="499"/>
      <c r="BO16" s="499"/>
      <c r="BP16" s="499"/>
      <c r="BQ16" s="642"/>
      <c r="BR16" s="643"/>
      <c r="BS16" s="644"/>
      <c r="BT16" s="638"/>
      <c r="BU16" s="638"/>
      <c r="BV16" s="645"/>
      <c r="BW16" s="511"/>
      <c r="BX16" s="512"/>
      <c r="BY16" s="511"/>
      <c r="CA16" s="513"/>
      <c r="CB16" s="646"/>
      <c r="CC16" s="865"/>
      <c r="CD16" s="865"/>
    </row>
    <row r="17" spans="1:85" s="478" customFormat="1" ht="21" x14ac:dyDescent="0.35">
      <c r="A17" s="657" t="s">
        <v>162</v>
      </c>
      <c r="B17" s="504"/>
      <c r="C17" s="504"/>
      <c r="D17" s="504"/>
      <c r="E17" s="504"/>
      <c r="J17" s="678"/>
      <c r="K17" s="653"/>
      <c r="L17" s="656"/>
      <c r="R17" s="654" t="s">
        <v>163</v>
      </c>
      <c r="S17" s="654" t="s">
        <v>164</v>
      </c>
      <c r="T17" s="504"/>
      <c r="U17" s="504"/>
      <c r="V17" s="504"/>
      <c r="W17" s="504"/>
      <c r="X17" s="504"/>
      <c r="Y17" s="654"/>
      <c r="Z17" s="654"/>
      <c r="AA17" s="654"/>
      <c r="AB17" s="654"/>
      <c r="AC17" s="654"/>
      <c r="AD17" s="654"/>
      <c r="AE17" s="654"/>
      <c r="AF17" s="654"/>
      <c r="AG17" s="654"/>
      <c r="AH17" s="654"/>
      <c r="AI17" s="654"/>
      <c r="AJ17" s="655"/>
      <c r="AK17" s="655"/>
      <c r="AL17" s="655"/>
      <c r="AM17" s="655"/>
      <c r="AN17" s="504"/>
      <c r="AO17" s="504"/>
      <c r="AP17" s="504"/>
      <c r="AQ17" s="504"/>
      <c r="AR17" s="654"/>
      <c r="AS17" s="655"/>
      <c r="AT17" s="654"/>
      <c r="AU17" s="655"/>
      <c r="AV17" s="655"/>
      <c r="AW17" s="655"/>
      <c r="AX17" s="655"/>
      <c r="AY17" s="655"/>
      <c r="AZ17" s="655"/>
      <c r="BA17" s="655"/>
      <c r="BB17" s="684"/>
      <c r="BC17" s="512"/>
      <c r="BE17" s="630"/>
      <c r="BF17" s="641"/>
      <c r="BG17" s="510"/>
      <c r="BH17" s="635"/>
      <c r="BI17" s="517"/>
      <c r="BJ17" s="635"/>
      <c r="BK17" s="517"/>
      <c r="BL17" s="632"/>
      <c r="BM17" s="498"/>
      <c r="BN17" s="499"/>
      <c r="BO17" s="499"/>
      <c r="BP17" s="499"/>
      <c r="BQ17" s="642"/>
      <c r="BR17" s="643"/>
      <c r="BS17" s="644"/>
      <c r="BT17" s="638"/>
      <c r="BU17" s="638"/>
      <c r="BV17" s="645"/>
      <c r="BW17" s="511"/>
      <c r="BX17" s="512"/>
      <c r="BY17" s="511"/>
      <c r="CA17" s="513"/>
      <c r="CB17" s="646"/>
      <c r="CC17" s="865"/>
      <c r="CD17" s="865"/>
    </row>
    <row r="18" spans="1:85" s="478" customFormat="1" ht="13.75" customHeight="1" x14ac:dyDescent="0.35">
      <c r="A18" s="494"/>
      <c r="B18" s="950" t="s">
        <v>165</v>
      </c>
      <c r="C18" s="504"/>
      <c r="D18" s="504"/>
      <c r="E18" s="504"/>
      <c r="F18" s="950" t="s">
        <v>166</v>
      </c>
      <c r="G18" s="950" t="s">
        <v>167</v>
      </c>
      <c r="I18" s="478" t="s">
        <v>168</v>
      </c>
      <c r="J18" s="979" t="s">
        <v>169</v>
      </c>
      <c r="K18" s="979" t="s">
        <v>170</v>
      </c>
      <c r="L18" s="979" t="s">
        <v>171</v>
      </c>
      <c r="M18" s="950" t="s">
        <v>172</v>
      </c>
      <c r="N18" s="950" t="s">
        <v>167</v>
      </c>
      <c r="Q18" s="478" t="s">
        <v>168</v>
      </c>
      <c r="R18" s="949" t="s">
        <v>323</v>
      </c>
      <c r="S18" s="949"/>
      <c r="T18" s="504"/>
      <c r="U18" s="504"/>
      <c r="V18" s="504"/>
      <c r="W18" s="504"/>
      <c r="X18" s="504"/>
      <c r="Y18" s="950" t="s">
        <v>174</v>
      </c>
      <c r="Z18" s="950" t="s">
        <v>174</v>
      </c>
      <c r="AA18" s="950" t="s">
        <v>174</v>
      </c>
      <c r="AB18" s="949" t="s">
        <v>324</v>
      </c>
      <c r="AC18" s="949" t="s">
        <v>325</v>
      </c>
      <c r="AD18" s="949" t="s">
        <v>326</v>
      </c>
      <c r="AE18" s="949" t="s">
        <v>327</v>
      </c>
      <c r="AF18" s="949" t="s">
        <v>328</v>
      </c>
      <c r="AG18" s="949" t="s">
        <v>329</v>
      </c>
      <c r="AH18" s="949" t="s">
        <v>330</v>
      </c>
      <c r="AI18" s="658"/>
      <c r="AJ18" s="650" t="s">
        <v>182</v>
      </c>
      <c r="AL18" s="949" t="s">
        <v>183</v>
      </c>
      <c r="AM18" s="949" t="s">
        <v>331</v>
      </c>
      <c r="AN18" s="950" t="s">
        <v>184</v>
      </c>
      <c r="AO18" s="950" t="s">
        <v>332</v>
      </c>
      <c r="AP18" s="950" t="s">
        <v>185</v>
      </c>
      <c r="AQ18" s="950" t="s">
        <v>333</v>
      </c>
      <c r="AR18" s="950" t="s">
        <v>334</v>
      </c>
      <c r="AS18" s="949" t="s">
        <v>335</v>
      </c>
      <c r="AT18" s="949" t="s">
        <v>336</v>
      </c>
      <c r="AU18" s="949" t="s">
        <v>337</v>
      </c>
      <c r="AV18" s="949" t="s">
        <v>338</v>
      </c>
      <c r="AW18" s="949" t="s">
        <v>339</v>
      </c>
      <c r="AX18" s="949" t="s">
        <v>192</v>
      </c>
      <c r="AY18" s="949" t="s">
        <v>192</v>
      </c>
      <c r="AZ18" s="949" t="s">
        <v>192</v>
      </c>
      <c r="BA18" s="966" t="s">
        <v>340</v>
      </c>
      <c r="BB18" s="969" t="s">
        <v>341</v>
      </c>
      <c r="BC18" s="867"/>
      <c r="BE18" s="778" t="s">
        <v>194</v>
      </c>
      <c r="BF18" s="788" t="s">
        <v>194</v>
      </c>
      <c r="BG18" s="779" t="s">
        <v>187</v>
      </c>
      <c r="BH18" s="976" t="s">
        <v>342</v>
      </c>
      <c r="BI18" s="517"/>
      <c r="BJ18" s="974" t="s">
        <v>197</v>
      </c>
      <c r="BK18" s="788" t="s">
        <v>197</v>
      </c>
      <c r="BL18" s="779" t="s">
        <v>179</v>
      </c>
      <c r="BM18" s="778" t="s">
        <v>184</v>
      </c>
      <c r="BN18" s="790" t="s">
        <v>184</v>
      </c>
      <c r="BO18" s="790" t="s">
        <v>185</v>
      </c>
      <c r="BP18" s="790" t="s">
        <v>185</v>
      </c>
      <c r="BQ18" s="788" t="s">
        <v>186</v>
      </c>
      <c r="BR18" s="779" t="s">
        <v>174</v>
      </c>
      <c r="BS18" s="775" t="s">
        <v>192</v>
      </c>
      <c r="BT18" s="895" t="s">
        <v>192</v>
      </c>
      <c r="BU18" s="895" t="s">
        <v>192</v>
      </c>
      <c r="BV18" s="893" t="s">
        <v>198</v>
      </c>
      <c r="BW18" s="871" t="s">
        <v>199</v>
      </c>
      <c r="BX18" s="889" t="s">
        <v>199</v>
      </c>
      <c r="BY18" s="871" t="s">
        <v>199</v>
      </c>
      <c r="BZ18" s="867" t="s">
        <v>199</v>
      </c>
      <c r="CA18" s="868"/>
      <c r="CB18" s="774" t="s">
        <v>174</v>
      </c>
      <c r="CC18" s="865"/>
      <c r="CD18" s="865"/>
    </row>
    <row r="19" spans="1:85" s="525" customFormat="1" ht="13" thickBot="1" x14ac:dyDescent="0.4">
      <c r="A19" s="525" t="s">
        <v>233</v>
      </c>
      <c r="B19" s="950"/>
      <c r="C19" s="522" t="s">
        <v>201</v>
      </c>
      <c r="D19" s="522" t="s">
        <v>170</v>
      </c>
      <c r="E19" s="522" t="s">
        <v>174</v>
      </c>
      <c r="F19" s="950"/>
      <c r="G19" s="950"/>
      <c r="H19" s="522" t="s">
        <v>202</v>
      </c>
      <c r="I19" s="522" t="s">
        <v>174</v>
      </c>
      <c r="J19" s="979"/>
      <c r="K19" s="979"/>
      <c r="L19" s="979"/>
      <c r="M19" s="950"/>
      <c r="N19" s="950"/>
      <c r="O19" s="522" t="s">
        <v>202</v>
      </c>
      <c r="P19" s="522"/>
      <c r="Q19" s="522" t="s">
        <v>174</v>
      </c>
      <c r="R19" s="949"/>
      <c r="S19" s="949"/>
      <c r="T19" s="522" t="s">
        <v>203</v>
      </c>
      <c r="U19" s="522" t="s">
        <v>203</v>
      </c>
      <c r="V19" s="522" t="s">
        <v>204</v>
      </c>
      <c r="W19" s="522" t="s">
        <v>205</v>
      </c>
      <c r="X19" s="522" t="s">
        <v>206</v>
      </c>
      <c r="Y19" s="950"/>
      <c r="Z19" s="950"/>
      <c r="AA19" s="950"/>
      <c r="AB19" s="949"/>
      <c r="AC19" s="949"/>
      <c r="AD19" s="949"/>
      <c r="AE19" s="949"/>
      <c r="AF19" s="949"/>
      <c r="AG19" s="949"/>
      <c r="AH19" s="949"/>
      <c r="AI19" s="659"/>
      <c r="AJ19" s="659" t="s">
        <v>195</v>
      </c>
      <c r="AK19" s="658" t="s">
        <v>343</v>
      </c>
      <c r="AL19" s="949"/>
      <c r="AM19" s="949"/>
      <c r="AN19" s="950"/>
      <c r="AO19" s="950"/>
      <c r="AP19" s="950"/>
      <c r="AQ19" s="950"/>
      <c r="AR19" s="950"/>
      <c r="AS19" s="949"/>
      <c r="AT19" s="949"/>
      <c r="AU19" s="949"/>
      <c r="AV19" s="949"/>
      <c r="AW19" s="949"/>
      <c r="AX19" s="949"/>
      <c r="AY19" s="949"/>
      <c r="AZ19" s="949"/>
      <c r="BA19" s="966"/>
      <c r="BB19" s="970"/>
      <c r="BC19" s="971"/>
      <c r="BD19" s="522"/>
      <c r="BE19" s="972"/>
      <c r="BF19" s="891"/>
      <c r="BG19" s="780"/>
      <c r="BH19" s="977"/>
      <c r="BJ19" s="975"/>
      <c r="BK19" s="891"/>
      <c r="BL19" s="780"/>
      <c r="BM19" s="972"/>
      <c r="BN19" s="973"/>
      <c r="BO19" s="973"/>
      <c r="BP19" s="973"/>
      <c r="BQ19" s="891"/>
      <c r="BR19" s="780"/>
      <c r="BS19" s="776"/>
      <c r="BT19" s="896"/>
      <c r="BU19" s="896"/>
      <c r="BV19" s="894"/>
      <c r="BW19" s="872"/>
      <c r="BX19" s="890"/>
      <c r="BY19" s="872"/>
      <c r="BZ19" s="869"/>
      <c r="CA19" s="870"/>
      <c r="CB19" s="866"/>
      <c r="CC19" s="865"/>
      <c r="CD19" s="880"/>
      <c r="CE19" s="468" t="s">
        <v>208</v>
      </c>
      <c r="CG19" s="525" t="s">
        <v>209</v>
      </c>
    </row>
    <row r="20" spans="1:85" s="468" customFormat="1" ht="10.5" thickBot="1" x14ac:dyDescent="0.4">
      <c r="A20" s="468">
        <v>200</v>
      </c>
      <c r="B20" s="528">
        <v>0.1134</v>
      </c>
      <c r="C20" s="528"/>
      <c r="D20" s="528"/>
      <c r="E20" s="528"/>
      <c r="F20" s="414">
        <f>-'Response calculation'!Q5</f>
        <v>4.387974900000001E-4</v>
      </c>
      <c r="G20" s="414">
        <v>1.1496844400000001E-6</v>
      </c>
      <c r="H20" s="529">
        <f>F20/SQRT(SUMSQ('Response calculation'!J5,'Response calculation'!P5))</f>
        <v>275.7347665197683</v>
      </c>
      <c r="I20" s="529">
        <f>1*100/H20</f>
        <v>0.36266736060224269</v>
      </c>
      <c r="J20" s="531">
        <f>M20/F20*B20</f>
        <v>2.3665407703220794E-2</v>
      </c>
      <c r="K20" s="435">
        <v>2.6759999999999999E-2</v>
      </c>
      <c r="L20" s="531">
        <f t="shared" ref="L20:L40" si="0">K20+(BI20/100*K20)</f>
        <v>2.67190572E-2</v>
      </c>
      <c r="M20" s="532">
        <f>'Response calculation'!W5</f>
        <v>9.1572499999999571E-5</v>
      </c>
      <c r="N20" s="532">
        <v>4.6328336100000002E-7</v>
      </c>
      <c r="O20" s="529">
        <f>M20/SQRT(SUMSQ('Response calculation'!S5,'Response calculation'!V5))</f>
        <v>117.02824081564913</v>
      </c>
      <c r="P20" s="529">
        <f>1/O20*100</f>
        <v>0.8544946014998791</v>
      </c>
      <c r="Q20" s="529">
        <f t="shared" ref="Q20:Q40" si="1">1*100/O20</f>
        <v>0.85449460149987921</v>
      </c>
      <c r="R20" s="529">
        <v>6.12</v>
      </c>
      <c r="S20" s="535">
        <f t="shared" ref="S20:S40" si="2">R20/$S$5</f>
        <v>3.06</v>
      </c>
      <c r="T20" s="528">
        <f t="shared" ref="T20:T40" si="3">B20*R20/100</f>
        <v>6.9400800000000004E-3</v>
      </c>
      <c r="U20" s="528">
        <f t="shared" ref="U20:U40" si="4">T20/$S$5</f>
        <v>3.4700400000000002E-3</v>
      </c>
      <c r="V20" s="528">
        <f t="shared" ref="V20:V40" si="5">M20/F20</f>
        <v>0.20868966228589764</v>
      </c>
      <c r="W20" s="414">
        <f>U20*V20</f>
        <v>7.2416147571855631E-4</v>
      </c>
      <c r="X20" s="529">
        <f t="shared" ref="X20:X40" si="6">W20*100/B20</f>
        <v>0.6385903665948468</v>
      </c>
      <c r="Y20" s="528">
        <f>'Drift is STD'!B3</f>
        <v>-1.0760271130170149E-2</v>
      </c>
      <c r="Z20" s="447">
        <f>'Drift is STD'!C3</f>
        <v>5.2059999999999995E-2</v>
      </c>
      <c r="AA20" s="447">
        <f>Z20*$AA$5</f>
        <v>0.1655508</v>
      </c>
      <c r="AB20" s="535">
        <f t="shared" ref="AB20:AB40" si="7">SQRT(SUMSQ(Y20:Z20))</f>
        <v>5.3160389716355283E-2</v>
      </c>
      <c r="AC20" s="447">
        <v>4.1000000000000002E-2</v>
      </c>
      <c r="AD20" s="535">
        <v>0.01</v>
      </c>
      <c r="AE20" s="447">
        <v>5.0000000000000001E-3</v>
      </c>
      <c r="AF20" s="535">
        <v>0.02</v>
      </c>
      <c r="AG20" s="447">
        <f>'Wavelength Uc'!Y4</f>
        <v>6.1188587082438468E-2</v>
      </c>
      <c r="AH20" s="447">
        <v>0.21695643531694911</v>
      </c>
      <c r="AI20" s="535">
        <f t="shared" ref="AI20:AI40" si="8">AH20/F20</f>
        <v>494.43408465474374</v>
      </c>
      <c r="AJ20" s="449">
        <v>0.05</v>
      </c>
      <c r="AK20" s="535">
        <f t="shared" ref="AK20:AK40" si="9">AJ20*$AJ$14</f>
        <v>-0.125</v>
      </c>
      <c r="AL20" s="535">
        <v>0.02</v>
      </c>
      <c r="AM20" s="447">
        <f t="shared" ref="AM20:AM40" si="10">AL20/$AM$5</f>
        <v>0.02</v>
      </c>
      <c r="AN20" s="660">
        <f>$AO$7*100/F20</f>
        <v>0.27347467279268156</v>
      </c>
      <c r="AO20" s="414">
        <f t="shared" ref="AO20:AO40" si="11">AN20/$AO$10</f>
        <v>0.13673733639634078</v>
      </c>
      <c r="AP20" s="414">
        <f>($AQ$4*F20)+($AR$4*$AN$7)</f>
        <v>3.0131639247000001E-6</v>
      </c>
      <c r="AQ20" s="414">
        <f t="shared" ref="AQ20:AQ40" si="12">AP20/$AR$7</f>
        <v>1.7396510030380145E-6</v>
      </c>
      <c r="AR20" s="440">
        <f t="shared" ref="AR20:AR40" si="13">SQRT(SUMSQ(AO20,AQ20))</f>
        <v>0.13673733640740721</v>
      </c>
      <c r="AS20" s="447">
        <v>8.5999999999999993E-2</v>
      </c>
      <c r="AT20" s="440">
        <v>0</v>
      </c>
      <c r="AU20" s="552">
        <v>1.5299999999999999E-3</v>
      </c>
      <c r="AV20" s="449">
        <f>'Response calculation'!N5*100/'Response calculation'!G5</f>
        <v>95.586666025609816</v>
      </c>
      <c r="AW20" s="440">
        <f>-'Response calculation'!K5</f>
        <v>1.1563287198565694E-2</v>
      </c>
      <c r="AX20" s="440">
        <v>9.9999999999999994E-12</v>
      </c>
      <c r="AY20" s="440">
        <f>AX20/2</f>
        <v>4.9999999999999997E-12</v>
      </c>
      <c r="AZ20" s="440">
        <f t="shared" ref="AZ20:AZ40" si="14">AY20/$BA$5</f>
        <v>2.8867513459481288E-12</v>
      </c>
      <c r="BA20" s="440">
        <f>AZ20/-'Response calculation'!G5*100</f>
        <v>2.9034345184357096E-8</v>
      </c>
      <c r="BB20" s="685">
        <f t="shared" ref="BB20:BB40" si="15">SQRT(SUMSQ($AW20,$BA20,$S20,$AB20,$AC20,$AD20,$AE20,$AF20,$AG20,$AH20,$AK20,$AM20,$AR20,$AS20,$AT20,$AU20,$AV20))</f>
        <v>95.636146002472302</v>
      </c>
      <c r="BC20" s="682">
        <f>BB20*2</f>
        <v>191.2722920049446</v>
      </c>
      <c r="BD20" s="529"/>
      <c r="BE20" s="551">
        <v>2.9000000000000001E-2</v>
      </c>
      <c r="BF20" s="552">
        <f>BE20/$BF$5</f>
        <v>1.674315780649915E-2</v>
      </c>
      <c r="BG20" s="553">
        <v>1.24E-3</v>
      </c>
      <c r="BH20" s="441">
        <f>'Temp coeff'!E6</f>
        <v>-0.09</v>
      </c>
      <c r="BI20" s="539">
        <f t="shared" ref="BI20:BI40" si="16">BH20*$BH$14</f>
        <v>-0.15299999999999994</v>
      </c>
      <c r="BJ20" s="442">
        <v>1.6000000000000001E-4</v>
      </c>
      <c r="BK20" s="554">
        <f t="shared" ref="BK20:BK40" si="17">BJ20/$BK$5</f>
        <v>9.2376043070340139E-5</v>
      </c>
      <c r="BL20" s="543">
        <v>0.02</v>
      </c>
      <c r="BM20" s="555">
        <f t="shared" ref="BM20:BM29" si="18">$BN$7*100/M20</f>
        <v>1.310437085369522</v>
      </c>
      <c r="BN20" s="537">
        <f>BM20/$BN$10</f>
        <v>0.65521854268476099</v>
      </c>
      <c r="BO20" s="537">
        <f>($BP$4*M20)+($BQ$4*$BM$7)</f>
        <v>3.0027471750000002E-6</v>
      </c>
      <c r="BP20" s="537">
        <f>BO20/$BQ$7</f>
        <v>1.7336368897946386E-6</v>
      </c>
      <c r="BQ20" s="444">
        <f>SQRT(SUMSQ(BN20,BP20))</f>
        <v>0.65521854268705448</v>
      </c>
      <c r="BR20" s="556">
        <f>'Response calculation'!T5</f>
        <v>-3.4518117264349382E-3</v>
      </c>
      <c r="BS20" s="443">
        <v>1E-10</v>
      </c>
      <c r="BT20" s="444">
        <f>BS20/2</f>
        <v>5.0000000000000002E-11</v>
      </c>
      <c r="BU20" s="444">
        <f t="shared" ref="BU20:BU40" si="19">BT20/$BV$5</f>
        <v>2.886751345948129E-11</v>
      </c>
      <c r="BV20" s="557">
        <f>BU20/'Response calculation'!R5*100</f>
        <v>-2.1508482682687131E-7</v>
      </c>
      <c r="BW20" s="445">
        <f t="shared" ref="BW20:BW40" si="20">SQRT(SUMSQ($AW20,$BA20,$S20,$AB20,$AC20,$AD20,$AE20,$AF20,$AG20,$AH20,$AK20,$AM20,$AR20,$AS20,$AT20,$AU20,$AV20))</f>
        <v>95.636146002472302</v>
      </c>
      <c r="BX20" s="558">
        <f>BW20*2</f>
        <v>191.2722920049446</v>
      </c>
      <c r="BY20" s="445">
        <f t="shared" ref="BY20:BY40" si="21">SQRT(SUMSQ($AW20,$BA20,$S20,$AB20,$AC20,$AD20,$AE20,$AF20,$AG20,$AH20,$AK20,$AM20,$AR20,$AS20,$AT20,$AU20,AV20,$BR20,$BV20,$BF20,$BG20,$BI20,$BK20,$BL20,$BQ20))</f>
        <v>95.638516489641091</v>
      </c>
      <c r="BZ20" s="446">
        <f>BY20*2</f>
        <v>191.27703297928218</v>
      </c>
      <c r="CA20" s="558">
        <f>ROUNDUP(BZ20,1)</f>
        <v>191.29999999999998</v>
      </c>
      <c r="CB20" s="559">
        <f t="shared" ref="CB20:CB40" si="22">ABS(J20-L20)/L20*100</f>
        <v>11.428732211326704</v>
      </c>
      <c r="CC20" s="560" t="str">
        <f>IF(CB20&lt;CA20,"OK","NOT OK")</f>
        <v>OK</v>
      </c>
      <c r="CD20" s="877" t="s">
        <v>210</v>
      </c>
      <c r="CE20" s="536">
        <f t="shared" ref="CE20:CE40" si="23">CA20/100*J20</f>
        <v>4.5271924936261372E-2</v>
      </c>
      <c r="CF20" s="561">
        <v>191.29999999999998</v>
      </c>
      <c r="CG20" s="446">
        <f>ABS((J20-L20)/(SQRT(SUMSQ(CE20,'Response calculation'!AB5))))</f>
        <v>6.744990084060902E-2</v>
      </c>
    </row>
    <row r="21" spans="1:85" s="468" customFormat="1" ht="10.5" thickBot="1" x14ac:dyDescent="0.4">
      <c r="A21" s="468">
        <v>210</v>
      </c>
      <c r="B21" s="528">
        <v>0.1163</v>
      </c>
      <c r="C21" s="528"/>
      <c r="D21" s="528"/>
      <c r="E21" s="528"/>
      <c r="F21" s="414">
        <f>-'Response calculation'!Q6</f>
        <v>8.6255107999999928E-4</v>
      </c>
      <c r="G21" s="414">
        <v>2.1869258399999999E-6</v>
      </c>
      <c r="H21" s="529">
        <f>F21/SQRT(SUMSQ('Response calculation'!J6,'Response calculation'!P6))</f>
        <v>381.6071998698647</v>
      </c>
      <c r="I21" s="529">
        <f t="shared" ref="I21:I40" si="24">1*100/H21</f>
        <v>0.26204956309551258</v>
      </c>
      <c r="J21" s="531">
        <f t="shared" ref="J21:J40" si="25">M21/F21*B21</f>
        <v>2.462929025606243E-2</v>
      </c>
      <c r="K21" s="435">
        <v>2.6200000000000001E-2</v>
      </c>
      <c r="L21" s="531">
        <f t="shared" si="0"/>
        <v>2.6155460000000002E-2</v>
      </c>
      <c r="M21" s="532">
        <f>'Response calculation'!W6</f>
        <v>1.8266570000000093E-4</v>
      </c>
      <c r="N21" s="532">
        <v>5.3452317200000002E-7</v>
      </c>
      <c r="O21" s="529">
        <f>M21/SQRT(SUMSQ('Response calculation'!S6,'Response calculation'!V6))</f>
        <v>239.10737729621954</v>
      </c>
      <c r="P21" s="529">
        <f t="shared" ref="P21:P40" si="26">1/O21*100</f>
        <v>0.41822214408765157</v>
      </c>
      <c r="Q21" s="529">
        <f t="shared" si="1"/>
        <v>0.41822214408765157</v>
      </c>
      <c r="R21" s="529">
        <v>4.25</v>
      </c>
      <c r="S21" s="535">
        <f t="shared" si="2"/>
        <v>2.125</v>
      </c>
      <c r="T21" s="528">
        <f t="shared" si="3"/>
        <v>4.9427500000000001E-3</v>
      </c>
      <c r="U21" s="528">
        <f t="shared" si="4"/>
        <v>2.471375E-3</v>
      </c>
      <c r="V21" s="528">
        <f t="shared" si="5"/>
        <v>0.21177377692229088</v>
      </c>
      <c r="W21" s="414">
        <f t="shared" ref="W21:W40" si="27">U21*V21</f>
        <v>5.2337241794132665E-4</v>
      </c>
      <c r="X21" s="529">
        <f t="shared" si="6"/>
        <v>0.45001927595986813</v>
      </c>
      <c r="Y21" s="528">
        <f>'Drift is STD'!B4</f>
        <v>-1.2099237828589205E-2</v>
      </c>
      <c r="Z21" s="447">
        <f>'Drift is STD'!C4</f>
        <v>5.01249E-2</v>
      </c>
      <c r="AA21" s="447">
        <f>Z21*$AA$5</f>
        <v>0.159397182</v>
      </c>
      <c r="AB21" s="535">
        <f t="shared" si="7"/>
        <v>5.1564495110907119E-2</v>
      </c>
      <c r="AC21" s="447">
        <v>4.1000000000000002E-2</v>
      </c>
      <c r="AD21" s="535">
        <v>0.01</v>
      </c>
      <c r="AE21" s="447">
        <v>5.0000000000000001E-3</v>
      </c>
      <c r="AF21" s="535">
        <v>0.02</v>
      </c>
      <c r="AG21" s="447">
        <f>'Wavelength Uc'!Y5</f>
        <v>5.8521351758610528E-2</v>
      </c>
      <c r="AH21" s="447">
        <v>0.21695643531694911</v>
      </c>
      <c r="AI21" s="535">
        <f t="shared" si="8"/>
        <v>251.52879678377923</v>
      </c>
      <c r="AJ21" s="449">
        <v>0.05</v>
      </c>
      <c r="AK21" s="535">
        <f t="shared" si="9"/>
        <v>-0.125</v>
      </c>
      <c r="AL21" s="535">
        <v>0.02</v>
      </c>
      <c r="AM21" s="447">
        <f t="shared" si="10"/>
        <v>0.02</v>
      </c>
      <c r="AN21" s="660">
        <f t="shared" ref="AN21:AN25" si="28">$AO$7*100/F21</f>
        <v>0.13912219552261193</v>
      </c>
      <c r="AO21" s="414">
        <f t="shared" si="11"/>
        <v>6.9561097761305965E-2</v>
      </c>
      <c r="AP21" s="414">
        <f>($AQ$4*F21)+($AR$4*$AN$7)</f>
        <v>3.0258765324E-6</v>
      </c>
      <c r="AQ21" s="414">
        <f t="shared" si="12"/>
        <v>1.7469906305157114E-6</v>
      </c>
      <c r="AR21" s="440">
        <f t="shared" si="13"/>
        <v>6.9561097783243347E-2</v>
      </c>
      <c r="AS21" s="447">
        <v>8.5999999999999993E-2</v>
      </c>
      <c r="AT21" s="440">
        <v>0</v>
      </c>
      <c r="AU21" s="552">
        <v>1.5299999999999999E-3</v>
      </c>
      <c r="AV21" s="449">
        <f>'Response calculation'!N6*100/'Response calculation'!G6</f>
        <v>91.673951519610299</v>
      </c>
      <c r="AW21" s="440">
        <f>-'Response calculation'!K6</f>
        <v>2.1109996832717401E-2</v>
      </c>
      <c r="AX21" s="440">
        <v>1E-10</v>
      </c>
      <c r="AY21" s="440">
        <f t="shared" ref="AY21:AY40" si="29">AX21/2</f>
        <v>5.0000000000000002E-11</v>
      </c>
      <c r="AZ21" s="440">
        <f t="shared" si="14"/>
        <v>2.886751345948129E-11</v>
      </c>
      <c r="BA21" s="440">
        <f>AZ21/-'Response calculation'!G6*100</f>
        <v>2.7865284983695514E-7</v>
      </c>
      <c r="BB21" s="685">
        <f t="shared" si="15"/>
        <v>91.699035325785417</v>
      </c>
      <c r="BC21" s="682">
        <f t="shared" ref="BC21:BC24" si="30">BB21*2</f>
        <v>183.39807065157083</v>
      </c>
      <c r="BD21" s="529"/>
      <c r="BE21" s="551">
        <v>1.4999999999999999E-2</v>
      </c>
      <c r="BF21" s="552">
        <f t="shared" ref="BF21:BF40" si="31">BE21/$BF$5</f>
        <v>8.6602540378443865E-3</v>
      </c>
      <c r="BG21" s="553">
        <v>1.24E-3</v>
      </c>
      <c r="BH21" s="448">
        <f>'Temp coeff'!E7</f>
        <v>-0.1</v>
      </c>
      <c r="BI21" s="543">
        <f t="shared" si="16"/>
        <v>-0.16999999999999993</v>
      </c>
      <c r="BJ21" s="442">
        <v>1.7000000000000001E-4</v>
      </c>
      <c r="BK21" s="554">
        <f t="shared" si="17"/>
        <v>9.8149545762236387E-5</v>
      </c>
      <c r="BL21" s="543">
        <v>0.02</v>
      </c>
      <c r="BM21" s="545">
        <f t="shared" si="18"/>
        <v>0.65693778306490702</v>
      </c>
      <c r="BN21" s="414">
        <f t="shared" ref="BN21:BN40" si="32">BM21/$BN$10</f>
        <v>0.32846889153245351</v>
      </c>
      <c r="BO21" s="414">
        <f t="shared" ref="BO21:BO29" si="33">($BP$4*M21)+($BQ$4*$BM$7)</f>
        <v>3.0054799710000001E-6</v>
      </c>
      <c r="BP21" s="414">
        <f t="shared" ref="BP21:BP40" si="34">BO21/$BQ$7</f>
        <v>1.7352146703008788E-6</v>
      </c>
      <c r="BQ21" s="440">
        <f t="shared" ref="BQ21:BQ40" si="35">SQRT(SUMSQ(BN21,BP21))</f>
        <v>0.32846889153703684</v>
      </c>
      <c r="BR21" s="563">
        <f>'Response calculation'!T6</f>
        <v>-4.0096165113965914E-3</v>
      </c>
      <c r="BS21" s="439">
        <v>1E-10</v>
      </c>
      <c r="BT21" s="440">
        <f t="shared" ref="BT21:BT40" si="36">BS21/2</f>
        <v>5.0000000000000002E-11</v>
      </c>
      <c r="BU21" s="440">
        <f t="shared" si="19"/>
        <v>2.886751345948129E-11</v>
      </c>
      <c r="BV21" s="546">
        <f>BU21/'Response calculation'!R6*100</f>
        <v>-2.1654376212917395E-7</v>
      </c>
      <c r="BW21" s="438">
        <f t="shared" si="20"/>
        <v>91.699035325785417</v>
      </c>
      <c r="BX21" s="564">
        <f t="shared" ref="BX21:BX40" si="37">BW21*2</f>
        <v>183.39807065157083</v>
      </c>
      <c r="BY21" s="438">
        <f t="shared" si="21"/>
        <v>91.6997838826058</v>
      </c>
      <c r="BZ21" s="449">
        <f t="shared" ref="BZ21:BZ40" si="38">BY21*2</f>
        <v>183.3995677652116</v>
      </c>
      <c r="CA21" s="564">
        <f t="shared" ref="CA21:CA40" si="39">ROUNDUP(BZ21,1)</f>
        <v>183.4</v>
      </c>
      <c r="CB21" s="565">
        <f t="shared" si="22"/>
        <v>5.8349948497849855</v>
      </c>
      <c r="CC21" s="566" t="str">
        <f t="shared" ref="CC21:CC40" si="40">IF(CB21&lt;CA21,"OK","NOT OK")</f>
        <v>OK</v>
      </c>
      <c r="CD21" s="878"/>
      <c r="CE21" s="536">
        <f t="shared" si="23"/>
        <v>4.5170118329618501E-2</v>
      </c>
      <c r="CF21" s="561">
        <v>183.4</v>
      </c>
      <c r="CG21" s="446">
        <f>ABS((J21-L21)/(SQRT(SUMSQ(CE21,'Response calculation'!AB6))))</f>
        <v>3.3786822807560929E-2</v>
      </c>
    </row>
    <row r="22" spans="1:85" s="468" customFormat="1" ht="10.5" thickBot="1" x14ac:dyDescent="0.4">
      <c r="A22" s="468">
        <v>220</v>
      </c>
      <c r="B22" s="528">
        <v>0.12089999999999999</v>
      </c>
      <c r="C22" s="528"/>
      <c r="D22" s="528"/>
      <c r="E22" s="528"/>
      <c r="F22" s="414">
        <f>-'Response calculation'!Q7</f>
        <v>3.0359860899999997E-3</v>
      </c>
      <c r="G22" s="414">
        <v>1.5399090799999998E-5</v>
      </c>
      <c r="H22" s="529">
        <f>F22/SQRT(SUMSQ('Response calculation'!J7,'Response calculation'!P7))</f>
        <v>196.92342173959429</v>
      </c>
      <c r="I22" s="529">
        <f t="shared" si="24"/>
        <v>0.50781161081101389</v>
      </c>
      <c r="J22" s="531">
        <f t="shared" si="25"/>
        <v>2.5554048414628886E-2</v>
      </c>
      <c r="K22" s="435">
        <v>2.564E-2</v>
      </c>
      <c r="L22" s="531">
        <f t="shared" si="0"/>
        <v>2.5596411999999999E-2</v>
      </c>
      <c r="M22" s="532">
        <f>'Response calculation'!W7</f>
        <v>6.4170169999999867E-4</v>
      </c>
      <c r="N22" s="532">
        <v>1.13511596E-6</v>
      </c>
      <c r="O22" s="529">
        <f>M22/SQRT(SUMSQ('Response calculation'!S7,'Response calculation'!V7))</f>
        <v>507.9180815538021</v>
      </c>
      <c r="P22" s="529">
        <f t="shared" si="26"/>
        <v>0.19688214228185011</v>
      </c>
      <c r="Q22" s="529">
        <f t="shared" si="1"/>
        <v>0.19688214228185008</v>
      </c>
      <c r="R22" s="529">
        <v>2.29</v>
      </c>
      <c r="S22" s="535">
        <f t="shared" si="2"/>
        <v>1.145</v>
      </c>
      <c r="T22" s="528">
        <f t="shared" si="3"/>
        <v>2.7686099999999995E-3</v>
      </c>
      <c r="U22" s="528">
        <f t="shared" si="4"/>
        <v>1.3843049999999997E-3</v>
      </c>
      <c r="V22" s="528">
        <f t="shared" si="5"/>
        <v>0.2113651647198419</v>
      </c>
      <c r="W22" s="414">
        <f t="shared" si="27"/>
        <v>2.9259385434750069E-4</v>
      </c>
      <c r="X22" s="529">
        <f t="shared" si="6"/>
        <v>0.24201311360421893</v>
      </c>
      <c r="Y22" s="528">
        <f>'Drift is STD'!B5</f>
        <v>-1.3697129776369077E-2</v>
      </c>
      <c r="Z22" s="447">
        <f>'Drift is STD'!C5</f>
        <v>4.8227600000000002E-2</v>
      </c>
      <c r="AA22" s="447">
        <f t="shared" ref="AA22:AA40" si="41">Z22*$AA$5</f>
        <v>0.15336376800000001</v>
      </c>
      <c r="AB22" s="535">
        <f t="shared" si="7"/>
        <v>5.0134945555676998E-2</v>
      </c>
      <c r="AC22" s="447">
        <v>4.1000000000000002E-2</v>
      </c>
      <c r="AD22" s="535">
        <v>0.01</v>
      </c>
      <c r="AE22" s="447">
        <v>5.0000000000000001E-3</v>
      </c>
      <c r="AF22" s="535">
        <v>0.02</v>
      </c>
      <c r="AG22" s="447">
        <f>'Wavelength Uc'!Y6</f>
        <v>5.0303735790315177E-2</v>
      </c>
      <c r="AH22" s="447">
        <v>0.21695643531694911</v>
      </c>
      <c r="AI22" s="535">
        <f t="shared" si="8"/>
        <v>71.461603869518754</v>
      </c>
      <c r="AJ22" s="449">
        <v>0.05</v>
      </c>
      <c r="AK22" s="535">
        <f t="shared" si="9"/>
        <v>-0.125</v>
      </c>
      <c r="AL22" s="535">
        <v>0.02</v>
      </c>
      <c r="AM22" s="447">
        <f t="shared" si="10"/>
        <v>0.02</v>
      </c>
      <c r="AN22" s="660">
        <f t="shared" si="28"/>
        <v>3.9525872794759741E-2</v>
      </c>
      <c r="AO22" s="414">
        <f t="shared" si="11"/>
        <v>1.976293639737987E-2</v>
      </c>
      <c r="AP22" s="414">
        <f t="shared" ref="AP22:AP25" si="42">($AQ$4*F22)+($AR$4*$AN$7)</f>
        <v>3.0910795827000001E-6</v>
      </c>
      <c r="AQ22" s="414">
        <f t="shared" si="12"/>
        <v>1.7846356291584013E-6</v>
      </c>
      <c r="AR22" s="440">
        <f t="shared" si="13"/>
        <v>1.9762936477958085E-2</v>
      </c>
      <c r="AS22" s="447">
        <v>8.5999999999999993E-2</v>
      </c>
      <c r="AT22" s="440">
        <v>0</v>
      </c>
      <c r="AU22" s="552">
        <v>1.5299999999999999E-3</v>
      </c>
      <c r="AV22" s="449">
        <f>'Response calculation'!N7*100/'Response calculation'!G7</f>
        <v>75.766699019921319</v>
      </c>
      <c r="AW22" s="440">
        <f>-'Response calculation'!K7</f>
        <v>0.12291584714604557</v>
      </c>
      <c r="AX22" s="440">
        <v>1E-10</v>
      </c>
      <c r="AY22" s="440">
        <f t="shared" si="29"/>
        <v>5.0000000000000002E-11</v>
      </c>
      <c r="AZ22" s="440">
        <f t="shared" si="14"/>
        <v>2.886751345948129E-11</v>
      </c>
      <c r="BA22" s="440">
        <f>AZ22/-'Response calculation'!G7*100</f>
        <v>2.3042106303263153E-7</v>
      </c>
      <c r="BB22" s="685">
        <f t="shared" si="15"/>
        <v>75.775965501396357</v>
      </c>
      <c r="BC22" s="682">
        <f t="shared" si="30"/>
        <v>151.55193100279271</v>
      </c>
      <c r="BD22" s="529"/>
      <c r="BE22" s="551">
        <v>0.01</v>
      </c>
      <c r="BF22" s="552">
        <f t="shared" si="31"/>
        <v>5.773502691896258E-3</v>
      </c>
      <c r="BG22" s="553">
        <v>1.24E-3</v>
      </c>
      <c r="BH22" s="448">
        <f>'Temp coeff'!E8</f>
        <v>-0.1</v>
      </c>
      <c r="BI22" s="543">
        <f t="shared" si="16"/>
        <v>-0.16999999999999993</v>
      </c>
      <c r="BJ22" s="442">
        <v>1.6000000000000001E-4</v>
      </c>
      <c r="BK22" s="554">
        <f t="shared" si="17"/>
        <v>9.2376043070340139E-5</v>
      </c>
      <c r="BL22" s="543">
        <v>0.02</v>
      </c>
      <c r="BM22" s="545">
        <f t="shared" si="18"/>
        <v>0.18700277714707667</v>
      </c>
      <c r="BN22" s="414">
        <f t="shared" si="32"/>
        <v>9.3501388573538333E-2</v>
      </c>
      <c r="BO22" s="414">
        <f t="shared" si="33"/>
        <v>3.019251051E-6</v>
      </c>
      <c r="BP22" s="414">
        <f t="shared" si="34"/>
        <v>1.7431654070459105E-6</v>
      </c>
      <c r="BQ22" s="440">
        <f t="shared" si="35"/>
        <v>9.3501388589787418E-2</v>
      </c>
      <c r="BR22" s="563">
        <f>'Response calculation'!T7</f>
        <v>-8.8176232906394744E-3</v>
      </c>
      <c r="BS22" s="439">
        <v>1E-10</v>
      </c>
      <c r="BT22" s="440">
        <f t="shared" si="36"/>
        <v>5.0000000000000002E-11</v>
      </c>
      <c r="BU22" s="440">
        <f t="shared" si="19"/>
        <v>2.886751345948129E-11</v>
      </c>
      <c r="BV22" s="546">
        <f>BU22/'Response calculation'!R7*100</f>
        <v>-2.2424392572470807E-7</v>
      </c>
      <c r="BW22" s="438">
        <f t="shared" si="20"/>
        <v>75.775965501396357</v>
      </c>
      <c r="BX22" s="564">
        <f t="shared" si="37"/>
        <v>151.55193100279271</v>
      </c>
      <c r="BY22" s="438">
        <f t="shared" si="21"/>
        <v>75.776217263785512</v>
      </c>
      <c r="BZ22" s="449">
        <f t="shared" si="38"/>
        <v>151.55243452757102</v>
      </c>
      <c r="CA22" s="564">
        <f t="shared" si="39"/>
        <v>151.6</v>
      </c>
      <c r="CB22" s="565">
        <f t="shared" si="22"/>
        <v>0.16550595204950139</v>
      </c>
      <c r="CC22" s="566" t="str">
        <f t="shared" si="40"/>
        <v>OK</v>
      </c>
      <c r="CD22" s="878"/>
      <c r="CE22" s="536">
        <f t="shared" si="23"/>
        <v>3.8739937396577391E-2</v>
      </c>
      <c r="CF22" s="561">
        <v>151.6</v>
      </c>
      <c r="CG22" s="446">
        <f>ABS((J22-L22)/(SQRT(SUMSQ(CE22,'Response calculation'!AB7))))</f>
        <v>1.0935272572499713E-3</v>
      </c>
    </row>
    <row r="23" spans="1:85" s="468" customFormat="1" ht="10.5" thickBot="1" x14ac:dyDescent="0.4">
      <c r="A23" s="468">
        <v>230</v>
      </c>
      <c r="B23" s="528">
        <v>0.127</v>
      </c>
      <c r="C23" s="528"/>
      <c r="D23" s="528"/>
      <c r="E23" s="528"/>
      <c r="F23" s="414">
        <f>-'Response calculation'!Q8</f>
        <v>2.2015094339999999E-2</v>
      </c>
      <c r="G23" s="414">
        <v>1.42249706E-4</v>
      </c>
      <c r="H23" s="529">
        <f>F23/SQRT(SUMSQ('Response calculation'!J8,'Response calculation'!P8))</f>
        <v>154.76149520839732</v>
      </c>
      <c r="I23" s="529">
        <f t="shared" si="24"/>
        <v>0.64615555610484965</v>
      </c>
      <c r="J23" s="531">
        <f t="shared" si="25"/>
        <v>2.6465759369078398E-2</v>
      </c>
      <c r="K23" s="435">
        <v>2.5999999999999999E-2</v>
      </c>
      <c r="L23" s="531">
        <f t="shared" si="0"/>
        <v>2.5955799999999998E-2</v>
      </c>
      <c r="M23" s="532">
        <f>'Response calculation'!W8</f>
        <v>4.5877652699999986E-3</v>
      </c>
      <c r="N23" s="532">
        <v>1.55879985E-5</v>
      </c>
      <c r="O23" s="529">
        <f>M23/SQRT(SUMSQ('Response calculation'!S8,'Response calculation'!V8))</f>
        <v>294.19211362963352</v>
      </c>
      <c r="P23" s="529">
        <f t="shared" si="26"/>
        <v>0.33991393843375667</v>
      </c>
      <c r="Q23" s="529">
        <f t="shared" si="1"/>
        <v>0.33991393843375667</v>
      </c>
      <c r="R23" s="529">
        <v>2.02</v>
      </c>
      <c r="S23" s="535">
        <f t="shared" si="2"/>
        <v>1.01</v>
      </c>
      <c r="T23" s="528">
        <f t="shared" si="3"/>
        <v>2.5653999999999998E-3</v>
      </c>
      <c r="U23" s="528">
        <f t="shared" si="4"/>
        <v>1.2826999999999999E-3</v>
      </c>
      <c r="V23" s="528">
        <f t="shared" si="5"/>
        <v>0.20839180605573543</v>
      </c>
      <c r="W23" s="414">
        <f t="shared" si="27"/>
        <v>2.6730416962769183E-4</v>
      </c>
      <c r="X23" s="529">
        <f t="shared" si="6"/>
        <v>0.21047572411629278</v>
      </c>
      <c r="Y23" s="528">
        <f>'Drift is STD'!B6</f>
        <v>-1.5622815826471178E-2</v>
      </c>
      <c r="Z23" s="447">
        <f>'Drift is STD'!C6</f>
        <v>4.6368100000000002E-2</v>
      </c>
      <c r="AA23" s="447">
        <f t="shared" si="41"/>
        <v>0.14745055800000001</v>
      </c>
      <c r="AB23" s="535">
        <f t="shared" si="7"/>
        <v>4.8929266006735056E-2</v>
      </c>
      <c r="AC23" s="447">
        <v>4.1000000000000002E-2</v>
      </c>
      <c r="AD23" s="535">
        <v>0.01</v>
      </c>
      <c r="AE23" s="447">
        <v>5.0000000000000001E-3</v>
      </c>
      <c r="AF23" s="535">
        <v>0.02</v>
      </c>
      <c r="AG23" s="447">
        <f>'Wavelength Uc'!Y7</f>
        <v>6.3507451568299705E-2</v>
      </c>
      <c r="AH23" s="447">
        <v>0.21695643531694911</v>
      </c>
      <c r="AI23" s="535">
        <f t="shared" si="8"/>
        <v>9.8548946448416235</v>
      </c>
      <c r="AJ23" s="449">
        <v>0.05</v>
      </c>
      <c r="AK23" s="535">
        <f t="shared" si="9"/>
        <v>-0.125</v>
      </c>
      <c r="AL23" s="535">
        <v>0.02</v>
      </c>
      <c r="AM23" s="447">
        <f t="shared" si="10"/>
        <v>0.02</v>
      </c>
      <c r="AN23" s="660">
        <f t="shared" si="28"/>
        <v>5.4508056221211718E-3</v>
      </c>
      <c r="AO23" s="414">
        <f t="shared" si="11"/>
        <v>2.7254028110605859E-3</v>
      </c>
      <c r="AP23" s="414">
        <f t="shared" si="42"/>
        <v>3.6604528301999999E-6</v>
      </c>
      <c r="AQ23" s="414">
        <f t="shared" si="12"/>
        <v>2.1133634268718977E-6</v>
      </c>
      <c r="AR23" s="440">
        <f t="shared" si="13"/>
        <v>2.7254036304448408E-3</v>
      </c>
      <c r="AS23" s="447">
        <v>8.5999999999999993E-2</v>
      </c>
      <c r="AT23" s="440">
        <v>0</v>
      </c>
      <c r="AU23" s="552">
        <v>1.5299999999999999E-3</v>
      </c>
      <c r="AV23" s="449">
        <f>'Response calculation'!N8*100/'Response calculation'!G8</f>
        <v>30.118273212694493</v>
      </c>
      <c r="AW23" s="440">
        <f>-'Response calculation'!K8</f>
        <v>0.45153815544660225</v>
      </c>
      <c r="AX23" s="440">
        <v>1E-10</v>
      </c>
      <c r="AY23" s="440">
        <f t="shared" si="29"/>
        <v>5.0000000000000002E-11</v>
      </c>
      <c r="AZ23" s="440">
        <f t="shared" si="14"/>
        <v>2.886751345948129E-11</v>
      </c>
      <c r="BA23" s="440">
        <f>AZ23/-'Response calculation'!G8*100</f>
        <v>9.1633115781793931E-8</v>
      </c>
      <c r="BB23" s="685">
        <f t="shared" si="15"/>
        <v>30.13989884112689</v>
      </c>
      <c r="BC23" s="682">
        <f t="shared" si="30"/>
        <v>60.279797682253779</v>
      </c>
      <c r="BD23" s="529"/>
      <c r="BE23" s="551">
        <v>5.0000000000000001E-3</v>
      </c>
      <c r="BF23" s="552">
        <f t="shared" si="31"/>
        <v>2.886751345948129E-3</v>
      </c>
      <c r="BG23" s="553">
        <v>1.24E-3</v>
      </c>
      <c r="BH23" s="448">
        <f>'Temp coeff'!E9</f>
        <v>-0.1</v>
      </c>
      <c r="BI23" s="543">
        <f t="shared" si="16"/>
        <v>-0.16999999999999993</v>
      </c>
      <c r="BJ23" s="442">
        <v>1.7000000000000001E-4</v>
      </c>
      <c r="BK23" s="554">
        <f t="shared" si="17"/>
        <v>9.8149545762236387E-5</v>
      </c>
      <c r="BL23" s="543">
        <v>0.02</v>
      </c>
      <c r="BM23" s="545">
        <f t="shared" si="18"/>
        <v>2.6156525658515225E-2</v>
      </c>
      <c r="BN23" s="414">
        <f t="shared" si="32"/>
        <v>1.3078262829257612E-2</v>
      </c>
      <c r="BO23" s="414">
        <f t="shared" si="33"/>
        <v>3.1376329581E-6</v>
      </c>
      <c r="BP23" s="414">
        <f t="shared" si="34"/>
        <v>1.8115132329772768E-6</v>
      </c>
      <c r="BQ23" s="440">
        <f t="shared" si="35"/>
        <v>1.3078262954716943E-2</v>
      </c>
      <c r="BR23" s="563">
        <f>'Response calculation'!T8</f>
        <v>-0.17459048148261397</v>
      </c>
      <c r="BS23" s="439">
        <v>9.9999999999999994E-12</v>
      </c>
      <c r="BT23" s="440">
        <f t="shared" si="36"/>
        <v>4.9999999999999997E-12</v>
      </c>
      <c r="BU23" s="440">
        <f t="shared" si="19"/>
        <v>2.8867513459481288E-12</v>
      </c>
      <c r="BV23" s="546">
        <f>BU23/'Response calculation'!R8*100</f>
        <v>-3.233252219068842E-8</v>
      </c>
      <c r="BW23" s="438">
        <f t="shared" si="20"/>
        <v>30.13989884112689</v>
      </c>
      <c r="BX23" s="564">
        <f t="shared" si="37"/>
        <v>60.279797682253779</v>
      </c>
      <c r="BY23" s="438">
        <f t="shared" si="21"/>
        <v>30.140893565239818</v>
      </c>
      <c r="BZ23" s="449">
        <f t="shared" si="38"/>
        <v>60.281787130479636</v>
      </c>
      <c r="CA23" s="564">
        <f t="shared" si="39"/>
        <v>60.300000000000004</v>
      </c>
      <c r="CB23" s="565">
        <f t="shared" si="22"/>
        <v>1.9647222165311822</v>
      </c>
      <c r="CC23" s="566" t="str">
        <f t="shared" si="40"/>
        <v>OK</v>
      </c>
      <c r="CD23" s="878"/>
      <c r="CE23" s="536">
        <f t="shared" si="23"/>
        <v>1.5958852899554277E-2</v>
      </c>
      <c r="CF23" s="561">
        <v>60.300000000000004</v>
      </c>
      <c r="CG23" s="446">
        <f>ABS((J23-L23)/(SQRT(SUMSQ(CE23,'Response calculation'!AB8))))</f>
        <v>3.1953032250995869E-2</v>
      </c>
    </row>
    <row r="24" spans="1:85" s="468" customFormat="1" ht="10.5" thickBot="1" x14ac:dyDescent="0.4">
      <c r="A24" s="468">
        <v>240</v>
      </c>
      <c r="B24" s="528">
        <v>0.13039999999999999</v>
      </c>
      <c r="C24" s="528"/>
      <c r="D24" s="528"/>
      <c r="E24" s="528"/>
      <c r="F24" s="414">
        <f>-'Response calculation'!Q9</f>
        <v>0.10353072898</v>
      </c>
      <c r="G24" s="414">
        <v>7.3211532999999996E-4</v>
      </c>
      <c r="H24" s="529">
        <f>F24/SQRT(SUMSQ('Response calculation'!J9,'Response calculation'!P9))</f>
        <v>141.41309593164013</v>
      </c>
      <c r="I24" s="529">
        <f t="shared" si="24"/>
        <v>0.70714808512742378</v>
      </c>
      <c r="J24" s="531">
        <f t="shared" si="25"/>
        <v>2.7127502542656202E-2</v>
      </c>
      <c r="K24" s="435">
        <v>2.6769999999999999E-2</v>
      </c>
      <c r="L24" s="531">
        <f t="shared" si="0"/>
        <v>2.6724491E-2</v>
      </c>
      <c r="M24" s="532">
        <f>'Response calculation'!W9</f>
        <v>2.1537807620000002E-2</v>
      </c>
      <c r="N24" s="532">
        <v>6.1994220099999996E-5</v>
      </c>
      <c r="O24" s="529">
        <f>M24/SQRT(SUMSQ('Response calculation'!S9,'Response calculation'!V9))</f>
        <v>347.40701522128512</v>
      </c>
      <c r="P24" s="529">
        <f t="shared" si="26"/>
        <v>0.28784680682485292</v>
      </c>
      <c r="Q24" s="529">
        <f t="shared" si="1"/>
        <v>0.28784680682485292</v>
      </c>
      <c r="R24" s="529">
        <v>2</v>
      </c>
      <c r="S24" s="535">
        <f t="shared" si="2"/>
        <v>1</v>
      </c>
      <c r="T24" s="528">
        <f t="shared" si="3"/>
        <v>2.6079999999999996E-3</v>
      </c>
      <c r="U24" s="528">
        <f t="shared" si="4"/>
        <v>1.3039999999999998E-3</v>
      </c>
      <c r="V24" s="528">
        <f t="shared" si="5"/>
        <v>0.20803299495901997</v>
      </c>
      <c r="W24" s="414">
        <f t="shared" si="27"/>
        <v>2.7127502542656203E-4</v>
      </c>
      <c r="X24" s="529">
        <f t="shared" si="6"/>
        <v>0.20803299495901997</v>
      </c>
      <c r="Y24" s="528">
        <f>'Drift is STD'!B7</f>
        <v>-1.7968583968583966E-2</v>
      </c>
      <c r="Z24" s="447">
        <f>'Drift is STD'!C7</f>
        <v>4.4546400000000014E-2</v>
      </c>
      <c r="AA24" s="447">
        <f t="shared" si="41"/>
        <v>0.14165755200000005</v>
      </c>
      <c r="AB24" s="535">
        <f t="shared" si="7"/>
        <v>4.8033860586008011E-2</v>
      </c>
      <c r="AC24" s="447">
        <v>4.1000000000000002E-2</v>
      </c>
      <c r="AD24" s="535">
        <v>0.01</v>
      </c>
      <c r="AE24" s="447">
        <v>5.0000000000000001E-3</v>
      </c>
      <c r="AF24" s="535">
        <v>0.02</v>
      </c>
      <c r="AG24" s="447">
        <f>'Wavelength Uc'!Y8</f>
        <v>3.4273787993771287E-2</v>
      </c>
      <c r="AH24" s="447">
        <v>0.21695643531694911</v>
      </c>
      <c r="AI24" s="535">
        <f t="shared" si="8"/>
        <v>2.0955752698202348</v>
      </c>
      <c r="AJ24" s="449">
        <v>0.05</v>
      </c>
      <c r="AK24" s="535">
        <f t="shared" si="9"/>
        <v>-0.125</v>
      </c>
      <c r="AL24" s="535">
        <v>0.02</v>
      </c>
      <c r="AM24" s="447">
        <f t="shared" si="10"/>
        <v>0.02</v>
      </c>
      <c r="AN24" s="660">
        <f t="shared" si="28"/>
        <v>1.1590761620463574E-3</v>
      </c>
      <c r="AO24" s="414">
        <f t="shared" si="11"/>
        <v>5.7953808102317872E-4</v>
      </c>
      <c r="AP24" s="414">
        <f t="shared" si="42"/>
        <v>6.1059218694000002E-6</v>
      </c>
      <c r="AQ24" s="414">
        <f t="shared" si="12"/>
        <v>3.5252556349489134E-6</v>
      </c>
      <c r="AR24" s="440">
        <f t="shared" si="13"/>
        <v>5.7954880276239046E-4</v>
      </c>
      <c r="AS24" s="447">
        <v>8.5999999999999993E-2</v>
      </c>
      <c r="AT24" s="440">
        <v>0</v>
      </c>
      <c r="AU24" s="552">
        <v>1.5299999999999999E-3</v>
      </c>
      <c r="AV24" s="449">
        <f>'Response calculation'!N9*100/'Response calculation'!G9</f>
        <v>8.3921005152348407</v>
      </c>
      <c r="AW24" s="440">
        <f>-'Response calculation'!K9</f>
        <v>0.6478032968825298</v>
      </c>
      <c r="AX24" s="440">
        <v>1.0000000000000001E-9</v>
      </c>
      <c r="AY24" s="440">
        <f t="shared" si="29"/>
        <v>5.0000000000000003E-10</v>
      </c>
      <c r="AZ24" s="440">
        <f t="shared" si="14"/>
        <v>2.8867513459481294E-10</v>
      </c>
      <c r="BA24" s="440">
        <f>AZ24/-'Response calculation'!G9*100</f>
        <v>2.5543066270518862E-7</v>
      </c>
      <c r="BB24" s="685">
        <f t="shared" si="15"/>
        <v>8.4807536154026621</v>
      </c>
      <c r="BC24" s="682">
        <f t="shared" si="30"/>
        <v>16.961507230805324</v>
      </c>
      <c r="BD24" s="529"/>
      <c r="BE24" s="551">
        <v>1.9E-2</v>
      </c>
      <c r="BF24" s="552">
        <f t="shared" si="31"/>
        <v>1.096965511460289E-2</v>
      </c>
      <c r="BG24" s="553">
        <v>1.24E-3</v>
      </c>
      <c r="BH24" s="448">
        <f>'Temp coeff'!E10</f>
        <v>-0.1</v>
      </c>
      <c r="BI24" s="543">
        <f t="shared" si="16"/>
        <v>-0.16999999999999993</v>
      </c>
      <c r="BJ24" s="442">
        <v>1.7000000000000001E-4</v>
      </c>
      <c r="BK24" s="554">
        <f t="shared" si="17"/>
        <v>9.8149545762236387E-5</v>
      </c>
      <c r="BL24" s="543">
        <v>0.02</v>
      </c>
      <c r="BM24" s="545">
        <f t="shared" si="18"/>
        <v>5.5715977279213891E-3</v>
      </c>
      <c r="BN24" s="414">
        <f t="shared" si="32"/>
        <v>2.7857988639606946E-3</v>
      </c>
      <c r="BO24" s="414">
        <f t="shared" si="33"/>
        <v>3.6461342286000002E-6</v>
      </c>
      <c r="BP24" s="414">
        <f t="shared" si="34"/>
        <v>2.1050965783837187E-6</v>
      </c>
      <c r="BQ24" s="440">
        <f t="shared" si="35"/>
        <v>2.7857996593215928E-3</v>
      </c>
      <c r="BR24" s="563">
        <f>'Response calculation'!T9</f>
        <v>0.77294363199968397</v>
      </c>
      <c r="BS24" s="439">
        <v>9.9999999999999994E-12</v>
      </c>
      <c r="BT24" s="440">
        <f t="shared" si="36"/>
        <v>4.9999999999999997E-12</v>
      </c>
      <c r="BU24" s="440">
        <f t="shared" si="19"/>
        <v>2.8867513459481288E-12</v>
      </c>
      <c r="BV24" s="546">
        <f>BU24/'Response calculation'!R9*100</f>
        <v>3.5992001615923594E-8</v>
      </c>
      <c r="BW24" s="438">
        <f t="shared" si="20"/>
        <v>8.4807536154026621</v>
      </c>
      <c r="BX24" s="564">
        <f t="shared" si="37"/>
        <v>16.961507230805324</v>
      </c>
      <c r="BY24" s="438">
        <f t="shared" si="21"/>
        <v>8.5176319117851396</v>
      </c>
      <c r="BZ24" s="449">
        <f t="shared" si="38"/>
        <v>17.035263823570279</v>
      </c>
      <c r="CA24" s="564">
        <f t="shared" si="39"/>
        <v>17.100000000000001</v>
      </c>
      <c r="CB24" s="565">
        <f t="shared" si="22"/>
        <v>1.508023268455152</v>
      </c>
      <c r="CC24" s="566" t="str">
        <f t="shared" si="40"/>
        <v>OK</v>
      </c>
      <c r="CD24" s="878"/>
      <c r="CE24" s="536">
        <f t="shared" si="23"/>
        <v>4.6388029347942108E-3</v>
      </c>
      <c r="CF24" s="561">
        <v>17.100000000000001</v>
      </c>
      <c r="CG24" s="446">
        <f>ABS((J24-L24)/(SQRT(SUMSQ(CE24,'Response calculation'!AB9))))</f>
        <v>8.6820068051476892E-2</v>
      </c>
    </row>
    <row r="25" spans="1:85" s="468" customFormat="1" ht="10.5" thickBot="1" x14ac:dyDescent="0.4">
      <c r="A25" s="468">
        <v>250</v>
      </c>
      <c r="B25" s="528">
        <v>0.12189999999999999</v>
      </c>
      <c r="C25" s="414"/>
      <c r="D25" s="528"/>
      <c r="E25" s="528"/>
      <c r="F25" s="414">
        <f>-'Response calculation'!Q10</f>
        <v>0.26965288934999998</v>
      </c>
      <c r="G25" s="414">
        <v>1.6791998300000001E-3</v>
      </c>
      <c r="H25" s="529">
        <f>F25/SQRT(SUMSQ('Response calculation'!J10,'Response calculation'!P10))</f>
        <v>160.58414472762246</v>
      </c>
      <c r="I25" s="529">
        <f t="shared" si="24"/>
        <v>0.62272648504381745</v>
      </c>
      <c r="J25" s="531">
        <f t="shared" si="25"/>
        <v>2.518357356251336E-2</v>
      </c>
      <c r="K25" s="435">
        <v>2.4729999999999999E-2</v>
      </c>
      <c r="L25" s="531">
        <f t="shared" si="0"/>
        <v>2.4692163099999997E-2</v>
      </c>
      <c r="M25" s="532">
        <f>'Response calculation'!W10</f>
        <v>5.57081491E-2</v>
      </c>
      <c r="N25" s="532">
        <v>9.2275371000000002E-5</v>
      </c>
      <c r="O25" s="529">
        <f>M25/SQRT(SUMSQ('Response calculation'!S10,'Response calculation'!V10))</f>
        <v>603.70250825336473</v>
      </c>
      <c r="P25" s="529">
        <f t="shared" si="26"/>
        <v>0.16564449978735474</v>
      </c>
      <c r="Q25" s="529">
        <f t="shared" si="1"/>
        <v>0.16564449978735474</v>
      </c>
      <c r="R25" s="529">
        <v>1.64</v>
      </c>
      <c r="S25" s="535">
        <f t="shared" si="2"/>
        <v>0.82</v>
      </c>
      <c r="T25" s="528">
        <f t="shared" si="3"/>
        <v>1.9991599999999998E-3</v>
      </c>
      <c r="U25" s="528">
        <f t="shared" si="4"/>
        <v>9.9957999999999991E-4</v>
      </c>
      <c r="V25" s="528">
        <f t="shared" si="5"/>
        <v>0.20659207188280032</v>
      </c>
      <c r="W25" s="414">
        <f t="shared" si="27"/>
        <v>2.0650530321260954E-4</v>
      </c>
      <c r="X25" s="529">
        <f t="shared" si="6"/>
        <v>0.16940549894389625</v>
      </c>
      <c r="Y25" s="528">
        <f>'Drift is STD'!B8</f>
        <v>-2.0859747921694826E-2</v>
      </c>
      <c r="Z25" s="447">
        <f>'Drift is STD'!C8</f>
        <v>4.2762500000000009E-2</v>
      </c>
      <c r="AA25" s="447">
        <f t="shared" si="41"/>
        <v>0.13598475000000004</v>
      </c>
      <c r="AB25" s="535">
        <f t="shared" si="7"/>
        <v>4.7578992103728429E-2</v>
      </c>
      <c r="AC25" s="447">
        <v>4.1000000000000002E-2</v>
      </c>
      <c r="AD25" s="535">
        <v>0.01</v>
      </c>
      <c r="AE25" s="447">
        <v>5.0000000000000001E-3</v>
      </c>
      <c r="AF25" s="535">
        <v>0.02</v>
      </c>
      <c r="AG25" s="447">
        <f>'Wavelength Uc'!Y9</f>
        <v>0.14818102648821996</v>
      </c>
      <c r="AH25" s="447">
        <v>0.21695643531694911</v>
      </c>
      <c r="AI25" s="535">
        <f t="shared" si="8"/>
        <v>0.80457671282486154</v>
      </c>
      <c r="AJ25" s="449">
        <v>0.02</v>
      </c>
      <c r="AK25" s="535">
        <f t="shared" si="9"/>
        <v>-0.05</v>
      </c>
      <c r="AL25" s="535">
        <v>0.02</v>
      </c>
      <c r="AM25" s="447">
        <f t="shared" si="10"/>
        <v>0.02</v>
      </c>
      <c r="AN25" s="660">
        <f t="shared" si="28"/>
        <v>4.4501655550311644E-4</v>
      </c>
      <c r="AO25" s="414">
        <f t="shared" si="11"/>
        <v>2.2250827775155822E-4</v>
      </c>
      <c r="AP25" s="414">
        <f t="shared" si="42"/>
        <v>1.10895866805E-5</v>
      </c>
      <c r="AQ25" s="414">
        <f t="shared" si="12"/>
        <v>6.4025758551883637E-6</v>
      </c>
      <c r="AR25" s="440">
        <f t="shared" si="13"/>
        <v>2.2260037431582637E-4</v>
      </c>
      <c r="AS25" s="447">
        <v>8.5999999999999993E-2</v>
      </c>
      <c r="AT25" s="440">
        <v>0</v>
      </c>
      <c r="AU25" s="552">
        <v>1.5299999999999999E-3</v>
      </c>
      <c r="AV25" s="449">
        <f>'Response calculation'!N10*100/'Response calculation'!G10</f>
        <v>3.3968601826132656</v>
      </c>
      <c r="AW25" s="440">
        <f>-'Response calculation'!K10</f>
        <v>0.6015732905730945</v>
      </c>
      <c r="AX25" s="440">
        <v>1.0000000000000001E-9</v>
      </c>
      <c r="AY25" s="440">
        <f t="shared" si="29"/>
        <v>5.0000000000000003E-10</v>
      </c>
      <c r="AZ25" s="440">
        <f t="shared" si="14"/>
        <v>2.8867513459481294E-10</v>
      </c>
      <c r="BA25" s="440">
        <f>AZ25/-'Response calculation'!G10*100</f>
        <v>1.0341785862664872E-7</v>
      </c>
      <c r="BB25" s="685">
        <f t="shared" si="15"/>
        <v>3.5576319914419834</v>
      </c>
      <c r="BC25" s="682">
        <f>BB25*2</f>
        <v>7.1152639828839668</v>
      </c>
      <c r="BD25" s="529"/>
      <c r="BE25" s="551">
        <v>3.0000000000000001E-3</v>
      </c>
      <c r="BF25" s="552">
        <f t="shared" si="31"/>
        <v>1.7320508075688774E-3</v>
      </c>
      <c r="BG25" s="553">
        <v>1.24E-3</v>
      </c>
      <c r="BH25" s="448">
        <f>'Temp coeff'!E11</f>
        <v>-0.09</v>
      </c>
      <c r="BI25" s="543">
        <f t="shared" si="16"/>
        <v>-0.15299999999999994</v>
      </c>
      <c r="BJ25" s="442">
        <v>1.4999999999999999E-4</v>
      </c>
      <c r="BK25" s="554">
        <f t="shared" si="17"/>
        <v>8.6602540378443864E-5</v>
      </c>
      <c r="BL25" s="543">
        <v>0.02</v>
      </c>
      <c r="BM25" s="545">
        <f t="shared" si="18"/>
        <v>2.154083413982964E-3</v>
      </c>
      <c r="BN25" s="414">
        <f t="shared" si="32"/>
        <v>1.077041706991482E-3</v>
      </c>
      <c r="BO25" s="414">
        <f t="shared" si="33"/>
        <v>4.6712444730000001E-6</v>
      </c>
      <c r="BP25" s="414">
        <f t="shared" si="34"/>
        <v>2.6969442539371016E-6</v>
      </c>
      <c r="BQ25" s="440">
        <f t="shared" si="35"/>
        <v>1.0770450836002337E-3</v>
      </c>
      <c r="BR25" s="563">
        <f>'Response calculation'!T10</f>
        <v>0.21871587718642913</v>
      </c>
      <c r="BS25" s="439">
        <v>1E-10</v>
      </c>
      <c r="BT25" s="440">
        <f t="shared" si="36"/>
        <v>5.0000000000000002E-11</v>
      </c>
      <c r="BU25" s="440">
        <f t="shared" si="19"/>
        <v>2.886751345948129E-11</v>
      </c>
      <c r="BV25" s="546">
        <f>BU25/'Response calculation'!R10*100</f>
        <v>6.8423279798912962E-8</v>
      </c>
      <c r="BW25" s="438">
        <f t="shared" si="20"/>
        <v>3.5576319914419834</v>
      </c>
      <c r="BX25" s="564">
        <f>BW25*2</f>
        <v>7.1152639828839668</v>
      </c>
      <c r="BY25" s="438">
        <f t="shared" si="21"/>
        <v>3.5676878684367832</v>
      </c>
      <c r="BZ25" s="449">
        <f t="shared" si="38"/>
        <v>7.1353757368735664</v>
      </c>
      <c r="CA25" s="564">
        <f t="shared" si="39"/>
        <v>7.1999999999999993</v>
      </c>
      <c r="CB25" s="565">
        <f t="shared" si="22"/>
        <v>1.9901474833258417</v>
      </c>
      <c r="CC25" s="566" t="str">
        <f t="shared" si="40"/>
        <v>OK</v>
      </c>
      <c r="CD25" s="879"/>
      <c r="CE25" s="536">
        <f t="shared" si="23"/>
        <v>1.8132172965009618E-3</v>
      </c>
      <c r="CF25" s="561">
        <v>7.1999999999999993</v>
      </c>
      <c r="CG25" s="446">
        <f>ABS((J25-L25)/(SQRT(SUMSQ(CE25,'Response calculation'!AB10))))</f>
        <v>0.27009313434672677</v>
      </c>
    </row>
    <row r="26" spans="1:85" s="584" customFormat="1" x14ac:dyDescent="0.35">
      <c r="A26" s="666">
        <v>260</v>
      </c>
      <c r="B26" s="667">
        <v>0.1103</v>
      </c>
      <c r="C26" s="668"/>
      <c r="D26" s="667"/>
      <c r="E26" s="667"/>
      <c r="F26" s="668">
        <f>-'Response calculation'!Q11</f>
        <v>0.52012508678000002</v>
      </c>
      <c r="G26" s="668">
        <v>2.8950263300000002E-3</v>
      </c>
      <c r="H26" s="669">
        <f>F26/SQRT(SUMSQ('Response calculation'!J11,'Response calculation'!P11))</f>
        <v>179.66160635483541</v>
      </c>
      <c r="I26" s="669">
        <f t="shared" si="24"/>
        <v>0.55660194756634829</v>
      </c>
      <c r="J26" s="670">
        <f t="shared" si="25"/>
        <v>2.2741078225655815E-2</v>
      </c>
      <c r="K26" s="671">
        <v>2.2395999999999999E-2</v>
      </c>
      <c r="L26" s="670">
        <f t="shared" si="0"/>
        <v>2.2363637780000001E-2</v>
      </c>
      <c r="M26" s="672">
        <f>'Response calculation'!W11</f>
        <v>0.1072366753</v>
      </c>
      <c r="N26" s="672">
        <v>3.8181930300000002E-4</v>
      </c>
      <c r="O26" s="669">
        <f>M26/SQRT(SUMSQ('Response calculation'!S11,'Response calculation'!V11))</f>
        <v>280.85679558219482</v>
      </c>
      <c r="P26" s="669">
        <f t="shared" si="26"/>
        <v>0.3560533395416251</v>
      </c>
      <c r="Q26" s="669">
        <f t="shared" si="1"/>
        <v>0.3560533395416251</v>
      </c>
      <c r="R26" s="669">
        <v>1.66</v>
      </c>
      <c r="S26" s="674">
        <f t="shared" si="2"/>
        <v>0.83</v>
      </c>
      <c r="T26" s="668">
        <f t="shared" si="3"/>
        <v>1.8309799999999998E-3</v>
      </c>
      <c r="U26" s="668">
        <f t="shared" si="4"/>
        <v>9.1548999999999992E-4</v>
      </c>
      <c r="V26" s="668">
        <f t="shared" si="5"/>
        <v>0.2061747799243501</v>
      </c>
      <c r="W26" s="668">
        <f t="shared" si="27"/>
        <v>1.8875094927294324E-4</v>
      </c>
      <c r="X26" s="668">
        <f t="shared" si="6"/>
        <v>0.17112506733721056</v>
      </c>
      <c r="Y26" s="668">
        <f>'Drift is STD'!B9</f>
        <v>-2.4468700849323687E-2</v>
      </c>
      <c r="Z26" s="674">
        <f>'Drift is STD'!C9</f>
        <v>4.1016400000000001E-2</v>
      </c>
      <c r="AA26" s="674">
        <f t="shared" si="41"/>
        <v>0.13043215200000002</v>
      </c>
      <c r="AB26" s="674">
        <f t="shared" si="7"/>
        <v>4.7760468906970478E-2</v>
      </c>
      <c r="AC26" s="674">
        <v>4.1000000000000002E-2</v>
      </c>
      <c r="AD26" s="674">
        <v>0.01</v>
      </c>
      <c r="AE26" s="674">
        <v>5.0000000000000001E-3</v>
      </c>
      <c r="AF26" s="674">
        <v>0.02</v>
      </c>
      <c r="AG26" s="674">
        <f>'Wavelength Uc'!Y10</f>
        <v>0.17062719613036165</v>
      </c>
      <c r="AH26" s="674">
        <v>0.21695643531694911</v>
      </c>
      <c r="AI26" s="674">
        <f t="shared" si="8"/>
        <v>0.41712357436955599</v>
      </c>
      <c r="AJ26" s="679">
        <v>0.02</v>
      </c>
      <c r="AK26" s="674">
        <f t="shared" si="9"/>
        <v>-0.05</v>
      </c>
      <c r="AL26" s="674">
        <v>0.02</v>
      </c>
      <c r="AM26" s="674">
        <f t="shared" si="10"/>
        <v>0.02</v>
      </c>
      <c r="AN26" s="673">
        <f t="shared" ref="AN26:AN34" si="43">$AO$8*100/F26</f>
        <v>1.1535686611743555E-3</v>
      </c>
      <c r="AO26" s="668">
        <f t="shared" si="11"/>
        <v>5.7678433058717775E-4</v>
      </c>
      <c r="AP26" s="668">
        <f t="shared" ref="AP26:AP34" si="44">($AQ$5*F26)+($AR$5*$AN$8)</f>
        <v>1.6402501735600004E-5</v>
      </c>
      <c r="AQ26" s="668">
        <f t="shared" si="12"/>
        <v>9.4699887924319664E-6</v>
      </c>
      <c r="AR26" s="674">
        <f t="shared" si="13"/>
        <v>5.7686206730779891E-4</v>
      </c>
      <c r="AS26" s="674">
        <v>8.5999999999999993E-2</v>
      </c>
      <c r="AT26" s="674">
        <v>0</v>
      </c>
      <c r="AU26" s="674">
        <v>1.5299999999999999E-3</v>
      </c>
      <c r="AV26" s="674">
        <f>'Response calculation'!N11*100/'Response calculation'!G11</f>
        <v>1.7898550641310489</v>
      </c>
      <c r="AW26" s="674">
        <f>-'Response calculation'!K11</f>
        <v>0.54663957322773304</v>
      </c>
      <c r="AX26" s="674">
        <v>1.0000000000000001E-9</v>
      </c>
      <c r="AY26" s="674">
        <f t="shared" si="29"/>
        <v>5.0000000000000003E-10</v>
      </c>
      <c r="AZ26" s="674">
        <f t="shared" si="14"/>
        <v>2.8867513459481294E-10</v>
      </c>
      <c r="BA26" s="674">
        <f>AZ26/-'Response calculation'!G11*100</f>
        <v>5.4507708873365217E-8</v>
      </c>
      <c r="BB26" s="686">
        <f t="shared" si="15"/>
        <v>2.0693635361045115</v>
      </c>
      <c r="BC26" s="561">
        <f t="shared" ref="BC26:BC40" si="45">BB26*2</f>
        <v>4.138727072209023</v>
      </c>
      <c r="BD26" s="452"/>
      <c r="BE26" s="577">
        <v>9.0000000000000011E-3</v>
      </c>
      <c r="BF26" s="578">
        <f t="shared" si="31"/>
        <v>5.1961524227066326E-3</v>
      </c>
      <c r="BG26" s="579">
        <v>1.24E-3</v>
      </c>
      <c r="BH26" s="441">
        <f>'Temp coeff'!E12</f>
        <v>-8.5000000000000006E-2</v>
      </c>
      <c r="BI26" s="539">
        <f t="shared" si="16"/>
        <v>-0.14449999999999996</v>
      </c>
      <c r="BJ26" s="451">
        <v>1.3999999999999999E-4</v>
      </c>
      <c r="BK26" s="580">
        <f t="shared" si="17"/>
        <v>8.0829037686547603E-5</v>
      </c>
      <c r="BL26" s="539">
        <v>0.02</v>
      </c>
      <c r="BM26" s="555">
        <f t="shared" si="18"/>
        <v>1.1190201455266488E-3</v>
      </c>
      <c r="BN26" s="537">
        <f t="shared" si="32"/>
        <v>5.5951007276332438E-4</v>
      </c>
      <c r="BO26" s="537">
        <f t="shared" si="33"/>
        <v>6.2171002590000004E-6</v>
      </c>
      <c r="BP26" s="537">
        <f t="shared" si="34"/>
        <v>3.5894445081125423E-6</v>
      </c>
      <c r="BQ26" s="444">
        <f t="shared" si="35"/>
        <v>5.5952158638920932E-4</v>
      </c>
      <c r="BR26" s="556">
        <f>'Response calculation'!T11</f>
        <v>0.40741628335824143</v>
      </c>
      <c r="BS26" s="443">
        <v>1E-10</v>
      </c>
      <c r="BT26" s="444">
        <f t="shared" si="36"/>
        <v>5.0000000000000002E-11</v>
      </c>
      <c r="BU26" s="444">
        <f t="shared" si="19"/>
        <v>2.886751345948129E-11</v>
      </c>
      <c r="BV26" s="557">
        <f>BU26/'Response calculation'!R11*100</f>
        <v>3.0802777520799881E-8</v>
      </c>
      <c r="BW26" s="445">
        <f t="shared" si="20"/>
        <v>2.0693635361045115</v>
      </c>
      <c r="BX26" s="581">
        <f t="shared" si="37"/>
        <v>4.138727072209023</v>
      </c>
      <c r="BY26" s="445">
        <f t="shared" si="21"/>
        <v>2.1141340023049984</v>
      </c>
      <c r="BZ26" s="452">
        <f t="shared" si="38"/>
        <v>4.2282680046099967</v>
      </c>
      <c r="CA26" s="582">
        <f t="shared" si="39"/>
        <v>4.3</v>
      </c>
      <c r="CB26" s="559">
        <f t="shared" si="22"/>
        <v>1.6877417232779652</v>
      </c>
      <c r="CC26" s="560" t="str">
        <f t="shared" si="40"/>
        <v>OK</v>
      </c>
      <c r="CD26" s="859" t="s">
        <v>211</v>
      </c>
      <c r="CE26" s="536">
        <f t="shared" si="23"/>
        <v>9.7786636370319991E-4</v>
      </c>
      <c r="CF26" s="583">
        <v>4.3</v>
      </c>
      <c r="CG26" s="452">
        <f>ABS((J26-L26)/(SQRT(SUMSQ(CE26,'Response calculation'!AB11))))</f>
        <v>0.38405979833994097</v>
      </c>
    </row>
    <row r="27" spans="1:85" s="468" customFormat="1" x14ac:dyDescent="0.35">
      <c r="A27" s="468">
        <v>270</v>
      </c>
      <c r="B27" s="528">
        <v>0.10009999999999999</v>
      </c>
      <c r="C27" s="414"/>
      <c r="D27" s="528"/>
      <c r="E27" s="528"/>
      <c r="F27" s="414">
        <f>-'Response calculation'!Q12</f>
        <v>0.85870207390000008</v>
      </c>
      <c r="G27" s="414">
        <v>4.66913643E-3</v>
      </c>
      <c r="H27" s="529">
        <f>F27/SQRT(SUMSQ('Response calculation'!J12,'Response calculation'!P12))</f>
        <v>183.91025391335825</v>
      </c>
      <c r="I27" s="529">
        <f t="shared" si="24"/>
        <v>0.54374347200407269</v>
      </c>
      <c r="J27" s="531">
        <f t="shared" si="25"/>
        <v>2.0640490566456983E-2</v>
      </c>
      <c r="K27" s="435">
        <v>2.0250000000000001E-2</v>
      </c>
      <c r="L27" s="531">
        <f t="shared" si="0"/>
        <v>2.0222460000000001E-2</v>
      </c>
      <c r="M27" s="532">
        <f>'Response calculation'!W12</f>
        <v>0.1770632573</v>
      </c>
      <c r="N27" s="532">
        <v>5.8599843999999999E-4</v>
      </c>
      <c r="O27" s="529">
        <f>M27/SQRT(SUMSQ('Response calculation'!S12,'Response calculation'!V12))</f>
        <v>302.15639708722546</v>
      </c>
      <c r="P27" s="529">
        <f t="shared" si="26"/>
        <v>0.3309544360602511</v>
      </c>
      <c r="Q27" s="529">
        <f t="shared" si="1"/>
        <v>0.3309544360602511</v>
      </c>
      <c r="R27" s="529">
        <v>1.64</v>
      </c>
      <c r="S27" s="440">
        <f t="shared" si="2"/>
        <v>0.82</v>
      </c>
      <c r="T27" s="414">
        <f t="shared" si="3"/>
        <v>1.6416399999999998E-3</v>
      </c>
      <c r="U27" s="414">
        <f t="shared" si="4"/>
        <v>8.2081999999999988E-4</v>
      </c>
      <c r="V27" s="414">
        <f t="shared" si="5"/>
        <v>0.20619870695761222</v>
      </c>
      <c r="W27" s="414">
        <f t="shared" si="27"/>
        <v>1.6925202264494725E-4</v>
      </c>
      <c r="X27" s="414">
        <f t="shared" si="6"/>
        <v>0.16908293970524202</v>
      </c>
      <c r="Y27" s="414">
        <f>'Drift is STD'!B10</f>
        <v>-2.90354609929078E-2</v>
      </c>
      <c r="Z27" s="440">
        <f>'Drift is STD'!C10</f>
        <v>3.9308099999999999E-2</v>
      </c>
      <c r="AA27" s="440">
        <f t="shared" si="41"/>
        <v>0.124999758</v>
      </c>
      <c r="AB27" s="440">
        <f t="shared" si="7"/>
        <v>4.8869056883478632E-2</v>
      </c>
      <c r="AC27" s="440">
        <v>4.1000000000000002E-2</v>
      </c>
      <c r="AD27" s="440">
        <v>0.01</v>
      </c>
      <c r="AE27" s="440">
        <v>5.0000000000000001E-3</v>
      </c>
      <c r="AF27" s="440">
        <v>0.02</v>
      </c>
      <c r="AG27" s="440">
        <f>'Wavelength Uc'!Y11</f>
        <v>5.7581167452432698E-2</v>
      </c>
      <c r="AH27" s="440">
        <v>0.21695643531694911</v>
      </c>
      <c r="AI27" s="440">
        <f t="shared" si="8"/>
        <v>0.25265623772350959</v>
      </c>
      <c r="AJ27" s="680">
        <v>0.02</v>
      </c>
      <c r="AK27" s="440">
        <f t="shared" si="9"/>
        <v>-0.05</v>
      </c>
      <c r="AL27" s="440">
        <v>0.02</v>
      </c>
      <c r="AM27" s="440">
        <f t="shared" si="10"/>
        <v>0.02</v>
      </c>
      <c r="AN27" s="661">
        <f t="shared" si="43"/>
        <v>6.9872895179460453E-4</v>
      </c>
      <c r="AO27" s="414">
        <f t="shared" si="11"/>
        <v>3.4936447589730226E-4</v>
      </c>
      <c r="AP27" s="414">
        <f t="shared" si="44"/>
        <v>2.3174041478000002E-5</v>
      </c>
      <c r="AQ27" s="414">
        <f t="shared" si="12"/>
        <v>1.3379539085534855E-5</v>
      </c>
      <c r="AR27" s="440">
        <f t="shared" si="13"/>
        <v>3.4962057874950386E-4</v>
      </c>
      <c r="AS27" s="440">
        <v>8.5999999999999993E-2</v>
      </c>
      <c r="AT27" s="440">
        <v>0</v>
      </c>
      <c r="AU27" s="440">
        <v>1.5299999999999999E-3</v>
      </c>
      <c r="AV27" s="440">
        <f>'Response calculation'!N12*100/'Response calculation'!G12</f>
        <v>1.0916626431427356</v>
      </c>
      <c r="AW27" s="440">
        <f>-'Response calculation'!K12</f>
        <v>0.53780762294678341</v>
      </c>
      <c r="AX27" s="440">
        <v>1.0000000000000001E-9</v>
      </c>
      <c r="AY27" s="440">
        <f t="shared" si="29"/>
        <v>5.0000000000000003E-10</v>
      </c>
      <c r="AZ27" s="440">
        <f t="shared" si="14"/>
        <v>2.8867513459481294E-10</v>
      </c>
      <c r="BA27" s="440">
        <f>AZ27/-'Response calculation'!G12*100</f>
        <v>3.3250621451701527E-8</v>
      </c>
      <c r="BB27" s="686">
        <f t="shared" si="15"/>
        <v>1.4895108926284852</v>
      </c>
      <c r="BC27" s="561">
        <f t="shared" si="45"/>
        <v>2.9790217852569705</v>
      </c>
      <c r="BD27" s="529"/>
      <c r="BE27" s="551">
        <v>1.4999999999999999E-2</v>
      </c>
      <c r="BF27" s="552">
        <f t="shared" si="31"/>
        <v>8.6602540378443865E-3</v>
      </c>
      <c r="BG27" s="553">
        <v>1.24E-3</v>
      </c>
      <c r="BH27" s="448">
        <f>'Temp coeff'!E13</f>
        <v>-0.08</v>
      </c>
      <c r="BI27" s="543">
        <f t="shared" si="16"/>
        <v>-0.13599999999999995</v>
      </c>
      <c r="BJ27" s="442">
        <v>1.2E-4</v>
      </c>
      <c r="BK27" s="554">
        <f t="shared" si="17"/>
        <v>6.9282032302755094E-5</v>
      </c>
      <c r="BL27" s="543">
        <v>0.02</v>
      </c>
      <c r="BM27" s="545">
        <f t="shared" si="18"/>
        <v>6.7772389274801839E-4</v>
      </c>
      <c r="BN27" s="414">
        <f t="shared" si="32"/>
        <v>3.3886194637400919E-4</v>
      </c>
      <c r="BO27" s="414">
        <f t="shared" si="33"/>
        <v>8.3118977189999999E-6</v>
      </c>
      <c r="BP27" s="414">
        <f t="shared" si="34"/>
        <v>4.7988763855412864E-6</v>
      </c>
      <c r="BQ27" s="440">
        <f t="shared" si="35"/>
        <v>3.3889592490165117E-4</v>
      </c>
      <c r="BR27" s="563">
        <f>'Response calculation'!T12</f>
        <v>0.35831539366896348</v>
      </c>
      <c r="BS27" s="439">
        <v>1.0000000000000001E-9</v>
      </c>
      <c r="BT27" s="440">
        <f t="shared" si="36"/>
        <v>5.0000000000000003E-10</v>
      </c>
      <c r="BU27" s="440">
        <f t="shared" si="19"/>
        <v>2.8867513459481294E-10</v>
      </c>
      <c r="BV27" s="546">
        <f>BU27/'Response calculation'!R12*100</f>
        <v>1.7651368576131606E-7</v>
      </c>
      <c r="BW27" s="438">
        <f t="shared" si="20"/>
        <v>1.4895108926284852</v>
      </c>
      <c r="BX27" s="588">
        <f t="shared" si="37"/>
        <v>2.9790217852569705</v>
      </c>
      <c r="BY27" s="438">
        <f t="shared" si="21"/>
        <v>1.5381824592191686</v>
      </c>
      <c r="BZ27" s="529">
        <f t="shared" si="38"/>
        <v>3.0763649184383373</v>
      </c>
      <c r="CA27" s="589">
        <f t="shared" si="39"/>
        <v>3.1</v>
      </c>
      <c r="CB27" s="565">
        <f t="shared" si="22"/>
        <v>2.0671598136773754</v>
      </c>
      <c r="CC27" s="566" t="str">
        <f t="shared" si="40"/>
        <v>OK</v>
      </c>
      <c r="CD27" s="860"/>
      <c r="CE27" s="528">
        <f t="shared" si="23"/>
        <v>6.3985520756016647E-4</v>
      </c>
      <c r="CF27" s="561">
        <v>3.1</v>
      </c>
      <c r="CG27" s="529">
        <f>ABS((J27-L27)/(SQRT(SUMSQ(CE27,'Response calculation'!AB12))))</f>
        <v>0.6454850997810786</v>
      </c>
    </row>
    <row r="28" spans="1:85" s="468" customFormat="1" x14ac:dyDescent="0.35">
      <c r="A28" s="468">
        <v>280</v>
      </c>
      <c r="B28" s="528">
        <v>0.10249999999999999</v>
      </c>
      <c r="C28" s="414"/>
      <c r="D28" s="528"/>
      <c r="E28" s="528"/>
      <c r="F28" s="414">
        <f>-'Response calculation'!Q13</f>
        <v>1.2699138996700001</v>
      </c>
      <c r="G28" s="414">
        <v>1.3755716600000001E-2</v>
      </c>
      <c r="H28" s="529">
        <f>F28/SQRT(SUMSQ('Response calculation'!J13,'Response calculation'!P13))</f>
        <v>92.318992574430823</v>
      </c>
      <c r="I28" s="529">
        <f t="shared" si="24"/>
        <v>1.0832007283807443</v>
      </c>
      <c r="J28" s="531">
        <f t="shared" si="25"/>
        <v>2.1976890632902254E-2</v>
      </c>
      <c r="K28" s="435">
        <v>2.146E-2</v>
      </c>
      <c r="L28" s="531">
        <f t="shared" si="0"/>
        <v>2.1419869800000001E-2</v>
      </c>
      <c r="M28" s="532">
        <f>'Response calculation'!W13</f>
        <v>0.27228057449999998</v>
      </c>
      <c r="N28" s="532">
        <v>1.4241108300000001E-3</v>
      </c>
      <c r="O28" s="529">
        <f>M28/SQRT(SUMSQ('Response calculation'!S13,'Response calculation'!V13))</f>
        <v>191.19337772142495</v>
      </c>
      <c r="P28" s="529">
        <f t="shared" si="26"/>
        <v>0.5230306676505464</v>
      </c>
      <c r="Q28" s="529">
        <f t="shared" si="1"/>
        <v>0.5230306676505464</v>
      </c>
      <c r="R28" s="529">
        <v>1.63</v>
      </c>
      <c r="S28" s="440">
        <f t="shared" si="2"/>
        <v>0.81499999999999995</v>
      </c>
      <c r="T28" s="414">
        <f t="shared" si="3"/>
        <v>1.6707499999999997E-3</v>
      </c>
      <c r="U28" s="414">
        <f t="shared" si="4"/>
        <v>8.3537499999999985E-4</v>
      </c>
      <c r="V28" s="414">
        <f t="shared" si="5"/>
        <v>0.21440868910148542</v>
      </c>
      <c r="W28" s="414">
        <f t="shared" si="27"/>
        <v>1.7911165865815335E-4</v>
      </c>
      <c r="X28" s="414">
        <f t="shared" si="6"/>
        <v>0.1747430816177106</v>
      </c>
      <c r="Y28" s="414">
        <f>'Drift is STD'!B11</f>
        <v>-3.489726334679228E-2</v>
      </c>
      <c r="Z28" s="440">
        <f>'Drift is STD'!C11</f>
        <v>3.7637600000000007E-2</v>
      </c>
      <c r="AA28" s="440">
        <f>Z28*$AA$5</f>
        <v>0.11968756800000002</v>
      </c>
      <c r="AB28" s="440">
        <f t="shared" si="7"/>
        <v>5.1326483640079731E-2</v>
      </c>
      <c r="AC28" s="440">
        <v>4.1000000000000002E-2</v>
      </c>
      <c r="AD28" s="440">
        <v>0.01</v>
      </c>
      <c r="AE28" s="440">
        <v>5.0000000000000001E-3</v>
      </c>
      <c r="AF28" s="440">
        <v>0.02</v>
      </c>
      <c r="AG28" s="440">
        <f>'Wavelength Uc'!Y12</f>
        <v>0.23649785162344769</v>
      </c>
      <c r="AH28" s="440">
        <v>0.21695643531694911</v>
      </c>
      <c r="AI28" s="440">
        <f t="shared" si="8"/>
        <v>0.17084342125346247</v>
      </c>
      <c r="AJ28" s="680">
        <v>0.02</v>
      </c>
      <c r="AK28" s="440">
        <f t="shared" si="9"/>
        <v>-0.05</v>
      </c>
      <c r="AL28" s="440">
        <v>0.02</v>
      </c>
      <c r="AM28" s="440">
        <f t="shared" si="10"/>
        <v>0.02</v>
      </c>
      <c r="AN28" s="661">
        <f t="shared" si="43"/>
        <v>4.7247297644030517E-4</v>
      </c>
      <c r="AO28" s="414">
        <f t="shared" si="11"/>
        <v>2.3623648822015259E-4</v>
      </c>
      <c r="AP28" s="414">
        <f t="shared" si="44"/>
        <v>3.1398277993400001E-5</v>
      </c>
      <c r="AQ28" s="414">
        <f t="shared" si="12"/>
        <v>1.8127804251580194E-5</v>
      </c>
      <c r="AR28" s="440">
        <f t="shared" si="13"/>
        <v>2.3693099344233946E-4</v>
      </c>
      <c r="AS28" s="440">
        <v>8.5999999999999993E-2</v>
      </c>
      <c r="AT28" s="440">
        <v>0</v>
      </c>
      <c r="AU28" s="440">
        <v>1.5299999999999999E-3</v>
      </c>
      <c r="AV28" s="440">
        <f>'Response calculation'!N13*100/'Response calculation'!G13</f>
        <v>0.7406391787345834</v>
      </c>
      <c r="AW28" s="440">
        <f>-'Response calculation'!K13</f>
        <v>1.0751781185395948</v>
      </c>
      <c r="AX28" s="440">
        <v>1E-8</v>
      </c>
      <c r="AY28" s="440">
        <f t="shared" si="29"/>
        <v>5.0000000000000001E-9</v>
      </c>
      <c r="AZ28" s="440">
        <f t="shared" si="14"/>
        <v>2.8867513459481292E-9</v>
      </c>
      <c r="BA28" s="440">
        <f>AZ28/-'Response calculation'!G13*100</f>
        <v>2.2563505567046592E-7</v>
      </c>
      <c r="BB28" s="686">
        <f t="shared" si="15"/>
        <v>1.5769969921563345</v>
      </c>
      <c r="BC28" s="561">
        <f t="shared" si="45"/>
        <v>3.153993984312669</v>
      </c>
      <c r="BD28" s="529"/>
      <c r="BE28" s="551">
        <v>1.3999999999999999E-2</v>
      </c>
      <c r="BF28" s="552">
        <f t="shared" si="31"/>
        <v>8.0829037686547603E-3</v>
      </c>
      <c r="BG28" s="553">
        <v>1.24E-3</v>
      </c>
      <c r="BH28" s="448">
        <f>'Temp coeff'!E14</f>
        <v>-0.11</v>
      </c>
      <c r="BI28" s="543">
        <f t="shared" si="16"/>
        <v>-0.18699999999999992</v>
      </c>
      <c r="BJ28" s="442">
        <v>1.9000000000000001E-4</v>
      </c>
      <c r="BK28" s="554">
        <f t="shared" si="17"/>
        <v>1.0969655114602891E-4</v>
      </c>
      <c r="BL28" s="543">
        <v>0.02</v>
      </c>
      <c r="BM28" s="545">
        <f t="shared" si="18"/>
        <v>4.4072185546236976E-4</v>
      </c>
      <c r="BN28" s="414">
        <f t="shared" si="32"/>
        <v>2.2036092773118488E-4</v>
      </c>
      <c r="BO28" s="414">
        <f t="shared" si="33"/>
        <v>1.1168417235E-5</v>
      </c>
      <c r="BP28" s="414">
        <f t="shared" si="34"/>
        <v>6.4480886970493068E-6</v>
      </c>
      <c r="BQ28" s="440">
        <f t="shared" si="35"/>
        <v>2.2045524788127295E-4</v>
      </c>
      <c r="BR28" s="563">
        <f>'Response calculation'!T13</f>
        <v>0.55035822981838844</v>
      </c>
      <c r="BS28" s="439">
        <v>1.0000000000000001E-9</v>
      </c>
      <c r="BT28" s="440">
        <f t="shared" si="36"/>
        <v>5.0000000000000003E-10</v>
      </c>
      <c r="BU28" s="440">
        <f t="shared" si="19"/>
        <v>2.8867513459481294E-10</v>
      </c>
      <c r="BV28" s="546">
        <f>BU28/'Response calculation'!R13*100</f>
        <v>1.1156065435453945E-7</v>
      </c>
      <c r="BW28" s="438">
        <f t="shared" si="20"/>
        <v>1.5769969921563345</v>
      </c>
      <c r="BX28" s="588">
        <f t="shared" si="37"/>
        <v>3.153993984312669</v>
      </c>
      <c r="BY28" s="438">
        <f t="shared" si="21"/>
        <v>1.6808478890030922</v>
      </c>
      <c r="BZ28" s="529">
        <f t="shared" si="38"/>
        <v>3.3616957780061845</v>
      </c>
      <c r="CA28" s="589">
        <f t="shared" si="39"/>
        <v>3.4</v>
      </c>
      <c r="CB28" s="565">
        <f t="shared" si="22"/>
        <v>2.6004865487196027</v>
      </c>
      <c r="CC28" s="566" t="str">
        <f t="shared" si="40"/>
        <v>OK</v>
      </c>
      <c r="CD28" s="860"/>
      <c r="CE28" s="528">
        <f t="shared" si="23"/>
        <v>7.472142815186767E-4</v>
      </c>
      <c r="CF28" s="561">
        <v>3.4</v>
      </c>
      <c r="CG28" s="590">
        <f>ABS((J28-L28)/(SQRT(SUMSQ(CE28,'Response calculation'!AB13))))</f>
        <v>0.73443097144912939</v>
      </c>
    </row>
    <row r="29" spans="1:85" s="468" customFormat="1" x14ac:dyDescent="0.35">
      <c r="A29" s="468">
        <v>290</v>
      </c>
      <c r="B29" s="528">
        <v>0.1147</v>
      </c>
      <c r="C29" s="414"/>
      <c r="D29" s="528"/>
      <c r="E29" s="528"/>
      <c r="F29" s="414">
        <f>-'Response calculation'!Q14</f>
        <v>1.8524965345700002</v>
      </c>
      <c r="G29" s="414">
        <v>1.86336174E-2</v>
      </c>
      <c r="H29" s="529">
        <f>F29/SQRT(SUMSQ('Response calculation'!J14,'Response calculation'!P14))</f>
        <v>99.416903034041596</v>
      </c>
      <c r="I29" s="529">
        <f t="shared" si="24"/>
        <v>1.0058651692837257</v>
      </c>
      <c r="J29" s="531">
        <f t="shared" si="25"/>
        <v>2.6723344120522758E-2</v>
      </c>
      <c r="K29" s="435">
        <v>2.6179999999999998E-2</v>
      </c>
      <c r="L29" s="531">
        <f t="shared" si="0"/>
        <v>2.6122142199999997E-2</v>
      </c>
      <c r="M29" s="532">
        <f>'Response calculation'!W14</f>
        <v>0.43160333369999998</v>
      </c>
      <c r="N29" s="532">
        <v>1.4889963100000001E-3</v>
      </c>
      <c r="O29" s="529">
        <f>M29/SQRT(SUMSQ('Response calculation'!S14,'Response calculation'!V14))</f>
        <v>289.8619109601031</v>
      </c>
      <c r="P29" s="529">
        <f t="shared" si="26"/>
        <v>0.34499186067176696</v>
      </c>
      <c r="Q29" s="529">
        <f t="shared" si="1"/>
        <v>0.3449918606717669</v>
      </c>
      <c r="R29" s="529">
        <v>1.64</v>
      </c>
      <c r="S29" s="440">
        <f t="shared" si="2"/>
        <v>0.82</v>
      </c>
      <c r="T29" s="414">
        <f t="shared" si="3"/>
        <v>1.8810799999999996E-3</v>
      </c>
      <c r="U29" s="414">
        <f t="shared" si="4"/>
        <v>9.405399999999998E-4</v>
      </c>
      <c r="V29" s="414">
        <f t="shared" si="5"/>
        <v>0.23298469154771367</v>
      </c>
      <c r="W29" s="414">
        <f t="shared" si="27"/>
        <v>2.1913142178828658E-4</v>
      </c>
      <c r="X29" s="414">
        <f t="shared" si="6"/>
        <v>0.19104744706912519</v>
      </c>
      <c r="Y29" s="414">
        <f>'Drift is STD'!B12</f>
        <v>-4.2529250956806992E-2</v>
      </c>
      <c r="Z29" s="440">
        <f>'Drift is STD'!C12</f>
        <v>3.6004900000000006E-2</v>
      </c>
      <c r="AA29" s="440">
        <f t="shared" si="41"/>
        <v>0.11449558200000003</v>
      </c>
      <c r="AB29" s="440">
        <f t="shared" si="7"/>
        <v>5.5723334528338025E-2</v>
      </c>
      <c r="AC29" s="440">
        <v>4.1000000000000002E-2</v>
      </c>
      <c r="AD29" s="440">
        <v>0.01</v>
      </c>
      <c r="AE29" s="440">
        <v>5.0000000000000001E-3</v>
      </c>
      <c r="AF29" s="440">
        <v>0.02</v>
      </c>
      <c r="AG29" s="440">
        <f>'Wavelength Uc'!Y13</f>
        <v>0.29071416967378799</v>
      </c>
      <c r="AH29" s="440">
        <v>0.21695643531694911</v>
      </c>
      <c r="AI29" s="440">
        <f t="shared" si="8"/>
        <v>0.117115703737232</v>
      </c>
      <c r="AJ29" s="680">
        <v>0.02</v>
      </c>
      <c r="AK29" s="440">
        <f t="shared" si="9"/>
        <v>-0.05</v>
      </c>
      <c r="AL29" s="440">
        <v>0.02</v>
      </c>
      <c r="AM29" s="440">
        <f t="shared" si="10"/>
        <v>0.02</v>
      </c>
      <c r="AN29" s="661">
        <f t="shared" si="43"/>
        <v>3.2388724556468417E-4</v>
      </c>
      <c r="AO29" s="414">
        <f t="shared" si="11"/>
        <v>1.6194362278234209E-4</v>
      </c>
      <c r="AP29" s="414">
        <f t="shared" si="44"/>
        <v>4.3049930691400006E-5</v>
      </c>
      <c r="AQ29" s="414">
        <f t="shared" si="12"/>
        <v>2.4854889073274528E-5</v>
      </c>
      <c r="AR29" s="440">
        <f t="shared" si="13"/>
        <v>1.6383986837981252E-4</v>
      </c>
      <c r="AS29" s="440">
        <v>8.5999999999999993E-2</v>
      </c>
      <c r="AT29" s="440">
        <v>0</v>
      </c>
      <c r="AU29" s="440">
        <v>1.5299999999999999E-3</v>
      </c>
      <c r="AV29" s="440">
        <f>'Response calculation'!N14*100/'Response calculation'!G14</f>
        <v>0.50884813553017794</v>
      </c>
      <c r="AW29" s="440">
        <f>-'Response calculation'!K14</f>
        <v>1.000746842939789</v>
      </c>
      <c r="AX29" s="440">
        <v>1E-8</v>
      </c>
      <c r="AY29" s="440">
        <f t="shared" si="29"/>
        <v>5.0000000000000001E-9</v>
      </c>
      <c r="AZ29" s="440">
        <f t="shared" si="14"/>
        <v>2.8867513459481292E-9</v>
      </c>
      <c r="BA29" s="440">
        <f>AZ29/-'Response calculation'!G14*100</f>
        <v>1.550373839815868E-7</v>
      </c>
      <c r="BB29" s="686">
        <f t="shared" si="15"/>
        <v>1.4422256930576205</v>
      </c>
      <c r="BC29" s="561">
        <f t="shared" si="45"/>
        <v>2.884451386115241</v>
      </c>
      <c r="BD29" s="529"/>
      <c r="BE29" s="551">
        <v>2.1000000000000001E-2</v>
      </c>
      <c r="BF29" s="552">
        <f t="shared" si="31"/>
        <v>1.2124355652982142E-2</v>
      </c>
      <c r="BG29" s="553">
        <v>1.24E-3</v>
      </c>
      <c r="BH29" s="448">
        <f>'Temp coeff'!E15</f>
        <v>-0.13</v>
      </c>
      <c r="BI29" s="543">
        <f t="shared" si="16"/>
        <v>-0.22099999999999992</v>
      </c>
      <c r="BJ29" s="442">
        <v>2.2000000000000001E-4</v>
      </c>
      <c r="BK29" s="554">
        <f t="shared" si="17"/>
        <v>1.2701705922171769E-4</v>
      </c>
      <c r="BL29" s="543">
        <v>0.02</v>
      </c>
      <c r="BM29" s="545">
        <f t="shared" si="18"/>
        <v>2.7803307025290474E-4</v>
      </c>
      <c r="BN29" s="414">
        <f t="shared" si="32"/>
        <v>1.3901653512645237E-4</v>
      </c>
      <c r="BO29" s="414">
        <f t="shared" si="33"/>
        <v>1.5948100011000001E-5</v>
      </c>
      <c r="BP29" s="414">
        <f t="shared" si="34"/>
        <v>9.2076398344139247E-6</v>
      </c>
      <c r="BQ29" s="440">
        <f t="shared" si="35"/>
        <v>1.3932113145493922E-4</v>
      </c>
      <c r="BR29" s="563">
        <f>'Response calculation'!T14</f>
        <v>0.35614831895448107</v>
      </c>
      <c r="BS29" s="439">
        <v>1.0000000000000001E-9</v>
      </c>
      <c r="BT29" s="440">
        <f t="shared" si="36"/>
        <v>5.0000000000000003E-10</v>
      </c>
      <c r="BU29" s="440">
        <f t="shared" si="19"/>
        <v>2.8867513459481294E-10</v>
      </c>
      <c r="BV29" s="546">
        <f>BU29/'Response calculation'!R14*100</f>
        <v>6.9047292608738025E-8</v>
      </c>
      <c r="BW29" s="438">
        <f t="shared" si="20"/>
        <v>1.4422256930576205</v>
      </c>
      <c r="BX29" s="588">
        <f t="shared" si="37"/>
        <v>2.884451386115241</v>
      </c>
      <c r="BY29" s="438">
        <f t="shared" si="21"/>
        <v>1.5020806063435319</v>
      </c>
      <c r="BZ29" s="529">
        <f t="shared" si="38"/>
        <v>3.0041612126870638</v>
      </c>
      <c r="CA29" s="589">
        <f t="shared" si="39"/>
        <v>3.1</v>
      </c>
      <c r="CB29" s="565">
        <f t="shared" si="22"/>
        <v>2.3015031306381961</v>
      </c>
      <c r="CC29" s="566" t="str">
        <f t="shared" si="40"/>
        <v>OK</v>
      </c>
      <c r="CD29" s="860"/>
      <c r="CE29" s="528">
        <f t="shared" si="23"/>
        <v>8.2842366773620553E-4</v>
      </c>
      <c r="CF29" s="561">
        <v>3</v>
      </c>
      <c r="CG29" s="590">
        <f>ABS((J29-L29)/(SQRT(SUMSQ(CE29,'Response calculation'!AB14))))</f>
        <v>0.71694414348366831</v>
      </c>
    </row>
    <row r="30" spans="1:85" s="468" customFormat="1" x14ac:dyDescent="0.35">
      <c r="A30" s="468">
        <v>300</v>
      </c>
      <c r="B30" s="528">
        <v>0.1295</v>
      </c>
      <c r="C30" s="414">
        <f>_xll.SRS1Splines.Functions25.Cubic_Spline('Temp coeff'!$A$6:$A$23,'Temp coeff'!$B$6:$B$23,A30)</f>
        <v>-9.2999999999999997E-5</v>
      </c>
      <c r="D30" s="528">
        <f t="shared" ref="D30:D40" si="46">B30*(1+(C30*2))</f>
        <v>0.129475913</v>
      </c>
      <c r="E30" s="591">
        <f t="shared" ref="E30:E40" si="47">ABS(B30-D30)/D30*100</f>
        <v>1.8603460243609919E-2</v>
      </c>
      <c r="F30" s="414">
        <f>-'Response calculation'!Q15</f>
        <v>2.5413829528799998</v>
      </c>
      <c r="G30" s="414">
        <v>2.5379778499999998E-2</v>
      </c>
      <c r="H30" s="529">
        <f>F30/SQRT(SUMSQ('Response calculation'!J15,'Response calculation'!P15))</f>
        <v>100.13416595282023</v>
      </c>
      <c r="I30" s="529">
        <f t="shared" si="24"/>
        <v>0.99866013811026855</v>
      </c>
      <c r="J30" s="531">
        <f t="shared" si="25"/>
        <v>3.1143733750537701E-2</v>
      </c>
      <c r="K30" s="435">
        <v>3.0630000000000001E-2</v>
      </c>
      <c r="L30" s="531">
        <f t="shared" si="0"/>
        <v>3.0562307699999999E-2</v>
      </c>
      <c r="M30" s="532">
        <f>'Response calculation'!W15</f>
        <v>0.61118265670000005</v>
      </c>
      <c r="N30" s="532">
        <v>1.9460508400000001E-3</v>
      </c>
      <c r="O30" s="529">
        <f>M30/SQRT(SUMSQ('Response calculation'!S15,'Response calculation'!V15))</f>
        <v>314.0630396702781</v>
      </c>
      <c r="P30" s="529">
        <f t="shared" si="26"/>
        <v>0.31840741306263193</v>
      </c>
      <c r="Q30" s="529">
        <f t="shared" si="1"/>
        <v>0.31840741306263193</v>
      </c>
      <c r="R30" s="529">
        <v>1.63</v>
      </c>
      <c r="S30" s="440">
        <f t="shared" si="2"/>
        <v>0.81499999999999995</v>
      </c>
      <c r="T30" s="414">
        <f t="shared" si="3"/>
        <v>2.1108500000000001E-3</v>
      </c>
      <c r="U30" s="414">
        <f t="shared" si="4"/>
        <v>1.055425E-3</v>
      </c>
      <c r="V30" s="414">
        <f t="shared" si="5"/>
        <v>0.24049215251380462</v>
      </c>
      <c r="W30" s="414">
        <f t="shared" si="27"/>
        <v>2.5382143006688227E-4</v>
      </c>
      <c r="X30" s="414">
        <f t="shared" si="6"/>
        <v>0.19600110429875081</v>
      </c>
      <c r="Y30" s="414">
        <f>'Drift is STD'!B13</f>
        <v>-5.2593644354293437E-2</v>
      </c>
      <c r="Z30" s="440">
        <f>'Drift is STD'!C13</f>
        <v>3.4409999999999996E-2</v>
      </c>
      <c r="AA30" s="440">
        <f t="shared" si="41"/>
        <v>0.10942379999999999</v>
      </c>
      <c r="AB30" s="440">
        <f t="shared" si="7"/>
        <v>6.2850135453043382E-2</v>
      </c>
      <c r="AC30" s="440">
        <v>4.1000000000000002E-2</v>
      </c>
      <c r="AD30" s="440">
        <v>0.01</v>
      </c>
      <c r="AE30" s="440">
        <v>5.0000000000000001E-3</v>
      </c>
      <c r="AF30" s="440">
        <v>0.02</v>
      </c>
      <c r="AG30" s="440">
        <f>'Wavelength Uc'!Y14</f>
        <v>0.15971273127700894</v>
      </c>
      <c r="AH30" s="440">
        <v>0.21695643531694911</v>
      </c>
      <c r="AI30" s="440">
        <f t="shared" si="8"/>
        <v>8.5369438348945059E-2</v>
      </c>
      <c r="AJ30" s="440">
        <v>0.02</v>
      </c>
      <c r="AK30" s="440">
        <f t="shared" si="9"/>
        <v>-0.05</v>
      </c>
      <c r="AL30" s="440">
        <v>0.02</v>
      </c>
      <c r="AM30" s="440">
        <f t="shared" si="10"/>
        <v>0.02</v>
      </c>
      <c r="AN30" s="661">
        <f t="shared" si="43"/>
        <v>2.3609192755466284E-4</v>
      </c>
      <c r="AO30" s="414">
        <f t="shared" si="11"/>
        <v>1.1804596377733142E-4</v>
      </c>
      <c r="AP30" s="414">
        <f t="shared" si="44"/>
        <v>5.6827659057600001E-5</v>
      </c>
      <c r="AQ30" s="414">
        <f t="shared" si="12"/>
        <v>3.2809464254321635E-5</v>
      </c>
      <c r="AR30" s="440">
        <f t="shared" si="13"/>
        <v>1.2252065339678306E-4</v>
      </c>
      <c r="AS30" s="440">
        <v>8.5999999999999993E-2</v>
      </c>
      <c r="AT30" s="440">
        <v>0</v>
      </c>
      <c r="AU30" s="440">
        <v>1.5299999999999999E-3</v>
      </c>
      <c r="AV30" s="440">
        <f>'Response calculation'!N15*100/'Response calculation'!G15</f>
        <v>0.37136855269719005</v>
      </c>
      <c r="AW30" s="440">
        <f>-'Response calculation'!K15</f>
        <v>0.99495142812901127</v>
      </c>
      <c r="AX30" s="440">
        <v>1E-8</v>
      </c>
      <c r="AY30" s="440">
        <f t="shared" si="29"/>
        <v>5.0000000000000001E-9</v>
      </c>
      <c r="AZ30" s="440">
        <f t="shared" si="14"/>
        <v>2.8867513459481292E-9</v>
      </c>
      <c r="BA30" s="440">
        <f>AZ30/-'Response calculation'!G15*100</f>
        <v>1.1316794487802314E-7</v>
      </c>
      <c r="BB30" s="686">
        <f t="shared" si="15"/>
        <v>1.371532242808587</v>
      </c>
      <c r="BC30" s="561">
        <f t="shared" si="45"/>
        <v>2.743064485617174</v>
      </c>
      <c r="BD30" s="529"/>
      <c r="BE30" s="551">
        <v>2E-3</v>
      </c>
      <c r="BF30" s="552">
        <f t="shared" si="31"/>
        <v>1.1547005383792516E-3</v>
      </c>
      <c r="BG30" s="553">
        <v>1.24E-3</v>
      </c>
      <c r="BH30" s="448">
        <f>'Temp coeff'!E16</f>
        <v>-0.13</v>
      </c>
      <c r="BI30" s="543">
        <f t="shared" si="16"/>
        <v>-0.22099999999999992</v>
      </c>
      <c r="BJ30" s="442">
        <v>2.1000000000000001E-4</v>
      </c>
      <c r="BK30" s="554">
        <f t="shared" si="17"/>
        <v>1.2124355652982142E-4</v>
      </c>
      <c r="BL30" s="543">
        <v>0.02</v>
      </c>
      <c r="BM30" s="586">
        <f t="shared" ref="BM30:BM40" si="48">$BN$8*100/M30</f>
        <v>9.817032493029509E-4</v>
      </c>
      <c r="BN30" s="414">
        <f t="shared" si="32"/>
        <v>4.9085162465147545E-4</v>
      </c>
      <c r="BO30" s="414">
        <f>($BP$5*M30)+($BQ$5*$BM$8)</f>
        <v>1.8223653134E-5</v>
      </c>
      <c r="BP30" s="414">
        <f t="shared" si="34"/>
        <v>1.0521431042533269E-5</v>
      </c>
      <c r="BQ30" s="440">
        <f t="shared" si="35"/>
        <v>4.9096437542267329E-4</v>
      </c>
      <c r="BR30" s="563">
        <f>'Response calculation'!T15</f>
        <v>0.32561064786732929</v>
      </c>
      <c r="BS30" s="439">
        <v>1.0000000000000001E-9</v>
      </c>
      <c r="BT30" s="440">
        <f t="shared" si="36"/>
        <v>5.0000000000000003E-10</v>
      </c>
      <c r="BU30" s="440">
        <f t="shared" si="19"/>
        <v>2.8867513459481294E-10</v>
      </c>
      <c r="BV30" s="546">
        <f>BU30/'Response calculation'!R15*100</f>
        <v>4.83007410015072E-8</v>
      </c>
      <c r="BW30" s="438">
        <f t="shared" si="20"/>
        <v>1.371532242808587</v>
      </c>
      <c r="BX30" s="588">
        <f t="shared" si="37"/>
        <v>2.743064485617174</v>
      </c>
      <c r="BY30" s="438">
        <f t="shared" si="21"/>
        <v>1.4270133544390844</v>
      </c>
      <c r="BZ30" s="529">
        <f t="shared" si="38"/>
        <v>2.8540267088781688</v>
      </c>
      <c r="CA30" s="589">
        <f t="shared" si="39"/>
        <v>2.9</v>
      </c>
      <c r="CB30" s="565">
        <f t="shared" si="22"/>
        <v>1.9024284954035127</v>
      </c>
      <c r="CC30" s="566" t="str">
        <f t="shared" si="40"/>
        <v>OK</v>
      </c>
      <c r="CD30" s="860"/>
      <c r="CE30" s="528">
        <f t="shared" si="23"/>
        <v>9.0316827876559327E-4</v>
      </c>
      <c r="CF30" s="561">
        <v>2.9</v>
      </c>
      <c r="CG30" s="529">
        <f>ABS((J30-L30)/(SQRT(SUMSQ(CE30,'Response calculation'!AB15))))</f>
        <v>0.63904049691584408</v>
      </c>
    </row>
    <row r="31" spans="1:85" s="468" customFormat="1" x14ac:dyDescent="0.35">
      <c r="A31" s="468">
        <v>310</v>
      </c>
      <c r="B31" s="528">
        <v>0.13750000000000001</v>
      </c>
      <c r="C31" s="414">
        <f>_xll.SRS1Splines.Functions25.Cubic_Spline('Temp coeff'!$A$6:$A$23,'Temp coeff'!$B$6:$B$23,A31)</f>
        <v>-5.97648672529379E-5</v>
      </c>
      <c r="D31" s="528">
        <f t="shared" si="46"/>
        <v>0.13748356466150544</v>
      </c>
      <c r="E31" s="591">
        <f t="shared" si="47"/>
        <v>1.1954402357139774E-2</v>
      </c>
      <c r="F31" s="414">
        <f>-'Response calculation'!Q16</f>
        <v>3.1295386332199997</v>
      </c>
      <c r="G31" s="414">
        <v>3.8240138700000002E-2</v>
      </c>
      <c r="H31" s="529">
        <f>F31/SQRT(SUMSQ('Response calculation'!J16,'Response calculation'!P16))</f>
        <v>81.839102558372147</v>
      </c>
      <c r="I31" s="529">
        <f t="shared" si="24"/>
        <v>1.221909782413297</v>
      </c>
      <c r="J31" s="662">
        <f t="shared" si="25"/>
        <v>3.3290262388950088E-2</v>
      </c>
      <c r="K31" s="435">
        <v>3.2731999999999997E-2</v>
      </c>
      <c r="L31" s="531">
        <f t="shared" si="0"/>
        <v>3.2670791159999997E-2</v>
      </c>
      <c r="M31" s="532">
        <f>'Response calculation'!W16</f>
        <v>0.75769572550000008</v>
      </c>
      <c r="N31" s="532">
        <v>3.17202928E-3</v>
      </c>
      <c r="O31" s="529">
        <f>M31/SQRT(SUMSQ('Response calculation'!S16,'Response calculation'!V16))</f>
        <v>238.86782151023883</v>
      </c>
      <c r="P31" s="529">
        <f t="shared" si="26"/>
        <v>0.41864157075553854</v>
      </c>
      <c r="Q31" s="529">
        <f t="shared" si="1"/>
        <v>0.41864157075553854</v>
      </c>
      <c r="R31" s="529">
        <v>1.63</v>
      </c>
      <c r="S31" s="440">
        <f t="shared" si="2"/>
        <v>0.81499999999999995</v>
      </c>
      <c r="T31" s="414">
        <f t="shared" si="3"/>
        <v>2.2412499999999998E-3</v>
      </c>
      <c r="U31" s="414">
        <f t="shared" si="4"/>
        <v>1.1206249999999999E-3</v>
      </c>
      <c r="V31" s="414">
        <f t="shared" si="5"/>
        <v>0.24211099919236426</v>
      </c>
      <c r="W31" s="414">
        <f t="shared" si="27"/>
        <v>2.7131563846994315E-4</v>
      </c>
      <c r="X31" s="414">
        <f t="shared" si="6"/>
        <v>0.19732046434177683</v>
      </c>
      <c r="Y31" s="414">
        <f>'Drift is STD'!B14</f>
        <v>-6.5976251060220523E-2</v>
      </c>
      <c r="Z31" s="440">
        <f>'Drift is STD'!C14</f>
        <v>3.2852900000000004E-2</v>
      </c>
      <c r="AA31" s="440">
        <f t="shared" si="41"/>
        <v>0.10447222200000002</v>
      </c>
      <c r="AB31" s="440">
        <f t="shared" si="7"/>
        <v>7.3703315680987175E-2</v>
      </c>
      <c r="AC31" s="440">
        <v>4.1000000000000002E-2</v>
      </c>
      <c r="AD31" s="440">
        <v>0.01</v>
      </c>
      <c r="AE31" s="440">
        <v>5.0000000000000001E-3</v>
      </c>
      <c r="AF31" s="440">
        <v>0.02</v>
      </c>
      <c r="AG31" s="440">
        <f>'Wavelength Uc'!Y15</f>
        <v>5.6636186723050652E-2</v>
      </c>
      <c r="AH31" s="440">
        <v>0.21695643531694911</v>
      </c>
      <c r="AI31" s="440">
        <f t="shared" si="8"/>
        <v>6.93253737192953E-2</v>
      </c>
      <c r="AJ31" s="440">
        <v>0.02</v>
      </c>
      <c r="AK31" s="440">
        <f t="shared" si="9"/>
        <v>-0.05</v>
      </c>
      <c r="AL31" s="440">
        <v>0.02</v>
      </c>
      <c r="AM31" s="440">
        <f t="shared" si="10"/>
        <v>0.02</v>
      </c>
      <c r="AN31" s="661">
        <f t="shared" si="43"/>
        <v>1.9172155078419874E-4</v>
      </c>
      <c r="AO31" s="414">
        <f t="shared" si="11"/>
        <v>9.5860775392099371E-5</v>
      </c>
      <c r="AP31" s="414">
        <f t="shared" si="44"/>
        <v>6.8590772664399997E-5</v>
      </c>
      <c r="AQ31" s="414">
        <f t="shared" si="12"/>
        <v>3.9600901061715768E-5</v>
      </c>
      <c r="AR31" s="440">
        <f t="shared" si="13"/>
        <v>1.0371846327281525E-4</v>
      </c>
      <c r="AS31" s="440">
        <v>8.5999999999999993E-2</v>
      </c>
      <c r="AT31" s="440">
        <v>0</v>
      </c>
      <c r="AU31" s="440">
        <v>1.5299999999999999E-3</v>
      </c>
      <c r="AV31" s="440">
        <f>'Response calculation'!N16*100/'Response calculation'!G16</f>
        <v>0.30172625230851063</v>
      </c>
      <c r="AW31" s="440">
        <f>-'Response calculation'!K16</f>
        <v>1.2182229597017673</v>
      </c>
      <c r="AX31" s="440">
        <v>1E-8</v>
      </c>
      <c r="AY31" s="440">
        <f t="shared" si="29"/>
        <v>5.0000000000000001E-9</v>
      </c>
      <c r="AZ31" s="440">
        <f t="shared" si="14"/>
        <v>2.8867513459481292E-9</v>
      </c>
      <c r="BA31" s="440">
        <f>AZ31/-'Response calculation'!G16*100</f>
        <v>9.196375557560386E-8</v>
      </c>
      <c r="BB31" s="686">
        <f t="shared" si="15"/>
        <v>1.5190606287270227</v>
      </c>
      <c r="BC31" s="561">
        <f t="shared" si="45"/>
        <v>3.0381212574540455</v>
      </c>
      <c r="BD31" s="529"/>
      <c r="BE31" s="551">
        <v>1E-3</v>
      </c>
      <c r="BF31" s="552">
        <f t="shared" si="31"/>
        <v>5.773502691896258E-4</v>
      </c>
      <c r="BG31" s="553">
        <v>1.24E-3</v>
      </c>
      <c r="BH31" s="448">
        <f>'Temp coeff'!E17</f>
        <v>-0.11</v>
      </c>
      <c r="BI31" s="543">
        <f t="shared" si="16"/>
        <v>-0.18699999999999992</v>
      </c>
      <c r="BJ31" s="442">
        <v>1.8000000000000001E-4</v>
      </c>
      <c r="BK31" s="554">
        <f t="shared" si="17"/>
        <v>1.0392304845413265E-4</v>
      </c>
      <c r="BL31" s="543">
        <v>0.02</v>
      </c>
      <c r="BM31" s="586">
        <f t="shared" si="48"/>
        <v>7.9187460059123693E-4</v>
      </c>
      <c r="BN31" s="414">
        <f t="shared" si="32"/>
        <v>3.9593730029561846E-4</v>
      </c>
      <c r="BO31" s="414">
        <f t="shared" ref="BO31:BO40" si="49">($BP$5*M31)+($BQ$5*$BM$8)</f>
        <v>2.1153914510000004E-5</v>
      </c>
      <c r="BP31" s="414">
        <f t="shared" si="34"/>
        <v>1.2213218236762834E-5</v>
      </c>
      <c r="BQ31" s="440">
        <f t="shared" si="35"/>
        <v>3.9612562207597926E-4</v>
      </c>
      <c r="BR31" s="563">
        <f>'Response calculation'!T16</f>
        <v>0.42624758634493037</v>
      </c>
      <c r="BS31" s="439">
        <v>1.0000000000000001E-9</v>
      </c>
      <c r="BT31" s="440">
        <f t="shared" si="36"/>
        <v>5.0000000000000003E-10</v>
      </c>
      <c r="BU31" s="440">
        <f t="shared" si="19"/>
        <v>2.8867513459481294E-10</v>
      </c>
      <c r="BV31" s="546">
        <f>BU31/'Response calculation'!R16*100</f>
        <v>3.8791281068766469E-8</v>
      </c>
      <c r="BW31" s="438">
        <f t="shared" si="20"/>
        <v>1.5190606287270227</v>
      </c>
      <c r="BX31" s="588">
        <f t="shared" si="37"/>
        <v>3.0381212574540455</v>
      </c>
      <c r="BY31" s="438">
        <f t="shared" si="21"/>
        <v>1.5889000085789728</v>
      </c>
      <c r="BZ31" s="529">
        <f t="shared" si="38"/>
        <v>3.1778000171579457</v>
      </c>
      <c r="CA31" s="589">
        <f t="shared" si="39"/>
        <v>3.2</v>
      </c>
      <c r="CB31" s="565">
        <f t="shared" si="22"/>
        <v>1.8961010950617319</v>
      </c>
      <c r="CC31" s="566" t="str">
        <f t="shared" si="40"/>
        <v>OK</v>
      </c>
      <c r="CD31" s="860"/>
      <c r="CE31" s="593">
        <f t="shared" si="23"/>
        <v>1.0652883964464028E-3</v>
      </c>
      <c r="CF31" s="561">
        <v>3.2</v>
      </c>
      <c r="CG31" s="529">
        <f>ABS((J31-L31)/(SQRT(SUMSQ(CE31,'Response calculation'!AB16))))</f>
        <v>0.57920709725660746</v>
      </c>
    </row>
    <row r="32" spans="1:85" s="468" customFormat="1" x14ac:dyDescent="0.35">
      <c r="A32" s="468">
        <v>320</v>
      </c>
      <c r="B32" s="528">
        <v>0.14219999999999999</v>
      </c>
      <c r="C32" s="414">
        <f>_xll.SRS1Splines.Functions25.Cubic_Spline('Temp coeff'!$A$6:$A$23,'Temp coeff'!$B$6:$B$23,A32)</f>
        <v>-2.1999999999999999E-5</v>
      </c>
      <c r="D32" s="528">
        <f t="shared" si="46"/>
        <v>0.1421937432</v>
      </c>
      <c r="E32" s="591">
        <f t="shared" si="47"/>
        <v>4.400193608513822E-3</v>
      </c>
      <c r="F32" s="414">
        <f>-'Response calculation'!Q17</f>
        <v>3.5999564613599997</v>
      </c>
      <c r="G32" s="414">
        <v>3.6750655799999997E-2</v>
      </c>
      <c r="H32" s="529">
        <f>F32/SQRT(SUMSQ('Response calculation'!J17,'Response calculation'!P17))</f>
        <v>97.956250920603125</v>
      </c>
      <c r="I32" s="529">
        <f t="shared" si="24"/>
        <v>1.0208638964863346</v>
      </c>
      <c r="J32" s="531">
        <f t="shared" si="25"/>
        <v>3.4161428735796563E-2</v>
      </c>
      <c r="K32" s="435">
        <v>3.3631000000000001E-2</v>
      </c>
      <c r="L32" s="531">
        <f t="shared" si="0"/>
        <v>3.3573827300000005E-2</v>
      </c>
      <c r="M32" s="532">
        <f>'Response calculation'!W17</f>
        <v>0.86483583760000005</v>
      </c>
      <c r="N32" s="532">
        <v>2.9151968600000001E-3</v>
      </c>
      <c r="O32" s="529">
        <f>M32/SQRT(SUMSQ('Response calculation'!S17,'Response calculation'!V17))</f>
        <v>296.66464181965762</v>
      </c>
      <c r="P32" s="529">
        <f t="shared" si="26"/>
        <v>0.33708095237311758</v>
      </c>
      <c r="Q32" s="529">
        <f t="shared" si="1"/>
        <v>0.33708095237311758</v>
      </c>
      <c r="R32" s="529">
        <v>1.63</v>
      </c>
      <c r="S32" s="440">
        <f t="shared" si="2"/>
        <v>0.81499999999999995</v>
      </c>
      <c r="T32" s="414">
        <f t="shared" si="3"/>
        <v>2.3178599999999997E-3</v>
      </c>
      <c r="U32" s="414">
        <f t="shared" si="4"/>
        <v>1.1589299999999999E-3</v>
      </c>
      <c r="V32" s="414">
        <f t="shared" si="5"/>
        <v>0.24023508253021494</v>
      </c>
      <c r="W32" s="414">
        <f t="shared" si="27"/>
        <v>2.7841564419674197E-4</v>
      </c>
      <c r="X32" s="414">
        <f t="shared" si="6"/>
        <v>0.19579159226212517</v>
      </c>
      <c r="Y32" s="414">
        <f>'Drift is STD'!B15</f>
        <v>-8.3730893433799775E-2</v>
      </c>
      <c r="Z32" s="440">
        <f>'Drift is STD'!C15</f>
        <v>3.1333600000000003E-2</v>
      </c>
      <c r="AA32" s="440">
        <f t="shared" si="41"/>
        <v>9.9640848000000018E-2</v>
      </c>
      <c r="AB32" s="440">
        <f t="shared" si="7"/>
        <v>8.9401661081784906E-2</v>
      </c>
      <c r="AC32" s="440">
        <v>4.1000000000000002E-2</v>
      </c>
      <c r="AD32" s="440">
        <v>0.01</v>
      </c>
      <c r="AE32" s="440">
        <v>5.0000000000000001E-3</v>
      </c>
      <c r="AF32" s="440">
        <v>0.02</v>
      </c>
      <c r="AG32" s="440">
        <f>'Wavelength Uc'!Y16</f>
        <v>3.1184524420187931E-2</v>
      </c>
      <c r="AH32" s="440">
        <v>0.21695643531694911</v>
      </c>
      <c r="AI32" s="440">
        <f t="shared" si="8"/>
        <v>6.0266405342854289E-2</v>
      </c>
      <c r="AJ32" s="440">
        <v>0.02</v>
      </c>
      <c r="AK32" s="440">
        <f t="shared" si="9"/>
        <v>-0.05</v>
      </c>
      <c r="AL32" s="440">
        <v>0.02</v>
      </c>
      <c r="AM32" s="440">
        <f t="shared" si="10"/>
        <v>0.02</v>
      </c>
      <c r="AN32" s="661">
        <f t="shared" si="43"/>
        <v>1.6666868236882252E-4</v>
      </c>
      <c r="AO32" s="414">
        <f t="shared" si="11"/>
        <v>8.3334341184411261E-5</v>
      </c>
      <c r="AP32" s="414">
        <f t="shared" si="44"/>
        <v>7.7999129227199996E-5</v>
      </c>
      <c r="AQ32" s="414">
        <f t="shared" si="12"/>
        <v>4.5032818255880328E-5</v>
      </c>
      <c r="AR32" s="440">
        <f t="shared" si="13"/>
        <v>9.4723635596967101E-5</v>
      </c>
      <c r="AS32" s="440">
        <v>8.5999999999999993E-2</v>
      </c>
      <c r="AT32" s="440">
        <v>0</v>
      </c>
      <c r="AU32" s="440">
        <v>1.5299999999999999E-3</v>
      </c>
      <c r="AV32" s="440">
        <f>'Response calculation'!N17*100/'Response calculation'!G17</f>
        <v>0.2623665817437546</v>
      </c>
      <c r="AW32" s="440">
        <f>-'Response calculation'!K17</f>
        <v>1.0181854906867902</v>
      </c>
      <c r="AX32" s="440">
        <v>1E-8</v>
      </c>
      <c r="AY32" s="440">
        <f t="shared" si="29"/>
        <v>5.0000000000000001E-9</v>
      </c>
      <c r="AZ32" s="440">
        <f t="shared" si="14"/>
        <v>2.8867513459481292E-9</v>
      </c>
      <c r="BA32" s="440">
        <f>AZ32/-'Response calculation'!G17*100</f>
        <v>7.9978119347327354E-8</v>
      </c>
      <c r="BB32" s="686">
        <f t="shared" si="15"/>
        <v>1.3558401428363553</v>
      </c>
      <c r="BC32" s="561">
        <f t="shared" si="45"/>
        <v>2.7116802856727107</v>
      </c>
      <c r="BD32" s="529"/>
      <c r="BE32" s="551">
        <v>1E-3</v>
      </c>
      <c r="BF32" s="552">
        <f t="shared" si="31"/>
        <v>5.773502691896258E-4</v>
      </c>
      <c r="BG32" s="553">
        <v>1.24E-3</v>
      </c>
      <c r="BH32" s="448">
        <f>'Temp coeff'!E18</f>
        <v>-0.1</v>
      </c>
      <c r="BI32" s="543">
        <f t="shared" si="16"/>
        <v>-0.16999999999999993</v>
      </c>
      <c r="BJ32" s="442">
        <v>1.6000000000000001E-4</v>
      </c>
      <c r="BK32" s="554">
        <f t="shared" si="17"/>
        <v>9.2376043070340139E-5</v>
      </c>
      <c r="BL32" s="543">
        <v>0.02</v>
      </c>
      <c r="BM32" s="586">
        <f t="shared" si="48"/>
        <v>6.9377328495666402E-4</v>
      </c>
      <c r="BN32" s="414">
        <f t="shared" si="32"/>
        <v>3.4688664247833201E-4</v>
      </c>
      <c r="BO32" s="414">
        <f t="shared" si="49"/>
        <v>2.3296716752000002E-5</v>
      </c>
      <c r="BP32" s="414">
        <f t="shared" si="34"/>
        <v>1.3450365688001666E-5</v>
      </c>
      <c r="BQ32" s="440">
        <f t="shared" si="35"/>
        <v>3.4714731032665528E-4</v>
      </c>
      <c r="BR32" s="563">
        <f>'Response calculation'!T17</f>
        <v>0.34243436771995445</v>
      </c>
      <c r="BS32" s="439">
        <v>1.0000000000000001E-9</v>
      </c>
      <c r="BT32" s="440">
        <f t="shared" si="36"/>
        <v>5.0000000000000003E-10</v>
      </c>
      <c r="BU32" s="440">
        <f t="shared" si="19"/>
        <v>2.8867513459481294E-10</v>
      </c>
      <c r="BV32" s="546">
        <f>BU32/'Response calculation'!R17*100</f>
        <v>3.3909300791249997E-8</v>
      </c>
      <c r="BW32" s="438">
        <f t="shared" si="20"/>
        <v>1.3558401428363553</v>
      </c>
      <c r="BX32" s="588">
        <f t="shared" si="37"/>
        <v>2.7116802856727107</v>
      </c>
      <c r="BY32" s="438">
        <f t="shared" si="21"/>
        <v>1.4088526498893332</v>
      </c>
      <c r="BZ32" s="529">
        <f t="shared" si="38"/>
        <v>2.8177052997786665</v>
      </c>
      <c r="CA32" s="589">
        <f t="shared" si="39"/>
        <v>2.9</v>
      </c>
      <c r="CB32" s="565">
        <f t="shared" si="22"/>
        <v>1.7501770964210523</v>
      </c>
      <c r="CC32" s="566" t="str">
        <f t="shared" si="40"/>
        <v>OK</v>
      </c>
      <c r="CD32" s="860"/>
      <c r="CE32" s="528">
        <f t="shared" si="23"/>
        <v>9.906814333381002E-4</v>
      </c>
      <c r="CF32" s="561">
        <v>2.8000000000000003</v>
      </c>
      <c r="CG32" s="529">
        <f>ABS((J32-L32)/(SQRT(SUMSQ(CE32,'Response calculation'!AB17))))</f>
        <v>0.59036320866150171</v>
      </c>
    </row>
    <row r="33" spans="1:85" s="468" customFormat="1" x14ac:dyDescent="0.35">
      <c r="A33" s="468">
        <v>330</v>
      </c>
      <c r="B33" s="528">
        <v>0.14549999999999999</v>
      </c>
      <c r="C33" s="414">
        <f>_xll.SRS1Splines.Functions25.Cubic_Spline('Temp coeff'!$A$6:$A$23,'Temp coeff'!$B$6:$B$23,A33)</f>
        <v>2.07946017588136E-5</v>
      </c>
      <c r="D33" s="528">
        <f t="shared" si="46"/>
        <v>0.14550605122911181</v>
      </c>
      <c r="E33" s="591">
        <f t="shared" si="47"/>
        <v>4.1587473927744666E-3</v>
      </c>
      <c r="F33" s="414">
        <f>-'Response calculation'!Q18</f>
        <v>4.0233954981100002</v>
      </c>
      <c r="G33" s="414">
        <v>4.15534761E-2</v>
      </c>
      <c r="H33" s="529">
        <f>F33/SQRT(SUMSQ('Response calculation'!J18,'Response calculation'!P18))</f>
        <v>96.824522881694023</v>
      </c>
      <c r="I33" s="529">
        <f t="shared" si="24"/>
        <v>1.0327962072396264</v>
      </c>
      <c r="J33" s="662">
        <f t="shared" si="25"/>
        <v>3.4929580482832692E-2</v>
      </c>
      <c r="K33" s="435">
        <v>3.4394000000000001E-2</v>
      </c>
      <c r="L33" s="531">
        <f t="shared" si="0"/>
        <v>3.434137718E-2</v>
      </c>
      <c r="M33" s="532">
        <f>'Response calculation'!W18</f>
        <v>0.96587984099999991</v>
      </c>
      <c r="N33" s="532">
        <v>3.56519167E-3</v>
      </c>
      <c r="O33" s="529">
        <f>M33/SQRT(SUMSQ('Response calculation'!S18,'Response calculation'!V18))</f>
        <v>270.91946771964098</v>
      </c>
      <c r="P33" s="529">
        <f t="shared" si="26"/>
        <v>0.36911337838403058</v>
      </c>
      <c r="Q33" s="529">
        <f t="shared" si="1"/>
        <v>0.36911337838403058</v>
      </c>
      <c r="R33" s="529">
        <v>1.63</v>
      </c>
      <c r="S33" s="440">
        <f t="shared" si="2"/>
        <v>0.81499999999999995</v>
      </c>
      <c r="T33" s="414">
        <f t="shared" si="3"/>
        <v>2.3716499999999995E-3</v>
      </c>
      <c r="U33" s="414">
        <f t="shared" si="4"/>
        <v>1.1858249999999997E-3</v>
      </c>
      <c r="V33" s="414">
        <f t="shared" si="5"/>
        <v>0.24006584524283639</v>
      </c>
      <c r="W33" s="414">
        <f t="shared" si="27"/>
        <v>2.8467608093508642E-4</v>
      </c>
      <c r="X33" s="414">
        <f t="shared" si="6"/>
        <v>0.19565366387291164</v>
      </c>
      <c r="Y33" s="414">
        <f>'Drift is STD'!B16</f>
        <v>-0.10670233196159122</v>
      </c>
      <c r="Z33" s="440">
        <f>'Drift is STD'!C16</f>
        <v>2.9852100000000006E-2</v>
      </c>
      <c r="AA33" s="440">
        <f t="shared" si="41"/>
        <v>9.4929678000000031E-2</v>
      </c>
      <c r="AB33" s="440">
        <f t="shared" si="7"/>
        <v>0.11079952852089044</v>
      </c>
      <c r="AC33" s="440">
        <v>4.1000000000000002E-2</v>
      </c>
      <c r="AD33" s="440">
        <v>0.01</v>
      </c>
      <c r="AE33" s="440">
        <v>5.0000000000000001E-3</v>
      </c>
      <c r="AF33" s="440">
        <v>0.02</v>
      </c>
      <c r="AG33" s="440">
        <f>'Wavelength Uc'!Y17</f>
        <v>3.5247737315514845E-2</v>
      </c>
      <c r="AH33" s="440">
        <v>0.21695643531694911</v>
      </c>
      <c r="AI33" s="440">
        <f t="shared" si="8"/>
        <v>5.3923715781574275E-2</v>
      </c>
      <c r="AJ33" s="440">
        <v>0.02</v>
      </c>
      <c r="AK33" s="440">
        <f t="shared" si="9"/>
        <v>-0.05</v>
      </c>
      <c r="AL33" s="440">
        <v>0.02</v>
      </c>
      <c r="AM33" s="440">
        <f t="shared" si="10"/>
        <v>0.02</v>
      </c>
      <c r="AN33" s="661">
        <f t="shared" si="43"/>
        <v>1.4912777038246711E-4</v>
      </c>
      <c r="AO33" s="414">
        <f t="shared" si="11"/>
        <v>7.4563885191233556E-5</v>
      </c>
      <c r="AP33" s="414">
        <f t="shared" si="44"/>
        <v>8.6467909962200003E-5</v>
      </c>
      <c r="AQ33" s="414">
        <f t="shared" si="12"/>
        <v>4.9922271092940496E-5</v>
      </c>
      <c r="AR33" s="440">
        <f t="shared" si="13"/>
        <v>8.9732971230693689E-5</v>
      </c>
      <c r="AS33" s="440">
        <v>8.5999999999999993E-2</v>
      </c>
      <c r="AT33" s="440">
        <v>0</v>
      </c>
      <c r="AU33" s="440">
        <v>1.5299999999999999E-3</v>
      </c>
      <c r="AV33" s="440">
        <f>'Response calculation'!N18*100/'Response calculation'!G18</f>
        <v>0.23479667664413215</v>
      </c>
      <c r="AW33" s="440">
        <f>-'Response calculation'!K18</f>
        <v>1.0303712359016433</v>
      </c>
      <c r="AX33" s="440">
        <v>1E-8</v>
      </c>
      <c r="AY33" s="440">
        <f t="shared" si="29"/>
        <v>5.0000000000000001E-9</v>
      </c>
      <c r="AZ33" s="440">
        <f t="shared" si="14"/>
        <v>2.8867513459481292E-9</v>
      </c>
      <c r="BA33" s="440">
        <f>AZ33/-'Response calculation'!G18*100</f>
        <v>7.1580667400899007E-8</v>
      </c>
      <c r="BB33" s="686">
        <f t="shared" si="15"/>
        <v>1.3616580868266352</v>
      </c>
      <c r="BC33" s="561">
        <f t="shared" si="45"/>
        <v>2.7233161736532705</v>
      </c>
      <c r="BD33" s="529"/>
      <c r="BE33" s="551">
        <v>1E-3</v>
      </c>
      <c r="BF33" s="552">
        <f t="shared" si="31"/>
        <v>5.773502691896258E-4</v>
      </c>
      <c r="BG33" s="553">
        <v>1.24E-3</v>
      </c>
      <c r="BH33" s="448">
        <f>'Temp coeff'!E19</f>
        <v>-0.09</v>
      </c>
      <c r="BI33" s="543">
        <f t="shared" si="16"/>
        <v>-0.15299999999999994</v>
      </c>
      <c r="BJ33" s="442">
        <v>1.4999999999999999E-4</v>
      </c>
      <c r="BK33" s="554">
        <f t="shared" si="17"/>
        <v>8.6602540378443864E-5</v>
      </c>
      <c r="BL33" s="543">
        <v>0.02</v>
      </c>
      <c r="BM33" s="586">
        <f t="shared" si="48"/>
        <v>6.2119528178453836E-4</v>
      </c>
      <c r="BN33" s="414">
        <f t="shared" si="32"/>
        <v>3.1059764089226918E-4</v>
      </c>
      <c r="BO33" s="414">
        <f t="shared" si="49"/>
        <v>2.5317596820000001E-5</v>
      </c>
      <c r="BP33" s="414">
        <f t="shared" si="34"/>
        <v>1.4617121339261415E-5</v>
      </c>
      <c r="BQ33" s="440">
        <f t="shared" si="35"/>
        <v>3.1094140085245915E-4</v>
      </c>
      <c r="BR33" s="563">
        <f>'Response calculation'!T18</f>
        <v>0.37435376953417465</v>
      </c>
      <c r="BS33" s="439">
        <v>1.0000000000000001E-9</v>
      </c>
      <c r="BT33" s="440">
        <f t="shared" si="36"/>
        <v>5.0000000000000003E-10</v>
      </c>
      <c r="BU33" s="440">
        <f t="shared" si="19"/>
        <v>2.8867513459481294E-10</v>
      </c>
      <c r="BV33" s="546">
        <f>BU33/'Response calculation'!R18*100</f>
        <v>3.031158905584267E-8</v>
      </c>
      <c r="BW33" s="438">
        <f t="shared" si="20"/>
        <v>1.3616580868266352</v>
      </c>
      <c r="BX33" s="588">
        <f t="shared" si="37"/>
        <v>2.7233161736532705</v>
      </c>
      <c r="BY33" s="438">
        <f t="shared" si="21"/>
        <v>1.4205859584350069</v>
      </c>
      <c r="BZ33" s="529">
        <f t="shared" si="38"/>
        <v>2.8411719168700138</v>
      </c>
      <c r="CA33" s="589">
        <f t="shared" si="39"/>
        <v>2.9</v>
      </c>
      <c r="CB33" s="565">
        <f t="shared" si="22"/>
        <v>1.7128122141101969</v>
      </c>
      <c r="CC33" s="566" t="str">
        <f t="shared" si="40"/>
        <v>OK</v>
      </c>
      <c r="CD33" s="860"/>
      <c r="CE33" s="593">
        <f t="shared" si="23"/>
        <v>1.012957834002148E-3</v>
      </c>
      <c r="CF33" s="561">
        <v>2.9</v>
      </c>
      <c r="CG33" s="529">
        <f>ABS((J33-L33)/(SQRT(SUMSQ(CE33,'Response calculation'!AB18))))</f>
        <v>0.5784505374975597</v>
      </c>
    </row>
    <row r="34" spans="1:85" s="468" customFormat="1" x14ac:dyDescent="0.35">
      <c r="A34" s="468">
        <v>340</v>
      </c>
      <c r="B34" s="528">
        <v>0.14779999999999999</v>
      </c>
      <c r="C34" s="414">
        <f>_xll.SRS1Splines.Functions25.Cubic_Spline('Temp coeff'!$A$6:$A$23,'Temp coeff'!$B$6:$B$23,A34)</f>
        <v>5.3000000000000001E-5</v>
      </c>
      <c r="D34" s="528">
        <f t="shared" si="46"/>
        <v>0.14781566679999997</v>
      </c>
      <c r="E34" s="591">
        <f t="shared" si="47"/>
        <v>1.0598876519075746E-2</v>
      </c>
      <c r="F34" s="414">
        <f>-'Response calculation'!Q19</f>
        <v>4.4139859697999997</v>
      </c>
      <c r="G34" s="414">
        <v>4.44887224E-2</v>
      </c>
      <c r="H34" s="529">
        <f>F34/SQRT(SUMSQ('Response calculation'!J19,'Response calculation'!P19))</f>
        <v>99.215840129855124</v>
      </c>
      <c r="I34" s="529">
        <f t="shared" si="24"/>
        <v>1.0079035753677896</v>
      </c>
      <c r="J34" s="662">
        <f t="shared" si="25"/>
        <v>3.5788897656210218E-2</v>
      </c>
      <c r="K34" s="435">
        <v>3.5340000000000003E-2</v>
      </c>
      <c r="L34" s="531">
        <f t="shared" si="0"/>
        <v>3.5285929800000004E-2</v>
      </c>
      <c r="M34" s="532">
        <f>'Response calculation'!W19</f>
        <v>1.0688206504</v>
      </c>
      <c r="N34" s="532">
        <v>6.0864214799999997E-3</v>
      </c>
      <c r="O34" s="529">
        <f>M34/SQRT(SUMSQ('Response calculation'!S19,'Response calculation'!V19))</f>
        <v>175.60739876222686</v>
      </c>
      <c r="P34" s="529">
        <f t="shared" si="26"/>
        <v>0.56945208860704333</v>
      </c>
      <c r="Q34" s="529">
        <f t="shared" si="1"/>
        <v>0.56945208860704333</v>
      </c>
      <c r="R34" s="529">
        <v>1.63</v>
      </c>
      <c r="S34" s="440">
        <f t="shared" si="2"/>
        <v>0.81499999999999995</v>
      </c>
      <c r="T34" s="414">
        <f t="shared" si="3"/>
        <v>2.4091399999999997E-3</v>
      </c>
      <c r="U34" s="414">
        <f t="shared" si="4"/>
        <v>1.2045699999999999E-3</v>
      </c>
      <c r="V34" s="414">
        <f t="shared" si="5"/>
        <v>0.24214409780927076</v>
      </c>
      <c r="W34" s="414">
        <f t="shared" si="27"/>
        <v>2.9167951589811328E-4</v>
      </c>
      <c r="X34" s="414">
        <f t="shared" si="6"/>
        <v>0.19734743971455571</v>
      </c>
      <c r="Y34" s="414">
        <f>'Drift is STD'!B17</f>
        <v>-0.1343454231433506</v>
      </c>
      <c r="Z34" s="440">
        <f>'Drift is STD'!C17</f>
        <v>2.8408400000000014E-2</v>
      </c>
      <c r="AA34" s="440">
        <f t="shared" si="41"/>
        <v>9.0338712000000043E-2</v>
      </c>
      <c r="AB34" s="440">
        <f t="shared" si="7"/>
        <v>0.13731616769385141</v>
      </c>
      <c r="AC34" s="440">
        <v>4.1000000000000002E-2</v>
      </c>
      <c r="AD34" s="440">
        <v>0.01</v>
      </c>
      <c r="AE34" s="440">
        <v>5.0000000000000001E-3</v>
      </c>
      <c r="AF34" s="440">
        <v>0.02</v>
      </c>
      <c r="AG34" s="440">
        <f>'Wavelength Uc'!Y18</f>
        <v>3.7258370240166136E-2</v>
      </c>
      <c r="AH34" s="440">
        <v>0.21695643531694911</v>
      </c>
      <c r="AI34" s="440">
        <f t="shared" si="8"/>
        <v>4.9152044614853986E-2</v>
      </c>
      <c r="AJ34" s="440">
        <v>0.02</v>
      </c>
      <c r="AK34" s="440">
        <f t="shared" si="9"/>
        <v>-0.05</v>
      </c>
      <c r="AL34" s="440">
        <v>0.02</v>
      </c>
      <c r="AM34" s="440">
        <f t="shared" si="10"/>
        <v>0.02</v>
      </c>
      <c r="AN34" s="661">
        <f t="shared" si="43"/>
        <v>1.3593156029609817E-4</v>
      </c>
      <c r="AO34" s="414">
        <f t="shared" si="11"/>
        <v>6.7965780148049085E-5</v>
      </c>
      <c r="AP34" s="414">
        <f t="shared" si="44"/>
        <v>9.4279719396000002E-5</v>
      </c>
      <c r="AQ34" s="414">
        <f t="shared" si="12"/>
        <v>5.4432421372402984E-5</v>
      </c>
      <c r="AR34" s="440">
        <f t="shared" si="13"/>
        <v>8.7076034404397264E-5</v>
      </c>
      <c r="AS34" s="440">
        <v>8.5999999999999993E-2</v>
      </c>
      <c r="AT34" s="440">
        <v>0</v>
      </c>
      <c r="AU34" s="440">
        <v>1.5299999999999999E-3</v>
      </c>
      <c r="AV34" s="440">
        <f>'Response calculation'!N19*100/'Response calculation'!G19</f>
        <v>0.21402825626233962</v>
      </c>
      <c r="AW34" s="440">
        <f>-'Response calculation'!K19</f>
        <v>1.0057463767884469</v>
      </c>
      <c r="AX34" s="440">
        <v>1E-8</v>
      </c>
      <c r="AY34" s="440">
        <f t="shared" si="29"/>
        <v>5.0000000000000001E-9</v>
      </c>
      <c r="AZ34" s="440">
        <f t="shared" si="14"/>
        <v>2.8867513459481292E-9</v>
      </c>
      <c r="BA34" s="440">
        <f>AZ34/-'Response calculation'!G19*100</f>
        <v>6.5260127741418435E-8</v>
      </c>
      <c r="BB34" s="686">
        <f t="shared" si="15"/>
        <v>1.3421539510326461</v>
      </c>
      <c r="BC34" s="561">
        <f t="shared" si="45"/>
        <v>2.6843079020652922</v>
      </c>
      <c r="BD34" s="529"/>
      <c r="BE34" s="551">
        <v>2E-3</v>
      </c>
      <c r="BF34" s="552">
        <f t="shared" si="31"/>
        <v>1.1547005383792516E-3</v>
      </c>
      <c r="BG34" s="553">
        <v>1.24E-3</v>
      </c>
      <c r="BH34" s="448">
        <f>'Temp coeff'!E20</f>
        <v>-0.09</v>
      </c>
      <c r="BI34" s="543">
        <f t="shared" si="16"/>
        <v>-0.15299999999999994</v>
      </c>
      <c r="BJ34" s="442">
        <v>1.4999999999999999E-4</v>
      </c>
      <c r="BK34" s="554">
        <f t="shared" si="17"/>
        <v>8.6602540378443864E-5</v>
      </c>
      <c r="BL34" s="543">
        <v>0.02</v>
      </c>
      <c r="BM34" s="586">
        <f t="shared" si="48"/>
        <v>5.6136639928827485E-4</v>
      </c>
      <c r="BN34" s="414">
        <f t="shared" si="32"/>
        <v>2.8068319964413743E-4</v>
      </c>
      <c r="BO34" s="414">
        <f t="shared" si="49"/>
        <v>2.7376413008000002E-5</v>
      </c>
      <c r="BP34" s="414">
        <f t="shared" si="34"/>
        <v>1.5805779419615175E-5</v>
      </c>
      <c r="BQ34" s="440">
        <f t="shared" si="35"/>
        <v>2.811278734411304E-4</v>
      </c>
      <c r="BR34" s="563">
        <f>'Response calculation'!T19</f>
        <v>0.5767485856376805</v>
      </c>
      <c r="BS34" s="439">
        <v>9.9999999999999995E-8</v>
      </c>
      <c r="BT34" s="440">
        <f t="shared" si="36"/>
        <v>4.9999999999999998E-8</v>
      </c>
      <c r="BU34" s="440">
        <f t="shared" si="19"/>
        <v>2.8867513459481289E-8</v>
      </c>
      <c r="BV34" s="546">
        <f>BU34/'Response calculation'!R19*100</f>
        <v>2.7354821898782694E-6</v>
      </c>
      <c r="BW34" s="438">
        <f t="shared" si="20"/>
        <v>1.3421539510326461</v>
      </c>
      <c r="BX34" s="588">
        <f t="shared" si="37"/>
        <v>2.6843079020652922</v>
      </c>
      <c r="BY34" s="438">
        <f t="shared" si="21"/>
        <v>1.4689547701618677</v>
      </c>
      <c r="BZ34" s="529">
        <f t="shared" si="38"/>
        <v>2.9379095403237354</v>
      </c>
      <c r="CA34" s="589">
        <f t="shared" si="39"/>
        <v>3</v>
      </c>
      <c r="CB34" s="565">
        <f t="shared" si="22"/>
        <v>1.4254062711710485</v>
      </c>
      <c r="CC34" s="566" t="str">
        <f t="shared" si="40"/>
        <v>OK</v>
      </c>
      <c r="CD34" s="860"/>
      <c r="CE34" s="593">
        <f t="shared" si="23"/>
        <v>1.0736669296863065E-3</v>
      </c>
      <c r="CF34" s="561">
        <v>3</v>
      </c>
      <c r="CG34" s="529">
        <f>ABS((J34-L34)/(SQRT(SUMSQ(CE34,'Response calculation'!AB19))))</f>
        <v>0.46682078123072429</v>
      </c>
    </row>
    <row r="35" spans="1:85" s="468" customFormat="1" x14ac:dyDescent="0.35">
      <c r="A35" s="468">
        <v>350</v>
      </c>
      <c r="B35" s="528">
        <v>0.14810000000000001</v>
      </c>
      <c r="C35" s="414">
        <f>_xll.SRS1Splines.Functions25.Cubic_Spline('Temp coeff'!$A$6:$A$23,'Temp coeff'!$B$6:$B$23,A35)</f>
        <v>5.8586460217683303E-5</v>
      </c>
      <c r="D35" s="528">
        <f t="shared" si="46"/>
        <v>0.1481173533095165</v>
      </c>
      <c r="E35" s="591">
        <f t="shared" si="47"/>
        <v>1.171591925507256E-2</v>
      </c>
      <c r="F35" s="414">
        <f>-'Response calculation'!Q20</f>
        <v>4.6851362005099997</v>
      </c>
      <c r="G35" s="414">
        <v>4.8847433000000003E-2</v>
      </c>
      <c r="H35" s="529">
        <f>F35/SQRT(SUMSQ('Response calculation'!J20,'Response calculation'!P20))</f>
        <v>95.91366244799859</v>
      </c>
      <c r="I35" s="529">
        <f t="shared" si="24"/>
        <v>1.0426043323516803</v>
      </c>
      <c r="J35" s="662">
        <f t="shared" si="25"/>
        <v>3.6379979095336919E-2</v>
      </c>
      <c r="K35" s="435">
        <v>3.5982E-2</v>
      </c>
      <c r="L35" s="531">
        <f t="shared" si="0"/>
        <v>3.5933064479999999E-2</v>
      </c>
      <c r="M35" s="532">
        <f>'Response calculation'!W20</f>
        <v>1.1508788456000001</v>
      </c>
      <c r="N35" s="532">
        <v>5.9385790500000001E-3</v>
      </c>
      <c r="O35" s="529">
        <f>M35/SQRT(SUMSQ('Response calculation'!S20,'Response calculation'!V20))</f>
        <v>193.79700608258875</v>
      </c>
      <c r="P35" s="529">
        <f t="shared" si="26"/>
        <v>0.51600384351337136</v>
      </c>
      <c r="Q35" s="529">
        <f t="shared" si="1"/>
        <v>0.51600384351337136</v>
      </c>
      <c r="R35" s="529">
        <v>1.63</v>
      </c>
      <c r="S35" s="440">
        <f t="shared" si="2"/>
        <v>0.81499999999999995</v>
      </c>
      <c r="T35" s="414">
        <f t="shared" si="3"/>
        <v>2.4140300000000002E-3</v>
      </c>
      <c r="U35" s="414">
        <f t="shared" si="4"/>
        <v>1.2070150000000001E-3</v>
      </c>
      <c r="V35" s="414">
        <f t="shared" si="5"/>
        <v>0.24564469341888531</v>
      </c>
      <c r="W35" s="414">
        <f t="shared" si="27"/>
        <v>2.9649682962699589E-4</v>
      </c>
      <c r="X35" s="414">
        <f t="shared" si="6"/>
        <v>0.20020042513639155</v>
      </c>
      <c r="Y35" s="414">
        <f>'Drift is STD'!B18</f>
        <v>-0.16239248434237996</v>
      </c>
      <c r="Z35" s="440">
        <f>'Drift is STD'!C18</f>
        <v>2.7002500000000013E-2</v>
      </c>
      <c r="AA35" s="440">
        <f t="shared" si="41"/>
        <v>8.586795000000004E-2</v>
      </c>
      <c r="AB35" s="440">
        <f t="shared" si="7"/>
        <v>0.16462215518313481</v>
      </c>
      <c r="AC35" s="440">
        <v>4.1000000000000002E-2</v>
      </c>
      <c r="AD35" s="440">
        <v>0.01</v>
      </c>
      <c r="AE35" s="440">
        <v>5.0000000000000001E-3</v>
      </c>
      <c r="AF35" s="440">
        <v>0.02</v>
      </c>
      <c r="AG35" s="440">
        <f>'Wavelength Uc'!Y19</f>
        <v>1.6218642227621014E-2</v>
      </c>
      <c r="AH35" s="440">
        <v>0.21695643531694911</v>
      </c>
      <c r="AI35" s="440">
        <f t="shared" si="8"/>
        <v>4.6307391297041131E-2</v>
      </c>
      <c r="AJ35" s="440">
        <v>0.02</v>
      </c>
      <c r="AK35" s="440">
        <f t="shared" si="9"/>
        <v>-0.05</v>
      </c>
      <c r="AL35" s="440">
        <v>0.02</v>
      </c>
      <c r="AM35" s="440">
        <f t="shared" si="10"/>
        <v>0.02</v>
      </c>
      <c r="AN35" s="663">
        <f t="shared" ref="AN35:AN40" si="50">$AO$9*100/F35</f>
        <v>8.5376386700659434E-4</v>
      </c>
      <c r="AO35" s="414">
        <f t="shared" si="11"/>
        <v>4.2688193350329717E-4</v>
      </c>
      <c r="AP35" s="414">
        <f>($AQ$6*F35)+($AR$6*$AN$9)</f>
        <v>1.1027704300764999E-4</v>
      </c>
      <c r="AQ35" s="414">
        <f t="shared" si="12"/>
        <v>6.366848046590266E-5</v>
      </c>
      <c r="AR35" s="440">
        <f t="shared" si="13"/>
        <v>4.3160382361182861E-4</v>
      </c>
      <c r="AS35" s="440">
        <v>8.5999999999999993E-2</v>
      </c>
      <c r="AT35" s="440">
        <v>0</v>
      </c>
      <c r="AU35" s="440">
        <v>1.5299999999999999E-3</v>
      </c>
      <c r="AV35" s="440">
        <f>'Response calculation'!N20*100/'Response calculation'!G20</f>
        <v>0.20166791650237076</v>
      </c>
      <c r="AW35" s="440">
        <f>-'Response calculation'!K20</f>
        <v>1.0405017338513542</v>
      </c>
      <c r="AX35" s="440">
        <v>1E-8</v>
      </c>
      <c r="AY35" s="440">
        <f t="shared" si="29"/>
        <v>5.0000000000000001E-9</v>
      </c>
      <c r="AZ35" s="440">
        <f t="shared" si="14"/>
        <v>2.8867513459481292E-9</v>
      </c>
      <c r="BA35" s="440">
        <f>AZ35/-'Response calculation'!G20*100</f>
        <v>6.1490841917051387E-8</v>
      </c>
      <c r="BB35" s="686">
        <f t="shared" si="15"/>
        <v>1.3691153811984698</v>
      </c>
      <c r="BC35" s="561">
        <f t="shared" si="45"/>
        <v>2.7382307623969395</v>
      </c>
      <c r="BD35" s="529"/>
      <c r="BE35" s="551">
        <v>5.0000000000000001E-3</v>
      </c>
      <c r="BF35" s="552">
        <f t="shared" si="31"/>
        <v>2.886751345948129E-3</v>
      </c>
      <c r="BG35" s="553">
        <v>1.24E-3</v>
      </c>
      <c r="BH35" s="448">
        <f>'Temp coeff'!E21</f>
        <v>-0.08</v>
      </c>
      <c r="BI35" s="543">
        <f t="shared" si="16"/>
        <v>-0.13599999999999995</v>
      </c>
      <c r="BJ35" s="442">
        <v>1.2999999999999999E-4</v>
      </c>
      <c r="BK35" s="554">
        <f t="shared" si="17"/>
        <v>7.5055534994651342E-5</v>
      </c>
      <c r="BL35" s="543">
        <v>0.02</v>
      </c>
      <c r="BM35" s="586">
        <f t="shared" si="48"/>
        <v>5.2134071478844113E-4</v>
      </c>
      <c r="BN35" s="414">
        <f t="shared" si="32"/>
        <v>2.6067035739422056E-4</v>
      </c>
      <c r="BO35" s="414">
        <f t="shared" si="49"/>
        <v>2.9017576912000004E-5</v>
      </c>
      <c r="BP35" s="414">
        <f t="shared" si="34"/>
        <v>1.6753305841373874E-5</v>
      </c>
      <c r="BQ35" s="440">
        <f t="shared" si="35"/>
        <v>2.612081707769596E-4</v>
      </c>
      <c r="BR35" s="563">
        <f>'Response calculation'!T20</f>
        <v>0.52213873037439318</v>
      </c>
      <c r="BS35" s="439">
        <v>1E-8</v>
      </c>
      <c r="BT35" s="440">
        <f t="shared" si="36"/>
        <v>5.0000000000000001E-9</v>
      </c>
      <c r="BU35" s="440">
        <f t="shared" si="19"/>
        <v>2.8867513459481292E-9</v>
      </c>
      <c r="BV35" s="546">
        <f>BU35/'Response calculation'!R20*100</f>
        <v>2.5381234635243708E-7</v>
      </c>
      <c r="BW35" s="438">
        <f t="shared" si="20"/>
        <v>1.3691153811984698</v>
      </c>
      <c r="BX35" s="588">
        <f t="shared" si="37"/>
        <v>2.7382307623969395</v>
      </c>
      <c r="BY35" s="438">
        <f t="shared" si="21"/>
        <v>1.4717376551504191</v>
      </c>
      <c r="BZ35" s="529">
        <f t="shared" si="38"/>
        <v>2.9434753103008382</v>
      </c>
      <c r="CA35" s="589">
        <f t="shared" si="39"/>
        <v>3</v>
      </c>
      <c r="CB35" s="565">
        <f t="shared" si="22"/>
        <v>1.2437420014250897</v>
      </c>
      <c r="CC35" s="566" t="str">
        <f t="shared" si="40"/>
        <v>OK</v>
      </c>
      <c r="CD35" s="860"/>
      <c r="CE35" s="593">
        <f t="shared" si="23"/>
        <v>1.0913993728601074E-3</v>
      </c>
      <c r="CF35" s="561">
        <v>3</v>
      </c>
      <c r="CG35" s="529">
        <f>ABS((J35-L35)/(SQRT(SUMSQ(CE35,'Response calculation'!AB20))))</f>
        <v>0.40804055136703754</v>
      </c>
    </row>
    <row r="36" spans="1:85" s="468" customFormat="1" x14ac:dyDescent="0.35">
      <c r="A36" s="468">
        <v>360</v>
      </c>
      <c r="B36" s="528">
        <v>0.1447</v>
      </c>
      <c r="C36" s="414">
        <f>_xll.SRS1Splines.Functions25.Cubic_Spline('Temp coeff'!$A$6:$A$23,'Temp coeff'!$B$6:$B$23,A36)</f>
        <v>3.6000000000000001E-5</v>
      </c>
      <c r="D36" s="528">
        <f t="shared" si="46"/>
        <v>0.14471041840000001</v>
      </c>
      <c r="E36" s="591">
        <f t="shared" si="47"/>
        <v>7.1994816373341149E-3</v>
      </c>
      <c r="F36" s="414">
        <f>-'Response calculation'!Q21</f>
        <v>4.7681285584599999</v>
      </c>
      <c r="G36" s="414">
        <v>4.9975203500000002E-2</v>
      </c>
      <c r="H36" s="529">
        <f>F36/SQRT(SUMSQ('Response calculation'!J21,'Response calculation'!P21))</f>
        <v>95.409887791846742</v>
      </c>
      <c r="I36" s="529">
        <f t="shared" si="24"/>
        <v>1.0481093974050928</v>
      </c>
      <c r="J36" s="662">
        <f t="shared" si="25"/>
        <v>3.6439405887486523E-2</v>
      </c>
      <c r="K36" s="435">
        <v>3.585E-2</v>
      </c>
      <c r="L36" s="531">
        <f t="shared" si="0"/>
        <v>3.581038575E-2</v>
      </c>
      <c r="M36" s="532">
        <f>'Response calculation'!W21</f>
        <v>1.2007447951999999</v>
      </c>
      <c r="N36" s="532">
        <v>5.8361452499999999E-3</v>
      </c>
      <c r="O36" s="529">
        <f>M36/SQRT(SUMSQ('Response calculation'!S21,'Response calculation'!V21))</f>
        <v>205.74278677158244</v>
      </c>
      <c r="P36" s="529">
        <f t="shared" si="26"/>
        <v>0.48604377129887388</v>
      </c>
      <c r="Q36" s="529">
        <f t="shared" si="1"/>
        <v>0.48604377129887394</v>
      </c>
      <c r="R36" s="529">
        <v>1.63</v>
      </c>
      <c r="S36" s="440">
        <f t="shared" si="2"/>
        <v>0.81499999999999995</v>
      </c>
      <c r="T36" s="414">
        <f t="shared" si="3"/>
        <v>2.3586099999999997E-3</v>
      </c>
      <c r="U36" s="414">
        <f t="shared" si="4"/>
        <v>1.1793049999999998E-3</v>
      </c>
      <c r="V36" s="414">
        <f t="shared" si="5"/>
        <v>0.25182726943667261</v>
      </c>
      <c r="W36" s="414">
        <f t="shared" si="27"/>
        <v>2.9698115798301516E-4</v>
      </c>
      <c r="X36" s="414">
        <f t="shared" si="6"/>
        <v>0.20523922459088817</v>
      </c>
      <c r="Y36" s="414">
        <f>'Drift is STD'!B19</f>
        <v>-0.18131934731934732</v>
      </c>
      <c r="Z36" s="440">
        <f>'Drift is STD'!C19</f>
        <v>2.5634400000000002E-2</v>
      </c>
      <c r="AA36" s="440">
        <f t="shared" si="41"/>
        <v>8.1517392000000008E-2</v>
      </c>
      <c r="AB36" s="440">
        <f t="shared" si="7"/>
        <v>0.18312244039350858</v>
      </c>
      <c r="AC36" s="440">
        <v>4.1000000000000002E-2</v>
      </c>
      <c r="AD36" s="440">
        <v>0.01</v>
      </c>
      <c r="AE36" s="440">
        <v>5.0000000000000001E-3</v>
      </c>
      <c r="AF36" s="440">
        <v>0.02</v>
      </c>
      <c r="AG36" s="440">
        <f>'Wavelength Uc'!Y20</f>
        <v>9.0396589540210404E-2</v>
      </c>
      <c r="AH36" s="440">
        <v>0.21695643531694911</v>
      </c>
      <c r="AI36" s="440">
        <f t="shared" si="8"/>
        <v>4.5501381235203364E-2</v>
      </c>
      <c r="AJ36" s="440">
        <v>0.02</v>
      </c>
      <c r="AK36" s="440">
        <f t="shared" si="9"/>
        <v>-0.05</v>
      </c>
      <c r="AL36" s="440">
        <v>0.02</v>
      </c>
      <c r="AM36" s="440">
        <f t="shared" si="10"/>
        <v>0.02</v>
      </c>
      <c r="AN36" s="663">
        <f t="shared" si="50"/>
        <v>8.3890355533784342E-4</v>
      </c>
      <c r="AO36" s="414">
        <f t="shared" si="11"/>
        <v>4.1945177766892171E-4</v>
      </c>
      <c r="AP36" s="414">
        <f t="shared" ref="AP36:AP40" si="51">($AQ$6*F36)+($AR$6*$AN$9)</f>
        <v>1.1152192837689999E-4</v>
      </c>
      <c r="AQ36" s="414">
        <f t="shared" si="12"/>
        <v>6.4387215368949378E-5</v>
      </c>
      <c r="AR36" s="440">
        <f t="shared" si="13"/>
        <v>4.2436482805787053E-4</v>
      </c>
      <c r="AS36" s="440">
        <v>8.5999999999999993E-2</v>
      </c>
      <c r="AT36" s="440">
        <v>0</v>
      </c>
      <c r="AU36" s="440">
        <v>1.5299999999999999E-3</v>
      </c>
      <c r="AV36" s="440">
        <f>'Response calculation'!N21*100/'Response calculation'!G21</f>
        <v>0.19815472786804045</v>
      </c>
      <c r="AW36" s="440">
        <f>-'Response calculation'!K21</f>
        <v>1.046032519047934</v>
      </c>
      <c r="AX36" s="440">
        <v>1E-8</v>
      </c>
      <c r="AY36" s="440">
        <f t="shared" si="29"/>
        <v>5.0000000000000001E-9</v>
      </c>
      <c r="AZ36" s="440">
        <f t="shared" si="14"/>
        <v>2.8867513459481292E-9</v>
      </c>
      <c r="BA36" s="440">
        <f>AZ36/-'Response calculation'!G21*100</f>
        <v>6.0422681065563545E-8</v>
      </c>
      <c r="BB36" s="686">
        <f t="shared" si="15"/>
        <v>1.3780255129965291</v>
      </c>
      <c r="BC36" s="561">
        <f t="shared" si="45"/>
        <v>2.7560510259930582</v>
      </c>
      <c r="BD36" s="529"/>
      <c r="BE36" s="551">
        <v>1.2999999999999999E-2</v>
      </c>
      <c r="BF36" s="552">
        <f t="shared" si="31"/>
        <v>7.5055534994651349E-3</v>
      </c>
      <c r="BG36" s="553">
        <v>1.24E-3</v>
      </c>
      <c r="BH36" s="448">
        <f>'Temp coeff'!E22</f>
        <v>-6.5000000000000002E-2</v>
      </c>
      <c r="BI36" s="543">
        <f t="shared" si="16"/>
        <v>-0.11049999999999996</v>
      </c>
      <c r="BJ36" s="442">
        <v>1E-4</v>
      </c>
      <c r="BK36" s="554">
        <f t="shared" si="17"/>
        <v>5.7735026918962585E-5</v>
      </c>
      <c r="BL36" s="543">
        <v>0.02</v>
      </c>
      <c r="BM36" s="586">
        <f t="shared" si="48"/>
        <v>4.996898611582673E-4</v>
      </c>
      <c r="BN36" s="414">
        <f t="shared" si="32"/>
        <v>2.4984493057913365E-4</v>
      </c>
      <c r="BO36" s="414">
        <f t="shared" si="49"/>
        <v>3.0014895903999998E-5</v>
      </c>
      <c r="BP36" s="414">
        <f t="shared" si="34"/>
        <v>1.7329108229872997E-5</v>
      </c>
      <c r="BQ36" s="440">
        <f t="shared" si="35"/>
        <v>2.504451782888518E-4</v>
      </c>
      <c r="BR36" s="563">
        <f>'Response calculation'!T21</f>
        <v>0.491580135077401</v>
      </c>
      <c r="BS36" s="439">
        <v>1E-8</v>
      </c>
      <c r="BT36" s="440">
        <f t="shared" si="36"/>
        <v>5.0000000000000001E-9</v>
      </c>
      <c r="BU36" s="440">
        <f t="shared" si="19"/>
        <v>2.8867513459481292E-9</v>
      </c>
      <c r="BV36" s="546">
        <f>BU36/'Response calculation'!R21*100</f>
        <v>2.4315186750639055E-7</v>
      </c>
      <c r="BW36" s="438">
        <f t="shared" si="20"/>
        <v>1.3780255129965291</v>
      </c>
      <c r="BX36" s="588">
        <f t="shared" si="37"/>
        <v>2.7560510259930582</v>
      </c>
      <c r="BY36" s="438">
        <f t="shared" si="21"/>
        <v>1.4674036699768662</v>
      </c>
      <c r="BZ36" s="529">
        <f t="shared" si="38"/>
        <v>2.9348073399537324</v>
      </c>
      <c r="CA36" s="589">
        <f t="shared" si="39"/>
        <v>3</v>
      </c>
      <c r="CB36" s="565">
        <f t="shared" si="22"/>
        <v>1.7565299125171339</v>
      </c>
      <c r="CC36" s="566" t="str">
        <f t="shared" si="40"/>
        <v>OK</v>
      </c>
      <c r="CD36" s="860"/>
      <c r="CE36" s="593">
        <f t="shared" si="23"/>
        <v>1.0931821766245956E-3</v>
      </c>
      <c r="CF36" s="561">
        <v>2.9</v>
      </c>
      <c r="CG36" s="529">
        <f>ABS((J36-L36)/(SQRT(SUMSQ(CE36,'Response calculation'!AB21))))</f>
        <v>0.57301040395548131</v>
      </c>
    </row>
    <row r="37" spans="1:85" s="468" customFormat="1" x14ac:dyDescent="0.35">
      <c r="A37" s="468">
        <v>370</v>
      </c>
      <c r="B37" s="528">
        <v>0.1449</v>
      </c>
      <c r="C37" s="414">
        <f>_xll.SRS1Splines.Functions25.Cubic_Spline('Temp coeff'!$A$6:$A$23,'Temp coeff'!$B$6:$B$23,A37)</f>
        <v>-1.10154426295468E-5</v>
      </c>
      <c r="D37" s="528">
        <f t="shared" si="46"/>
        <v>0.14489680772472596</v>
      </c>
      <c r="E37" s="591">
        <f t="shared" si="47"/>
        <v>2.2031370629665096E-3</v>
      </c>
      <c r="F37" s="414">
        <f>-'Response calculation'!Q22</f>
        <v>4.9339207912100003</v>
      </c>
      <c r="G37" s="414">
        <v>5.3121661399999999E-2</v>
      </c>
      <c r="H37" s="529">
        <f>F37/SQRT(SUMSQ('Response calculation'!J22,'Response calculation'!P22))</f>
        <v>92.879640075134802</v>
      </c>
      <c r="I37" s="529">
        <f t="shared" si="24"/>
        <v>1.0766622256406808</v>
      </c>
      <c r="J37" s="662">
        <f t="shared" si="25"/>
        <v>4.2312001807285289E-2</v>
      </c>
      <c r="K37" s="435">
        <v>4.1169999999999998E-2</v>
      </c>
      <c r="L37" s="531">
        <f t="shared" si="0"/>
        <v>4.1065016499999996E-2</v>
      </c>
      <c r="M37" s="532">
        <f>'Response calculation'!W22</f>
        <v>1.4407457932000001</v>
      </c>
      <c r="N37" s="532">
        <v>9.0547845199999994E-3</v>
      </c>
      <c r="O37" s="529">
        <f>M37/SQRT(SUMSQ('Response calculation'!S22,'Response calculation'!V22))</f>
        <v>159.11430991345696</v>
      </c>
      <c r="P37" s="529">
        <f t="shared" si="26"/>
        <v>0.62847898504157473</v>
      </c>
      <c r="Q37" s="529">
        <f t="shared" si="1"/>
        <v>0.62847898504157473</v>
      </c>
      <c r="R37" s="529">
        <v>1.33</v>
      </c>
      <c r="S37" s="440">
        <f t="shared" si="2"/>
        <v>0.66500000000000004</v>
      </c>
      <c r="T37" s="414">
        <f t="shared" si="3"/>
        <v>1.92717E-3</v>
      </c>
      <c r="U37" s="414">
        <f t="shared" si="4"/>
        <v>9.6358499999999998E-4</v>
      </c>
      <c r="V37" s="414">
        <f t="shared" si="5"/>
        <v>0.29200829404613726</v>
      </c>
      <c r="W37" s="414">
        <f t="shared" si="27"/>
        <v>2.8137481201844715E-4</v>
      </c>
      <c r="X37" s="414">
        <f t="shared" si="6"/>
        <v>0.19418551554068125</v>
      </c>
      <c r="Y37" s="414">
        <f>'Drift is STD'!B20</f>
        <v>-0.18131934731934732</v>
      </c>
      <c r="Z37" s="440">
        <f>'Drift is STD'!C20</f>
        <v>2.4304100000000009E-2</v>
      </c>
      <c r="AA37" s="440">
        <f t="shared" si="41"/>
        <v>7.728703800000003E-2</v>
      </c>
      <c r="AB37" s="440">
        <f t="shared" si="7"/>
        <v>0.18294096039193655</v>
      </c>
      <c r="AC37" s="440">
        <v>4.1000000000000002E-2</v>
      </c>
      <c r="AD37" s="440">
        <v>0.01</v>
      </c>
      <c r="AE37" s="440">
        <v>5.0000000000000001E-3</v>
      </c>
      <c r="AF37" s="440">
        <v>0.02</v>
      </c>
      <c r="AG37" s="440">
        <f>'Wavelength Uc'!Y21</f>
        <v>0.46637634273336609</v>
      </c>
      <c r="AH37" s="440">
        <v>0.21695643531694911</v>
      </c>
      <c r="AI37" s="440">
        <f t="shared" si="8"/>
        <v>4.3972419602573809E-2</v>
      </c>
      <c r="AJ37" s="440">
        <v>0.02</v>
      </c>
      <c r="AK37" s="440">
        <f t="shared" si="9"/>
        <v>-0.05</v>
      </c>
      <c r="AL37" s="440">
        <v>0.02</v>
      </c>
      <c r="AM37" s="440">
        <f t="shared" si="10"/>
        <v>0.02</v>
      </c>
      <c r="AN37" s="663">
        <f t="shared" si="50"/>
        <v>8.1071427152340557E-4</v>
      </c>
      <c r="AO37" s="414">
        <f t="shared" si="11"/>
        <v>4.0535713576170278E-4</v>
      </c>
      <c r="AP37" s="414">
        <f t="shared" si="51"/>
        <v>1.1400881186815E-4</v>
      </c>
      <c r="AQ37" s="414">
        <f t="shared" si="12"/>
        <v>6.5823018222065807E-5</v>
      </c>
      <c r="AR37" s="440">
        <f t="shared" si="13"/>
        <v>4.1066662542845378E-4</v>
      </c>
      <c r="AS37" s="440">
        <v>8.5999999999999993E-2</v>
      </c>
      <c r="AT37" s="440">
        <v>0</v>
      </c>
      <c r="AU37" s="440">
        <v>1.5299999999999999E-3</v>
      </c>
      <c r="AV37" s="440">
        <f>'Response calculation'!N22*100/'Response calculation'!G22</f>
        <v>0.19148792540971271</v>
      </c>
      <c r="AW37" s="440">
        <f>-'Response calculation'!K22</f>
        <v>1.0746005474408782</v>
      </c>
      <c r="AX37" s="440">
        <v>1E-8</v>
      </c>
      <c r="AY37" s="440">
        <f t="shared" si="29"/>
        <v>5.0000000000000001E-9</v>
      </c>
      <c r="AZ37" s="440">
        <f t="shared" si="14"/>
        <v>2.8867513459481292E-9</v>
      </c>
      <c r="BA37" s="440">
        <f>AZ37/-'Response calculation'!G22*100</f>
        <v>5.8396226603740059E-8</v>
      </c>
      <c r="BB37" s="686">
        <f t="shared" si="15"/>
        <v>1.3943485412768728</v>
      </c>
      <c r="BC37" s="561">
        <f t="shared" si="45"/>
        <v>2.7886970825537456</v>
      </c>
      <c r="BD37" s="529"/>
      <c r="BE37" s="551">
        <v>1.2999999999999999E-2</v>
      </c>
      <c r="BF37" s="552">
        <f t="shared" si="31"/>
        <v>7.5055534994651349E-3</v>
      </c>
      <c r="BG37" s="553">
        <v>1.24E-3</v>
      </c>
      <c r="BH37" s="448">
        <f>'Temp coeff'!E23</f>
        <v>-0.15</v>
      </c>
      <c r="BI37" s="543">
        <f t="shared" si="16"/>
        <v>-0.25499999999999989</v>
      </c>
      <c r="BJ37" s="442">
        <v>2.4000000000000001E-4</v>
      </c>
      <c r="BK37" s="554">
        <f t="shared" si="17"/>
        <v>1.3856406460551019E-4</v>
      </c>
      <c r="BL37" s="543">
        <v>0.02</v>
      </c>
      <c r="BM37" s="586">
        <f t="shared" si="48"/>
        <v>4.1645098172895362E-4</v>
      </c>
      <c r="BN37" s="414">
        <f t="shared" si="32"/>
        <v>2.0822549086447681E-4</v>
      </c>
      <c r="BO37" s="414">
        <f t="shared" si="49"/>
        <v>3.4814915864000005E-5</v>
      </c>
      <c r="BP37" s="414">
        <f t="shared" si="34"/>
        <v>2.0100401045894577E-5</v>
      </c>
      <c r="BQ37" s="440">
        <f t="shared" si="35"/>
        <v>2.0919340612925188E-4</v>
      </c>
      <c r="BR37" s="563">
        <f>'Response calculation'!T22</f>
        <v>0.63443401624814721</v>
      </c>
      <c r="BS37" s="439">
        <v>1E-8</v>
      </c>
      <c r="BT37" s="440">
        <f t="shared" si="36"/>
        <v>5.0000000000000001E-9</v>
      </c>
      <c r="BU37" s="440">
        <f t="shared" si="19"/>
        <v>2.8867513459481292E-9</v>
      </c>
      <c r="BV37" s="546">
        <f>BU37/'Response calculation'!R22*100</f>
        <v>2.0226359294076455E-7</v>
      </c>
      <c r="BW37" s="438">
        <f t="shared" si="20"/>
        <v>1.3943485412768728</v>
      </c>
      <c r="BX37" s="588">
        <f t="shared" si="37"/>
        <v>2.7886970825537456</v>
      </c>
      <c r="BY37" s="438">
        <f t="shared" si="21"/>
        <v>1.553125014101876</v>
      </c>
      <c r="BZ37" s="529">
        <f t="shared" si="38"/>
        <v>3.106250028203752</v>
      </c>
      <c r="CA37" s="589">
        <f t="shared" si="39"/>
        <v>3.2</v>
      </c>
      <c r="CB37" s="565">
        <f t="shared" si="22"/>
        <v>3.0366122153763011</v>
      </c>
      <c r="CC37" s="566" t="str">
        <f t="shared" si="40"/>
        <v>OK</v>
      </c>
      <c r="CD37" s="860"/>
      <c r="CE37" s="593">
        <f t="shared" si="23"/>
        <v>1.3539840578331293E-3</v>
      </c>
      <c r="CF37" s="561">
        <v>3.1</v>
      </c>
      <c r="CG37" s="590">
        <f>ABS((J37-L37)/(SQRT(SUMSQ(CE37,'Response calculation'!AB22))))</f>
        <v>0.90445050365433699</v>
      </c>
    </row>
    <row r="38" spans="1:85" s="468" customFormat="1" x14ac:dyDescent="0.35">
      <c r="A38" s="468">
        <v>380</v>
      </c>
      <c r="B38" s="528">
        <v>0.15670000000000001</v>
      </c>
      <c r="C38" s="414">
        <f>_xll.SRS1Splines.Functions25.Cubic_Spline('Temp coeff'!$A$6:$A$23,'Temp coeff'!$B$6:$B$23,A38)</f>
        <v>-7.2000000000000002E-5</v>
      </c>
      <c r="D38" s="528">
        <f t="shared" si="46"/>
        <v>0.15667743519999999</v>
      </c>
      <c r="E38" s="591">
        <f t="shared" si="47"/>
        <v>1.4402073898649941E-2</v>
      </c>
      <c r="F38" s="414">
        <f>-'Response calculation'!Q23</f>
        <v>5.4700131829899998</v>
      </c>
      <c r="G38" s="414">
        <v>5.72370824E-2</v>
      </c>
      <c r="H38" s="529">
        <f>F38/SQRT(SUMSQ('Response calculation'!J23,'Response calculation'!P23))</f>
        <v>95.567645192416293</v>
      </c>
      <c r="I38" s="529">
        <f t="shared" si="24"/>
        <v>1.0463792405751924</v>
      </c>
      <c r="J38" s="662">
        <f t="shared" si="25"/>
        <v>6.1620711042923673E-2</v>
      </c>
      <c r="K38" s="435">
        <v>6.0400000000000002E-2</v>
      </c>
      <c r="L38" s="531">
        <f t="shared" si="0"/>
        <v>6.0194640000000001E-2</v>
      </c>
      <c r="M38" s="532">
        <f>'Response calculation'!W23</f>
        <v>2.1510280902999996</v>
      </c>
      <c r="N38" s="532">
        <v>1.4545376699999999E-2</v>
      </c>
      <c r="O38" s="529">
        <f>M38/SQRT(SUMSQ('Response calculation'!S23,'Response calculation'!V23))</f>
        <v>147.88397261088778</v>
      </c>
      <c r="P38" s="529">
        <f t="shared" si="26"/>
        <v>0.67620579995588792</v>
      </c>
      <c r="Q38" s="529">
        <f t="shared" si="1"/>
        <v>0.67620579995588803</v>
      </c>
      <c r="R38" s="529">
        <v>0.79</v>
      </c>
      <c r="S38" s="440">
        <f t="shared" si="2"/>
        <v>0.39500000000000002</v>
      </c>
      <c r="T38" s="414">
        <f t="shared" si="3"/>
        <v>1.2379300000000002E-3</v>
      </c>
      <c r="U38" s="414">
        <f t="shared" si="4"/>
        <v>6.1896500000000008E-4</v>
      </c>
      <c r="V38" s="414">
        <f t="shared" si="5"/>
        <v>0.39324001941878539</v>
      </c>
      <c r="W38" s="414">
        <f t="shared" si="27"/>
        <v>2.4340180861954854E-4</v>
      </c>
      <c r="X38" s="414">
        <f t="shared" si="6"/>
        <v>0.15532980767042026</v>
      </c>
      <c r="Y38" s="414">
        <f>'Drift is STD'!B21</f>
        <v>-0.16239248434237996</v>
      </c>
      <c r="Z38" s="440">
        <f>'Drift is STD'!C21</f>
        <v>2.3011600000000007E-2</v>
      </c>
      <c r="AA38" s="440">
        <f t="shared" si="41"/>
        <v>7.3176888000000023E-2</v>
      </c>
      <c r="AB38" s="440">
        <f t="shared" si="7"/>
        <v>0.16401479416641085</v>
      </c>
      <c r="AC38" s="440">
        <v>4.1000000000000002E-2</v>
      </c>
      <c r="AD38" s="440">
        <v>0.01</v>
      </c>
      <c r="AE38" s="440">
        <v>5.0000000000000001E-3</v>
      </c>
      <c r="AF38" s="440">
        <v>0.02</v>
      </c>
      <c r="AG38" s="440">
        <f>'Wavelength Uc'!Y22</f>
        <v>0.52947915482249996</v>
      </c>
      <c r="AH38" s="440">
        <v>0.21695643531694911</v>
      </c>
      <c r="AI38" s="440">
        <f t="shared" si="8"/>
        <v>3.9662872475630329E-2</v>
      </c>
      <c r="AJ38" s="440">
        <v>0.02</v>
      </c>
      <c r="AK38" s="440">
        <f t="shared" si="9"/>
        <v>-0.05</v>
      </c>
      <c r="AL38" s="440">
        <v>0.02</v>
      </c>
      <c r="AM38" s="440">
        <f t="shared" si="10"/>
        <v>0.02</v>
      </c>
      <c r="AN38" s="663">
        <f t="shared" si="50"/>
        <v>7.3125966358522263E-4</v>
      </c>
      <c r="AO38" s="414">
        <f t="shared" si="11"/>
        <v>3.6562983179261132E-4</v>
      </c>
      <c r="AP38" s="414">
        <f t="shared" si="51"/>
        <v>1.2205019774484999E-4</v>
      </c>
      <c r="AQ38" s="414">
        <f t="shared" si="12"/>
        <v>7.0465714522636205E-5</v>
      </c>
      <c r="AR38" s="440">
        <f t="shared" si="13"/>
        <v>3.7235814858799438E-4</v>
      </c>
      <c r="AS38" s="440">
        <v>8.5999999999999993E-2</v>
      </c>
      <c r="AT38" s="440">
        <v>0</v>
      </c>
      <c r="AU38" s="440">
        <v>1.5299999999999999E-3</v>
      </c>
      <c r="AV38" s="440">
        <f>'Response calculation'!N23*100/'Response calculation'!G23</f>
        <v>0.17274830691062301</v>
      </c>
      <c r="AW38" s="440">
        <f>-'Response calculation'!K23</f>
        <v>1.0445716380887453</v>
      </c>
      <c r="AX38" s="440">
        <v>1E-8</v>
      </c>
      <c r="AY38" s="440">
        <f t="shared" si="29"/>
        <v>5.0000000000000001E-9</v>
      </c>
      <c r="AZ38" s="440">
        <f t="shared" si="14"/>
        <v>2.8867513459481292E-9</v>
      </c>
      <c r="BA38" s="440">
        <f>AZ38/-'Response calculation'!G23*100</f>
        <v>5.26829540527371E-8</v>
      </c>
      <c r="BB38" s="686">
        <f t="shared" si="15"/>
        <v>1.2821156293848543</v>
      </c>
      <c r="BC38" s="561">
        <f t="shared" si="45"/>
        <v>2.5642312587697087</v>
      </c>
      <c r="BD38" s="529"/>
      <c r="BE38" s="551">
        <v>4.0000000000000001E-3</v>
      </c>
      <c r="BF38" s="552">
        <f t="shared" si="31"/>
        <v>2.3094010767585032E-3</v>
      </c>
      <c r="BG38" s="553">
        <v>1.24E-3</v>
      </c>
      <c r="BH38" s="448">
        <f>'Temp coeff'!E24</f>
        <v>-0.2</v>
      </c>
      <c r="BI38" s="543">
        <f t="shared" si="16"/>
        <v>-0.33999999999999986</v>
      </c>
      <c r="BJ38" s="442">
        <v>3.2000000000000003E-4</v>
      </c>
      <c r="BK38" s="554">
        <f>BJ38/$BK$5</f>
        <v>1.8475208614068028E-4</v>
      </c>
      <c r="BL38" s="543">
        <v>0.02</v>
      </c>
      <c r="BM38" s="586">
        <f t="shared" si="48"/>
        <v>2.7893638521304443E-4</v>
      </c>
      <c r="BN38" s="414">
        <f t="shared" si="32"/>
        <v>1.3946819260652222E-4</v>
      </c>
      <c r="BO38" s="414">
        <f t="shared" si="49"/>
        <v>4.9020561805999998E-5</v>
      </c>
      <c r="BP38" s="414">
        <f t="shared" si="34"/>
        <v>2.8302034554520789E-5</v>
      </c>
      <c r="BQ38" s="440">
        <f t="shared" si="35"/>
        <v>1.423108636361092E-4</v>
      </c>
      <c r="BR38" s="563">
        <f>'Response calculation'!T23</f>
        <v>0.68048392836131211</v>
      </c>
      <c r="BS38" s="439">
        <v>1E-8</v>
      </c>
      <c r="BT38" s="440">
        <f t="shared" si="36"/>
        <v>5.0000000000000001E-9</v>
      </c>
      <c r="BU38" s="440">
        <f t="shared" si="19"/>
        <v>2.8867513459481292E-9</v>
      </c>
      <c r="BV38" s="546">
        <f>BU38/'Response calculation'!R23*100</f>
        <v>1.3505239063991295E-7</v>
      </c>
      <c r="BW38" s="438">
        <f t="shared" si="20"/>
        <v>1.2821156293848543</v>
      </c>
      <c r="BX38" s="588">
        <f t="shared" si="37"/>
        <v>2.5642312587697087</v>
      </c>
      <c r="BY38" s="438">
        <f t="shared" si="21"/>
        <v>1.4909345355145649</v>
      </c>
      <c r="BZ38" s="529">
        <f t="shared" si="38"/>
        <v>2.9818690710291298</v>
      </c>
      <c r="CA38" s="589">
        <f t="shared" si="39"/>
        <v>3</v>
      </c>
      <c r="CB38" s="565">
        <f t="shared" si="22"/>
        <v>2.369099712073488</v>
      </c>
      <c r="CC38" s="566" t="str">
        <f t="shared" si="40"/>
        <v>OK</v>
      </c>
      <c r="CD38" s="860"/>
      <c r="CE38" s="593">
        <f t="shared" si="23"/>
        <v>1.8486213312877101E-3</v>
      </c>
      <c r="CF38" s="561">
        <v>3</v>
      </c>
      <c r="CG38" s="590">
        <f>ABS((J38-L38)/(SQRT(SUMSQ(CE38,'Response calculation'!AB23))))</f>
        <v>0.75225339995314966</v>
      </c>
    </row>
    <row r="39" spans="1:85" s="468" customFormat="1" x14ac:dyDescent="0.35">
      <c r="A39" s="468">
        <v>390</v>
      </c>
      <c r="B39" s="528">
        <v>0.1691</v>
      </c>
      <c r="C39" s="414">
        <f>_xll.SRS1Splines.Functions25.Cubic_Spline('Temp coeff'!$A$6:$A$23,'Temp coeff'!$B$6:$B$23,A39)</f>
        <v>-1.3389968969949599E-4</v>
      </c>
      <c r="D39" s="528">
        <f t="shared" si="46"/>
        <v>0.16905471512494363</v>
      </c>
      <c r="E39" s="591">
        <f t="shared" si="47"/>
        <v>2.6787111511736572E-2</v>
      </c>
      <c r="F39" s="414">
        <f>-'Response calculation'!Q24</f>
        <v>6.03138656401</v>
      </c>
      <c r="G39" s="414">
        <v>6.8256838700000003E-2</v>
      </c>
      <c r="H39" s="529">
        <f>F39/SQRT(SUMSQ('Response calculation'!J24,'Response calculation'!P24))</f>
        <v>88.36311025620337</v>
      </c>
      <c r="I39" s="529">
        <f t="shared" si="24"/>
        <v>1.1316939807806243</v>
      </c>
      <c r="J39" s="662">
        <f t="shared" si="25"/>
        <v>8.1511045267942603E-2</v>
      </c>
      <c r="K39" s="435">
        <v>8.0509999999999998E-2</v>
      </c>
      <c r="L39" s="531">
        <f t="shared" si="0"/>
        <v>8.0304699499999993E-2</v>
      </c>
      <c r="M39" s="532">
        <f>'Response calculation'!W24</f>
        <v>2.9073011427999997</v>
      </c>
      <c r="N39" s="532">
        <v>1.2979930900000001E-2</v>
      </c>
      <c r="O39" s="529">
        <f>M39/SQRT(SUMSQ('Response calculation'!S24,'Response calculation'!V24))</f>
        <v>223.98433095833971</v>
      </c>
      <c r="P39" s="529">
        <f t="shared" si="26"/>
        <v>0.44645980177336447</v>
      </c>
      <c r="Q39" s="529">
        <f t="shared" si="1"/>
        <v>0.44645980177336442</v>
      </c>
      <c r="R39" s="529">
        <v>0.65</v>
      </c>
      <c r="S39" s="440">
        <f t="shared" si="2"/>
        <v>0.32500000000000001</v>
      </c>
      <c r="T39" s="414">
        <f t="shared" si="3"/>
        <v>1.0991499999999999E-3</v>
      </c>
      <c r="U39" s="414">
        <f t="shared" si="4"/>
        <v>5.4957499999999996E-4</v>
      </c>
      <c r="V39" s="414">
        <f t="shared" si="5"/>
        <v>0.4820286532699149</v>
      </c>
      <c r="W39" s="414">
        <f t="shared" si="27"/>
        <v>2.6491089712081344E-4</v>
      </c>
      <c r="X39" s="414">
        <f t="shared" si="6"/>
        <v>0.15665931231272232</v>
      </c>
      <c r="Y39" s="414">
        <f>'Drift is STD'!B22</f>
        <v>-0.1343454231433506</v>
      </c>
      <c r="Z39" s="440">
        <f>'Drift is STD'!C22</f>
        <v>2.175690000000001E-2</v>
      </c>
      <c r="AA39" s="440">
        <f t="shared" si="41"/>
        <v>6.9186942000000029E-2</v>
      </c>
      <c r="AB39" s="440">
        <f t="shared" si="7"/>
        <v>0.13609575826298159</v>
      </c>
      <c r="AC39" s="440">
        <v>4.1000000000000002E-2</v>
      </c>
      <c r="AD39" s="440">
        <v>0.01</v>
      </c>
      <c r="AE39" s="440">
        <v>5.0000000000000001E-3</v>
      </c>
      <c r="AF39" s="440">
        <v>0.02</v>
      </c>
      <c r="AG39" s="440">
        <f>'Wavelength Uc'!Y23</f>
        <v>0.32072637560174122</v>
      </c>
      <c r="AH39" s="440">
        <v>0.21695643531694911</v>
      </c>
      <c r="AI39" s="440">
        <f t="shared" si="8"/>
        <v>3.5971236964242009E-2</v>
      </c>
      <c r="AJ39" s="440">
        <v>0.02</v>
      </c>
      <c r="AK39" s="440">
        <f t="shared" si="9"/>
        <v>-0.05</v>
      </c>
      <c r="AL39" s="440">
        <v>0.02</v>
      </c>
      <c r="AM39" s="440">
        <f t="shared" si="10"/>
        <v>0.02</v>
      </c>
      <c r="AN39" s="663">
        <f t="shared" si="50"/>
        <v>6.6319741862816005E-4</v>
      </c>
      <c r="AO39" s="414">
        <f t="shared" si="11"/>
        <v>3.3159870931408003E-4</v>
      </c>
      <c r="AP39" s="414">
        <f t="shared" si="51"/>
        <v>1.3047079846014998E-4</v>
      </c>
      <c r="AQ39" s="414">
        <f t="shared" si="12"/>
        <v>7.5327350612353013E-5</v>
      </c>
      <c r="AR39" s="440">
        <f t="shared" si="13"/>
        <v>3.4004692877460328E-4</v>
      </c>
      <c r="AS39" s="440">
        <v>8.5999999999999993E-2</v>
      </c>
      <c r="AT39" s="440">
        <v>0</v>
      </c>
      <c r="AU39" s="440">
        <v>1.5299999999999999E-3</v>
      </c>
      <c r="AV39" s="440">
        <f>'Response calculation'!N24*100/'Response calculation'!G24</f>
        <v>0.156680166331124</v>
      </c>
      <c r="AW39" s="440">
        <f>-'Response calculation'!K24</f>
        <v>1.1299208407275865</v>
      </c>
      <c r="AX39" s="440">
        <v>1E-8</v>
      </c>
      <c r="AY39" s="440">
        <f t="shared" si="29"/>
        <v>5.0000000000000001E-9</v>
      </c>
      <c r="AZ39" s="440">
        <f t="shared" si="14"/>
        <v>2.8867513459481292E-9</v>
      </c>
      <c r="BA39" s="440">
        <f>AZ39/-'Response calculation'!G24*100</f>
        <v>4.7787160523524232E-8</v>
      </c>
      <c r="BB39" s="686">
        <f t="shared" si="15"/>
        <v>1.2601018989007369</v>
      </c>
      <c r="BC39" s="561">
        <f t="shared" si="45"/>
        <v>2.5202037978014737</v>
      </c>
      <c r="BD39" s="529"/>
      <c r="BE39" s="551">
        <v>2E-3</v>
      </c>
      <c r="BF39" s="552">
        <f t="shared" si="31"/>
        <v>1.1547005383792516E-3</v>
      </c>
      <c r="BG39" s="553">
        <v>1.24E-3</v>
      </c>
      <c r="BH39" s="448">
        <f>'Temp coeff'!E25</f>
        <v>-0.15</v>
      </c>
      <c r="BI39" s="543">
        <f t="shared" si="16"/>
        <v>-0.25499999999999989</v>
      </c>
      <c r="BJ39" s="442">
        <v>2.5000000000000001E-4</v>
      </c>
      <c r="BK39" s="554">
        <f t="shared" si="17"/>
        <v>1.4433756729740645E-4</v>
      </c>
      <c r="BL39" s="543">
        <v>0.02</v>
      </c>
      <c r="BM39" s="586">
        <f t="shared" si="48"/>
        <v>2.0637696974938914E-4</v>
      </c>
      <c r="BN39" s="414">
        <f t="shared" si="32"/>
        <v>1.0318848487469457E-4</v>
      </c>
      <c r="BO39" s="414">
        <f t="shared" si="49"/>
        <v>6.4146022856000003E-5</v>
      </c>
      <c r="BP39" s="414">
        <f t="shared" si="34"/>
        <v>3.703472356335549E-5</v>
      </c>
      <c r="BQ39" s="440">
        <f t="shared" si="35"/>
        <v>1.0963318001476209E-4</v>
      </c>
      <c r="BR39" s="563">
        <f>'Response calculation'!T24</f>
        <v>0.44854618926727002</v>
      </c>
      <c r="BS39" s="439">
        <v>1E-8</v>
      </c>
      <c r="BT39" s="440">
        <f t="shared" si="36"/>
        <v>5.0000000000000001E-9</v>
      </c>
      <c r="BU39" s="440">
        <f t="shared" si="19"/>
        <v>2.8867513459481292E-9</v>
      </c>
      <c r="BV39" s="546">
        <f>BU39/'Response calculation'!R24*100</f>
        <v>9.9757180955963028E-8</v>
      </c>
      <c r="BW39" s="438">
        <f t="shared" si="20"/>
        <v>1.2601018989007369</v>
      </c>
      <c r="BX39" s="588">
        <f t="shared" si="37"/>
        <v>2.5202037978014737</v>
      </c>
      <c r="BY39" s="438">
        <f t="shared" si="21"/>
        <v>1.3617923422113751</v>
      </c>
      <c r="BZ39" s="529">
        <f t="shared" si="38"/>
        <v>2.7235846844227503</v>
      </c>
      <c r="CA39" s="589">
        <f t="shared" si="39"/>
        <v>2.8000000000000003</v>
      </c>
      <c r="CB39" s="565">
        <f t="shared" si="22"/>
        <v>1.5022106744109165</v>
      </c>
      <c r="CC39" s="566" t="str">
        <f t="shared" si="40"/>
        <v>OK</v>
      </c>
      <c r="CD39" s="860"/>
      <c r="CE39" s="593">
        <f t="shared" si="23"/>
        <v>2.2823092675023932E-3</v>
      </c>
      <c r="CF39" s="561">
        <v>2.7</v>
      </c>
      <c r="CG39" s="529">
        <f>ABS((J39-L39)/(SQRT(SUMSQ(CE39,'Response calculation'!AB24))))</f>
        <v>0.52210846399942035</v>
      </c>
    </row>
    <row r="40" spans="1:85" s="468" customFormat="1" ht="10.5" thickBot="1" x14ac:dyDescent="0.4">
      <c r="A40" s="675">
        <v>400</v>
      </c>
      <c r="B40" s="598">
        <v>0.17979999999999999</v>
      </c>
      <c r="C40" s="597">
        <f>_xll.SRS1Splines.Functions25.Cubic_Spline('Temp coeff'!$A$6:$A$23,'Temp coeff'!$B$6:$B$23,A40)</f>
        <v>-1.8000000000000001E-4</v>
      </c>
      <c r="D40" s="598">
        <f t="shared" si="46"/>
        <v>0.17973527199999997</v>
      </c>
      <c r="E40" s="599">
        <f t="shared" si="47"/>
        <v>3.6012964667287949E-2</v>
      </c>
      <c r="F40" s="597">
        <f>-'Response calculation'!Q25</f>
        <v>6.6075974875299996</v>
      </c>
      <c r="G40" s="597">
        <v>7.0878873699999997E-2</v>
      </c>
      <c r="H40" s="600">
        <f>F40/SQRT(SUMSQ('Response calculation'!J25,'Response calculation'!P25))</f>
        <v>93.223793530141052</v>
      </c>
      <c r="I40" s="600">
        <f t="shared" si="24"/>
        <v>1.0726875212138633</v>
      </c>
      <c r="J40" s="676">
        <f t="shared" si="25"/>
        <v>9.6898550917958445E-2</v>
      </c>
      <c r="K40" s="455">
        <v>9.5990000000000006E-2</v>
      </c>
      <c r="L40" s="602">
        <f t="shared" si="0"/>
        <v>9.5802339550000004E-2</v>
      </c>
      <c r="M40" s="603">
        <f>'Response calculation'!W25</f>
        <v>3.5609934459999999</v>
      </c>
      <c r="N40" s="603">
        <v>1.7099475699999998E-2</v>
      </c>
      <c r="O40" s="600">
        <f>M40/SQRT(SUMSQ('Response calculation'!S25,'Response calculation'!V25))</f>
        <v>208.25161580561564</v>
      </c>
      <c r="P40" s="600">
        <f t="shared" si="26"/>
        <v>0.48018835106346119</v>
      </c>
      <c r="Q40" s="600">
        <f t="shared" si="1"/>
        <v>0.48018835106346114</v>
      </c>
      <c r="R40" s="600">
        <v>0.49</v>
      </c>
      <c r="S40" s="459">
        <f t="shared" si="2"/>
        <v>0.245</v>
      </c>
      <c r="T40" s="597">
        <f t="shared" si="3"/>
        <v>8.8101999999999983E-4</v>
      </c>
      <c r="U40" s="597">
        <f t="shared" si="4"/>
        <v>4.4050999999999991E-4</v>
      </c>
      <c r="V40" s="597">
        <f t="shared" si="5"/>
        <v>0.53892408741912379</v>
      </c>
      <c r="W40" s="597">
        <f t="shared" si="27"/>
        <v>2.3740144974899817E-4</v>
      </c>
      <c r="X40" s="597">
        <f t="shared" si="6"/>
        <v>0.13203640141768533</v>
      </c>
      <c r="Y40" s="597">
        <f>'Drift is STD'!B23</f>
        <v>-0.10670233196159122</v>
      </c>
      <c r="Z40" s="459">
        <f>'Drift is STD'!C23</f>
        <v>2.0540000000000003E-2</v>
      </c>
      <c r="AA40" s="459">
        <f t="shared" si="41"/>
        <v>6.5317200000000006E-2</v>
      </c>
      <c r="AB40" s="459">
        <f t="shared" si="7"/>
        <v>0.10866130519205819</v>
      </c>
      <c r="AC40" s="459">
        <v>4.1000000000000002E-2</v>
      </c>
      <c r="AD40" s="459">
        <v>0.01</v>
      </c>
      <c r="AE40" s="459">
        <v>5.0000000000000001E-3</v>
      </c>
      <c r="AF40" s="459">
        <v>0.02</v>
      </c>
      <c r="AG40" s="459">
        <f>'Wavelength Uc'!Y24</f>
        <v>0.22241856202039012</v>
      </c>
      <c r="AH40" s="459">
        <v>0.21695643531694911</v>
      </c>
      <c r="AI40" s="459">
        <f t="shared" si="8"/>
        <v>3.2834390370538452E-2</v>
      </c>
      <c r="AJ40" s="459">
        <v>0.02</v>
      </c>
      <c r="AK40" s="459">
        <f t="shared" si="9"/>
        <v>-0.05</v>
      </c>
      <c r="AL40" s="459">
        <v>0.02</v>
      </c>
      <c r="AM40" s="459">
        <f t="shared" si="10"/>
        <v>0.02</v>
      </c>
      <c r="AN40" s="677">
        <f t="shared" si="50"/>
        <v>6.0536375097739934E-4</v>
      </c>
      <c r="AO40" s="597">
        <f t="shared" si="11"/>
        <v>3.0268187548869967E-4</v>
      </c>
      <c r="AP40" s="597">
        <f t="shared" si="51"/>
        <v>1.3911396231294998E-4</v>
      </c>
      <c r="AQ40" s="597">
        <f t="shared" si="12"/>
        <v>8.0317483589417124E-5</v>
      </c>
      <c r="AR40" s="459">
        <f t="shared" si="13"/>
        <v>3.1315685513731451E-4</v>
      </c>
      <c r="AS40" s="459">
        <v>8.5999999999999993E-2</v>
      </c>
      <c r="AT40" s="459">
        <v>0</v>
      </c>
      <c r="AU40" s="459">
        <v>1.5299999999999999E-3</v>
      </c>
      <c r="AV40" s="459">
        <f>'Response calculation'!N25*100/'Response calculation'!G25</f>
        <v>0.14302922849223132</v>
      </c>
      <c r="AW40" s="459">
        <f>-'Response calculation'!K25</f>
        <v>1.0711532645164255</v>
      </c>
      <c r="AX40" s="459">
        <v>1E-8</v>
      </c>
      <c r="AY40" s="459">
        <f t="shared" si="29"/>
        <v>5.0000000000000001E-9</v>
      </c>
      <c r="AZ40" s="459">
        <f t="shared" si="14"/>
        <v>2.8867513459481292E-9</v>
      </c>
      <c r="BA40" s="459">
        <f>AZ40/-'Response calculation'!G25*100</f>
        <v>4.3625878440835383E-8</v>
      </c>
      <c r="BB40" s="687">
        <f t="shared" si="15"/>
        <v>1.1613369476845181</v>
      </c>
      <c r="BC40" s="683">
        <f t="shared" si="45"/>
        <v>2.3226738953690362</v>
      </c>
      <c r="BD40" s="529"/>
      <c r="BE40" s="615">
        <v>1E-3</v>
      </c>
      <c r="BF40" s="616">
        <f t="shared" si="31"/>
        <v>5.773502691896258E-4</v>
      </c>
      <c r="BG40" s="617">
        <v>1.24E-3</v>
      </c>
      <c r="BH40" s="457">
        <f>'Temp coeff'!E26</f>
        <v>-0.115</v>
      </c>
      <c r="BI40" s="608">
        <f t="shared" si="16"/>
        <v>-0.19549999999999992</v>
      </c>
      <c r="BJ40" s="460">
        <v>1.9000000000000001E-4</v>
      </c>
      <c r="BK40" s="618">
        <f t="shared" si="17"/>
        <v>1.0969655114602891E-4</v>
      </c>
      <c r="BL40" s="608">
        <v>0.02</v>
      </c>
      <c r="BM40" s="619">
        <f t="shared" si="48"/>
        <v>1.6849230673928066E-4</v>
      </c>
      <c r="BN40" s="597">
        <f t="shared" si="32"/>
        <v>8.4246153369640331E-5</v>
      </c>
      <c r="BO40" s="414">
        <f t="shared" si="49"/>
        <v>7.7219868920000006E-5</v>
      </c>
      <c r="BP40" s="414">
        <f t="shared" si="34"/>
        <v>4.458291210774962E-5</v>
      </c>
      <c r="BQ40" s="459">
        <f t="shared" si="35"/>
        <v>9.5315530788997273E-5</v>
      </c>
      <c r="BR40" s="620">
        <f>'Response calculation'!T25</f>
        <v>0.48201877558470607</v>
      </c>
      <c r="BS40" s="458">
        <v>1E-8</v>
      </c>
      <c r="BT40" s="459">
        <f t="shared" si="36"/>
        <v>5.0000000000000001E-9</v>
      </c>
      <c r="BU40" s="459">
        <f t="shared" si="19"/>
        <v>2.8867513459481292E-9</v>
      </c>
      <c r="BV40" s="612">
        <f>BU40/'Response calculation'!R25*100</f>
        <v>8.1374913102828041E-8</v>
      </c>
      <c r="BW40" s="461">
        <f t="shared" si="20"/>
        <v>1.1613369476845181</v>
      </c>
      <c r="BX40" s="621">
        <f t="shared" si="37"/>
        <v>2.3226738953690362</v>
      </c>
      <c r="BY40" s="461">
        <f t="shared" si="21"/>
        <v>1.2726616785796201</v>
      </c>
      <c r="BZ40" s="600">
        <f t="shared" si="38"/>
        <v>2.5453233571592402</v>
      </c>
      <c r="CA40" s="622">
        <f t="shared" si="39"/>
        <v>2.6</v>
      </c>
      <c r="CB40" s="623">
        <f t="shared" si="22"/>
        <v>1.1442427952256007</v>
      </c>
      <c r="CC40" s="624" t="str">
        <f t="shared" si="40"/>
        <v>OK</v>
      </c>
      <c r="CD40" s="861"/>
      <c r="CE40" s="593">
        <f t="shared" si="23"/>
        <v>2.5193623238669196E-3</v>
      </c>
      <c r="CF40" s="561">
        <v>2.6</v>
      </c>
      <c r="CG40" s="529">
        <f>ABS((J40-L40)/(SQRT(SUMSQ(CE40,'Response calculation'!AB25))))</f>
        <v>0.4316466403212616</v>
      </c>
    </row>
    <row r="41" spans="1:85" x14ac:dyDescent="0.35">
      <c r="AA41" s="447"/>
      <c r="AI41" s="453"/>
      <c r="BO41" s="436"/>
      <c r="BP41" s="436"/>
    </row>
    <row r="42" spans="1:85" x14ac:dyDescent="0.35">
      <c r="AA42" s="453"/>
      <c r="AB42" s="453"/>
      <c r="AI42" s="453"/>
      <c r="BH42" s="462"/>
      <c r="BI42" s="453"/>
      <c r="BJ42" s="413"/>
    </row>
    <row r="43" spans="1:85" x14ac:dyDescent="0.35">
      <c r="AA43" s="453"/>
      <c r="AB43" s="453"/>
      <c r="BH43" s="462"/>
      <c r="BI43" s="453"/>
      <c r="BJ43" s="413"/>
    </row>
    <row r="44" spans="1:85" x14ac:dyDescent="0.35">
      <c r="AA44" s="453"/>
      <c r="AB44" s="453"/>
      <c r="BH44" s="462"/>
      <c r="BI44" s="453"/>
      <c r="BJ44" s="413"/>
    </row>
    <row r="45" spans="1:85" x14ac:dyDescent="0.35">
      <c r="AA45" s="453"/>
      <c r="AB45" s="453"/>
      <c r="AT45" s="358" t="s">
        <v>212</v>
      </c>
      <c r="AU45" s="413">
        <v>4.0000000000000001E-10</v>
      </c>
      <c r="BH45" s="462"/>
      <c r="BI45" s="453"/>
      <c r="BJ45" s="413"/>
    </row>
    <row r="46" spans="1:85" x14ac:dyDescent="0.35">
      <c r="AA46" s="453"/>
      <c r="AB46" s="453"/>
      <c r="AT46" s="358" t="s">
        <v>213</v>
      </c>
      <c r="AU46" s="413">
        <v>4.8000000000000001E-5</v>
      </c>
      <c r="BH46" s="462"/>
      <c r="BI46" s="453"/>
      <c r="BJ46" s="413"/>
    </row>
    <row r="47" spans="1:85" x14ac:dyDescent="0.35">
      <c r="H47" s="453"/>
      <c r="I47" s="453"/>
      <c r="O47" s="453"/>
      <c r="P47" s="453"/>
      <c r="Q47" s="453"/>
      <c r="AA47" s="453"/>
      <c r="AB47" s="453"/>
      <c r="AU47" s="454">
        <f>AU45/AU46*100</f>
        <v>8.3333333333333339E-4</v>
      </c>
      <c r="BH47" s="462"/>
      <c r="BI47" s="453"/>
      <c r="BJ47" s="413"/>
    </row>
    <row r="48" spans="1:85" x14ac:dyDescent="0.35">
      <c r="H48" s="453"/>
      <c r="I48" s="453"/>
      <c r="O48" s="453"/>
      <c r="P48" s="453"/>
      <c r="Q48" s="453"/>
      <c r="AA48" s="453"/>
      <c r="AB48" s="453"/>
      <c r="BH48" s="462"/>
      <c r="BI48" s="453"/>
      <c r="BJ48" s="413"/>
    </row>
    <row r="49" spans="8:62" x14ac:dyDescent="0.35">
      <c r="H49" s="453"/>
      <c r="I49" s="453"/>
      <c r="O49" s="453"/>
      <c r="P49" s="453"/>
      <c r="Q49" s="453"/>
      <c r="AA49" s="453"/>
      <c r="AB49" s="453"/>
      <c r="BH49" s="462"/>
      <c r="BI49" s="453"/>
      <c r="BJ49" s="413"/>
    </row>
    <row r="50" spans="8:62" x14ac:dyDescent="0.35">
      <c r="H50" s="453"/>
      <c r="I50" s="453"/>
      <c r="O50" s="453"/>
      <c r="P50" s="453"/>
      <c r="Q50" s="453"/>
      <c r="AA50" s="453"/>
      <c r="AB50" s="453"/>
      <c r="BH50" s="462"/>
      <c r="BI50" s="453"/>
      <c r="BJ50" s="413"/>
    </row>
    <row r="51" spans="8:62" x14ac:dyDescent="0.35">
      <c r="H51" s="453"/>
      <c r="I51" s="453"/>
      <c r="O51" s="453"/>
      <c r="P51" s="453"/>
      <c r="Q51" s="453"/>
      <c r="AA51" s="453"/>
      <c r="AB51" s="453"/>
      <c r="BH51" s="462"/>
      <c r="BI51" s="453"/>
      <c r="BJ51" s="413"/>
    </row>
    <row r="52" spans="8:62" x14ac:dyDescent="0.35">
      <c r="H52" s="453"/>
      <c r="I52" s="453"/>
      <c r="O52" s="453"/>
      <c r="P52" s="453"/>
      <c r="Q52" s="453"/>
      <c r="AA52" s="453"/>
      <c r="AB52" s="453"/>
      <c r="BH52" s="462"/>
      <c r="BI52" s="453"/>
      <c r="BJ52" s="413"/>
    </row>
    <row r="53" spans="8:62" x14ac:dyDescent="0.35">
      <c r="H53" s="453"/>
      <c r="I53" s="453"/>
      <c r="O53" s="453"/>
      <c r="P53" s="453"/>
      <c r="Q53" s="453"/>
      <c r="AA53" s="453"/>
      <c r="AB53" s="453"/>
      <c r="BH53" s="462"/>
      <c r="BI53" s="453"/>
      <c r="BJ53" s="413"/>
    </row>
    <row r="54" spans="8:62" x14ac:dyDescent="0.35">
      <c r="H54" s="453"/>
      <c r="I54" s="453"/>
      <c r="O54" s="453"/>
      <c r="P54" s="453"/>
      <c r="Q54" s="453"/>
      <c r="AA54" s="453"/>
      <c r="AB54" s="453"/>
      <c r="BH54" s="462"/>
      <c r="BI54" s="453"/>
      <c r="BJ54" s="413"/>
    </row>
    <row r="55" spans="8:62" x14ac:dyDescent="0.35">
      <c r="H55" s="453"/>
      <c r="I55" s="453"/>
      <c r="O55" s="453"/>
      <c r="P55" s="453"/>
      <c r="Q55" s="453"/>
      <c r="AA55" s="453"/>
      <c r="AB55" s="453"/>
      <c r="BH55" s="462"/>
      <c r="BI55" s="453"/>
      <c r="BJ55" s="413"/>
    </row>
    <row r="56" spans="8:62" x14ac:dyDescent="0.35">
      <c r="H56" s="453"/>
      <c r="I56" s="453"/>
      <c r="O56" s="453"/>
      <c r="P56" s="453"/>
      <c r="Q56" s="453"/>
      <c r="AA56" s="453"/>
      <c r="AB56" s="453"/>
      <c r="BH56" s="462"/>
      <c r="BI56" s="453"/>
      <c r="BJ56" s="413"/>
    </row>
    <row r="57" spans="8:62" x14ac:dyDescent="0.35">
      <c r="H57" s="453"/>
      <c r="I57" s="453"/>
      <c r="O57" s="453"/>
      <c r="P57" s="453"/>
      <c r="Q57" s="453"/>
      <c r="AA57" s="453"/>
      <c r="AB57" s="453"/>
      <c r="BH57" s="462"/>
      <c r="BI57" s="453"/>
      <c r="BJ57" s="413"/>
    </row>
    <row r="58" spans="8:62" x14ac:dyDescent="0.35">
      <c r="H58" s="453"/>
      <c r="I58" s="453"/>
      <c r="O58" s="453"/>
      <c r="P58" s="453"/>
      <c r="Q58" s="453"/>
      <c r="AA58" s="453"/>
      <c r="AB58" s="453"/>
      <c r="BH58" s="462"/>
      <c r="BI58" s="453"/>
      <c r="BJ58" s="413"/>
    </row>
    <row r="59" spans="8:62" x14ac:dyDescent="0.35">
      <c r="H59" s="453"/>
      <c r="I59" s="453"/>
      <c r="O59" s="453"/>
      <c r="P59" s="453"/>
      <c r="Q59" s="453"/>
      <c r="AA59" s="453"/>
      <c r="AB59" s="453"/>
      <c r="BH59" s="462"/>
      <c r="BI59" s="453"/>
      <c r="BJ59" s="413"/>
    </row>
    <row r="60" spans="8:62" x14ac:dyDescent="0.35">
      <c r="H60" s="453"/>
      <c r="I60" s="453"/>
      <c r="O60" s="453"/>
      <c r="P60" s="453"/>
      <c r="Q60" s="453"/>
      <c r="AA60" s="453"/>
      <c r="AB60" s="453"/>
      <c r="BH60" s="462"/>
      <c r="BI60" s="453"/>
      <c r="BJ60" s="413"/>
    </row>
    <row r="61" spans="8:62" x14ac:dyDescent="0.35">
      <c r="H61" s="453"/>
      <c r="I61" s="453"/>
      <c r="O61" s="453"/>
      <c r="P61" s="453"/>
      <c r="Q61" s="453"/>
      <c r="AA61" s="453"/>
      <c r="AB61" s="453"/>
      <c r="BH61" s="462"/>
      <c r="BI61" s="453"/>
      <c r="BJ61" s="413"/>
    </row>
    <row r="62" spans="8:62" x14ac:dyDescent="0.35">
      <c r="H62" s="453"/>
      <c r="I62" s="453"/>
      <c r="O62" s="453"/>
      <c r="P62" s="453"/>
      <c r="Q62" s="453"/>
      <c r="AA62" s="453"/>
      <c r="AB62" s="453"/>
      <c r="BH62" s="462"/>
      <c r="BI62" s="453"/>
      <c r="BJ62" s="413"/>
    </row>
    <row r="63" spans="8:62" x14ac:dyDescent="0.35">
      <c r="H63" s="453"/>
      <c r="I63" s="453"/>
      <c r="O63" s="453"/>
      <c r="P63" s="453"/>
      <c r="Q63" s="453"/>
    </row>
    <row r="64" spans="8:62" x14ac:dyDescent="0.35">
      <c r="H64" s="453"/>
      <c r="I64" s="453"/>
      <c r="O64" s="453"/>
      <c r="P64" s="453"/>
      <c r="Q64" s="453"/>
    </row>
    <row r="65" spans="5:17" x14ac:dyDescent="0.35">
      <c r="E65" s="413"/>
      <c r="H65" s="453"/>
      <c r="I65" s="453"/>
      <c r="O65" s="453"/>
      <c r="P65" s="453"/>
      <c r="Q65" s="453"/>
    </row>
    <row r="66" spans="5:17" x14ac:dyDescent="0.35">
      <c r="H66" s="453"/>
      <c r="I66" s="453"/>
      <c r="O66" s="453"/>
      <c r="P66" s="453"/>
      <c r="Q66" s="453"/>
    </row>
    <row r="67" spans="5:17" x14ac:dyDescent="0.35">
      <c r="H67" s="453"/>
      <c r="I67" s="453"/>
      <c r="O67" s="453"/>
      <c r="P67" s="453"/>
      <c r="Q67" s="453"/>
    </row>
    <row r="68" spans="5:17" x14ac:dyDescent="0.35">
      <c r="G68" s="453"/>
      <c r="H68" s="453"/>
      <c r="I68" s="453"/>
      <c r="O68" s="453"/>
      <c r="P68" s="453"/>
      <c r="Q68" s="453"/>
    </row>
  </sheetData>
  <mergeCells count="139">
    <mergeCell ref="F18:F19"/>
    <mergeCell ref="B18:B19"/>
    <mergeCell ref="R16:S16"/>
    <mergeCell ref="AJ15:AK15"/>
    <mergeCell ref="Y15:AB15"/>
    <mergeCell ref="R15:S15"/>
    <mergeCell ref="K18:K19"/>
    <mergeCell ref="J18:J19"/>
    <mergeCell ref="G18:G19"/>
    <mergeCell ref="AA18:AA19"/>
    <mergeCell ref="AB18:AB19"/>
    <mergeCell ref="AC18:AC19"/>
    <mergeCell ref="AD18:AD19"/>
    <mergeCell ref="AE18:AE19"/>
    <mergeCell ref="AF18:AF19"/>
    <mergeCell ref="L18:L19"/>
    <mergeCell ref="M18:M19"/>
    <mergeCell ref="N18:N19"/>
    <mergeCell ref="R18:S19"/>
    <mergeCell ref="Y18:Y19"/>
    <mergeCell ref="Z18:Z19"/>
    <mergeCell ref="AG18:AG19"/>
    <mergeCell ref="AH18:AH19"/>
    <mergeCell ref="CD20:CD25"/>
    <mergeCell ref="CD26:CD40"/>
    <mergeCell ref="BB13:BB14"/>
    <mergeCell ref="BC13:BC14"/>
    <mergeCell ref="BB18:BC19"/>
    <mergeCell ref="BR18:BR19"/>
    <mergeCell ref="BS18:BS19"/>
    <mergeCell ref="BT18:BT19"/>
    <mergeCell ref="BU18:BU19"/>
    <mergeCell ref="BV18:BV19"/>
    <mergeCell ref="BW18:BW19"/>
    <mergeCell ref="BL18:BL19"/>
    <mergeCell ref="BM18:BM19"/>
    <mergeCell ref="BN18:BN19"/>
    <mergeCell ref="BO18:BO19"/>
    <mergeCell ref="BP18:BP19"/>
    <mergeCell ref="BQ18:BQ19"/>
    <mergeCell ref="BE18:BE19"/>
    <mergeCell ref="BJ18:BJ19"/>
    <mergeCell ref="BK18:BK19"/>
    <mergeCell ref="BS13:BV13"/>
    <mergeCell ref="BF18:BF19"/>
    <mergeCell ref="BG18:BG19"/>
    <mergeCell ref="BH18:BH19"/>
    <mergeCell ref="AV18:AV19"/>
    <mergeCell ref="AW18:AW19"/>
    <mergeCell ref="AX18:AX19"/>
    <mergeCell ref="AY18:AY19"/>
    <mergeCell ref="AZ18:AZ19"/>
    <mergeCell ref="BA18:BA19"/>
    <mergeCell ref="AP14:AQ14"/>
    <mergeCell ref="AX15:BA15"/>
    <mergeCell ref="AP18:AP19"/>
    <mergeCell ref="AQ18:AQ19"/>
    <mergeCell ref="AR18:AR19"/>
    <mergeCell ref="AS18:AS19"/>
    <mergeCell ref="AT18:AT19"/>
    <mergeCell ref="AU18:AU19"/>
    <mergeCell ref="AL18:AL19"/>
    <mergeCell ref="AM18:AM19"/>
    <mergeCell ref="AN18:AN19"/>
    <mergeCell ref="AO18:AO19"/>
    <mergeCell ref="CB13:CB15"/>
    <mergeCell ref="CC13:CC19"/>
    <mergeCell ref="CD13:CD19"/>
    <mergeCell ref="BX18:BX19"/>
    <mergeCell ref="BY18:BY19"/>
    <mergeCell ref="BZ18:CA19"/>
    <mergeCell ref="CB18:CB19"/>
    <mergeCell ref="BE15:BF15"/>
    <mergeCell ref="BH15:BI15"/>
    <mergeCell ref="BJ15:BK15"/>
    <mergeCell ref="BS15:BV15"/>
    <mergeCell ref="BE14:BF14"/>
    <mergeCell ref="BJ14:BK14"/>
    <mergeCell ref="BM14:BN14"/>
    <mergeCell ref="BO14:BP14"/>
    <mergeCell ref="BX13:BX14"/>
    <mergeCell ref="BH13:BI13"/>
    <mergeCell ref="BJ13:BK13"/>
    <mergeCell ref="BM13:BQ13"/>
    <mergeCell ref="BR13:BR14"/>
    <mergeCell ref="BE13:BF13"/>
    <mergeCell ref="M13:M14"/>
    <mergeCell ref="N13:N14"/>
    <mergeCell ref="O13:Q13"/>
    <mergeCell ref="R13:X13"/>
    <mergeCell ref="Y13:AB13"/>
    <mergeCell ref="AH13:AI13"/>
    <mergeCell ref="BY13:BY14"/>
    <mergeCell ref="BZ13:CA14"/>
    <mergeCell ref="AN14:AO14"/>
    <mergeCell ref="AL14:AM14"/>
    <mergeCell ref="BW13:BW14"/>
    <mergeCell ref="B13:B14"/>
    <mergeCell ref="C13:C14"/>
    <mergeCell ref="D13:D14"/>
    <mergeCell ref="E13:E14"/>
    <mergeCell ref="A6:D6"/>
    <mergeCell ref="J6:M6"/>
    <mergeCell ref="A7:D7"/>
    <mergeCell ref="J7:M7"/>
    <mergeCell ref="AP7:AQ7"/>
    <mergeCell ref="F13:F14"/>
    <mergeCell ref="G13:G14"/>
    <mergeCell ref="H13:I13"/>
    <mergeCell ref="J13:J14"/>
    <mergeCell ref="K13:K14"/>
    <mergeCell ref="L13:L15"/>
    <mergeCell ref="B12:H12"/>
    <mergeCell ref="J12:O12"/>
    <mergeCell ref="R12:BA12"/>
    <mergeCell ref="AJ13:AK13"/>
    <mergeCell ref="AL13:AM13"/>
    <mergeCell ref="AN13:AR13"/>
    <mergeCell ref="AX13:BA13"/>
    <mergeCell ref="AL15:AM15"/>
    <mergeCell ref="A4:D4"/>
    <mergeCell ref="J4:M4"/>
    <mergeCell ref="A5:D5"/>
    <mergeCell ref="J5:M5"/>
    <mergeCell ref="A1:D1"/>
    <mergeCell ref="J1:M1"/>
    <mergeCell ref="AN1:AR1"/>
    <mergeCell ref="BE12:BV12"/>
    <mergeCell ref="BW12:CD12"/>
    <mergeCell ref="BO7:BP7"/>
    <mergeCell ref="BM1:BQ1"/>
    <mergeCell ref="A2:D2"/>
    <mergeCell ref="J2:M2"/>
    <mergeCell ref="AN2:AO2"/>
    <mergeCell ref="AP2:AR2"/>
    <mergeCell ref="BM2:BN2"/>
    <mergeCell ref="BO2:BQ2"/>
    <mergeCell ref="A3:D3"/>
    <mergeCell ref="J3:M3"/>
  </mergeCells>
  <conditionalFormatting sqref="CC20:CC41">
    <cfRule type="expression" dxfId="0" priority="1">
      <formula>"OK"</formula>
    </cfRule>
  </conditionalFormatting>
  <pageMargins left="3.937007874015748E-2" right="0.19685039370078741" top="1.1417322834645669" bottom="0.55118110236220474" header="0.31496062992125984" footer="0.31496062992125984"/>
  <pageSetup paperSize="9" scale="12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4797D-0353-4080-995E-9E642ADF592D}">
  <sheetPr>
    <tabColor rgb="FF00B050"/>
  </sheetPr>
  <dimension ref="A1:BC41"/>
  <sheetViews>
    <sheetView topLeftCell="AE1" workbookViewId="0">
      <selection activeCell="AJ1" sqref="AJ1:AL18"/>
    </sheetView>
  </sheetViews>
  <sheetFormatPr defaultColWidth="9" defaultRowHeight="10" x14ac:dyDescent="0.35"/>
  <cols>
    <col min="1" max="1" width="10" style="429" customWidth="1"/>
    <col min="2" max="2" width="12.6328125" style="429" customWidth="1"/>
    <col min="3" max="3" width="8.1796875" style="429" bestFit="1" customWidth="1"/>
    <col min="4" max="4" width="9.81640625" style="429" customWidth="1"/>
    <col min="5" max="5" width="8.7265625" style="429" bestFit="1" customWidth="1"/>
    <col min="6" max="7" width="11.81640625" style="429" customWidth="1"/>
    <col min="8" max="8" width="7.453125" style="429" bestFit="1" customWidth="1"/>
    <col min="9" max="11" width="7.1796875" style="429" bestFit="1" customWidth="1"/>
    <col min="12" max="12" width="7.1796875" style="429" customWidth="1"/>
    <col min="13" max="13" width="10" style="429" customWidth="1"/>
    <col min="14" max="14" width="12.81640625" style="429" customWidth="1"/>
    <col min="15" max="15" width="7.1796875" style="429" bestFit="1" customWidth="1"/>
    <col min="16" max="16" width="10.7265625" style="429" customWidth="1"/>
    <col min="17" max="17" width="13.453125" style="429" customWidth="1"/>
    <col min="18" max="18" width="10.26953125" style="429" customWidth="1"/>
    <col min="19" max="19" width="8.453125" style="429" bestFit="1" customWidth="1"/>
    <col min="20" max="20" width="10.6328125" style="429" customWidth="1"/>
    <col min="21" max="21" width="10" style="429" customWidth="1"/>
    <col min="22" max="22" width="11.7265625" style="429" customWidth="1"/>
    <col min="23" max="24" width="10.1796875" style="429" customWidth="1"/>
    <col min="25" max="25" width="10" style="429" customWidth="1"/>
    <col min="26" max="26" width="11.26953125" style="429" customWidth="1"/>
    <col min="27" max="27" width="9" style="429"/>
    <col min="28" max="29" width="10.90625" style="429" customWidth="1"/>
    <col min="30" max="32" width="9" style="429"/>
    <col min="33" max="33" width="12.90625" style="429" customWidth="1"/>
    <col min="34" max="34" width="10.54296875" style="429" customWidth="1"/>
    <col min="35" max="35" width="9" style="429"/>
    <col min="36" max="36" width="10" style="429" customWidth="1"/>
    <col min="37" max="38" width="10.36328125" style="429" customWidth="1"/>
    <col min="39" max="40" width="9" style="429"/>
    <col min="41" max="41" width="12.81640625" style="429" customWidth="1"/>
    <col min="42" max="43" width="10.453125" style="429" customWidth="1"/>
    <col min="44" max="45" width="15" style="429" customWidth="1"/>
    <col min="46" max="52" width="9" style="429"/>
    <col min="53" max="53" width="20.7265625" style="429" customWidth="1"/>
    <col min="54" max="16384" width="9" style="429"/>
  </cols>
  <sheetData>
    <row r="1" spans="1:55" s="698" customFormat="1" ht="77.5" customHeight="1" x14ac:dyDescent="0.25">
      <c r="A1" s="713"/>
      <c r="B1" s="700" t="s">
        <v>89</v>
      </c>
      <c r="C1" s="700" t="s">
        <v>307</v>
      </c>
      <c r="D1" s="700" t="s">
        <v>315</v>
      </c>
      <c r="E1" s="700" t="s">
        <v>310</v>
      </c>
      <c r="F1" s="700" t="s">
        <v>312</v>
      </c>
      <c r="G1" s="700" t="s">
        <v>313</v>
      </c>
      <c r="H1" s="700" t="s">
        <v>316</v>
      </c>
      <c r="I1" s="980" t="s">
        <v>314</v>
      </c>
      <c r="J1" s="980"/>
      <c r="K1" s="980"/>
      <c r="L1" s="700"/>
      <c r="M1" s="713"/>
      <c r="N1" s="698" t="s">
        <v>320</v>
      </c>
      <c r="O1" s="700" t="s">
        <v>311</v>
      </c>
      <c r="P1" s="700" t="s">
        <v>386</v>
      </c>
      <c r="Q1" s="700" t="s">
        <v>90</v>
      </c>
      <c r="R1" s="700" t="s">
        <v>309</v>
      </c>
      <c r="S1" s="698" t="s">
        <v>317</v>
      </c>
      <c r="T1" s="698" t="s">
        <v>388</v>
      </c>
      <c r="U1" s="700" t="s">
        <v>43</v>
      </c>
      <c r="V1" s="698" t="s">
        <v>319</v>
      </c>
      <c r="W1" s="700" t="s">
        <v>367</v>
      </c>
      <c r="X1" s="700"/>
      <c r="Y1" s="713"/>
      <c r="Z1" s="700" t="s">
        <v>368</v>
      </c>
      <c r="AA1" s="700" t="s">
        <v>371</v>
      </c>
      <c r="AB1" s="700" t="s">
        <v>369</v>
      </c>
      <c r="AC1" s="700" t="s">
        <v>370</v>
      </c>
      <c r="AD1" s="980" t="s">
        <v>372</v>
      </c>
      <c r="AE1" s="980"/>
      <c r="AF1" s="980"/>
      <c r="AG1" s="698" t="s">
        <v>374</v>
      </c>
      <c r="AH1" s="698" t="s">
        <v>373</v>
      </c>
      <c r="AJ1" s="713"/>
      <c r="AK1" s="714" t="s">
        <v>390</v>
      </c>
      <c r="AL1" s="715" t="s">
        <v>391</v>
      </c>
      <c r="AO1" s="983" t="s">
        <v>306</v>
      </c>
      <c r="AP1" s="698" t="s">
        <v>344</v>
      </c>
      <c r="AQ1" s="709" t="s">
        <v>345</v>
      </c>
      <c r="AR1" s="698" t="s">
        <v>346</v>
      </c>
      <c r="AS1" s="709" t="s">
        <v>347</v>
      </c>
      <c r="AU1" s="710"/>
      <c r="AV1" s="710" t="s">
        <v>104</v>
      </c>
      <c r="AW1" s="711" t="s">
        <v>105</v>
      </c>
      <c r="AX1" s="710" t="s">
        <v>106</v>
      </c>
      <c r="AY1" s="710" t="s">
        <v>107</v>
      </c>
      <c r="AZ1" s="710"/>
      <c r="BA1" s="712" t="s">
        <v>108</v>
      </c>
      <c r="BB1" s="710" t="s">
        <v>109</v>
      </c>
      <c r="BC1" s="710" t="s">
        <v>14</v>
      </c>
    </row>
    <row r="2" spans="1:55" s="702" customFormat="1" ht="13" customHeight="1" x14ac:dyDescent="0.25">
      <c r="A2" s="702" t="s">
        <v>306</v>
      </c>
      <c r="B2" s="699" t="s">
        <v>348</v>
      </c>
      <c r="C2" s="699" t="s">
        <v>349</v>
      </c>
      <c r="D2" s="699" t="s">
        <v>360</v>
      </c>
      <c r="E2" s="699" t="s">
        <v>352</v>
      </c>
      <c r="F2" s="693" t="s">
        <v>355</v>
      </c>
      <c r="G2" s="699" t="s">
        <v>356</v>
      </c>
      <c r="H2" s="699" t="s">
        <v>361</v>
      </c>
      <c r="I2" s="699" t="s">
        <v>357</v>
      </c>
      <c r="J2" s="699" t="s">
        <v>358</v>
      </c>
      <c r="K2" s="699" t="s">
        <v>359</v>
      </c>
      <c r="L2" s="699"/>
      <c r="M2" s="702" t="s">
        <v>306</v>
      </c>
      <c r="N2" s="699" t="s">
        <v>364</v>
      </c>
      <c r="O2" s="699" t="s">
        <v>354</v>
      </c>
      <c r="P2" s="699" t="s">
        <v>350</v>
      </c>
      <c r="Q2" s="699" t="s">
        <v>387</v>
      </c>
      <c r="R2" s="699" t="s">
        <v>351</v>
      </c>
      <c r="S2" s="699" t="s">
        <v>362</v>
      </c>
      <c r="T2" s="699" t="s">
        <v>389</v>
      </c>
      <c r="U2" s="699" t="s">
        <v>353</v>
      </c>
      <c r="V2" s="699" t="s">
        <v>363</v>
      </c>
      <c r="W2" s="699" t="s">
        <v>375</v>
      </c>
      <c r="X2" s="699"/>
      <c r="Y2" s="702" t="s">
        <v>306</v>
      </c>
      <c r="Z2" s="699" t="s">
        <v>376</v>
      </c>
      <c r="AA2" s="699" t="s">
        <v>379</v>
      </c>
      <c r="AB2" s="693" t="s">
        <v>377</v>
      </c>
      <c r="AC2" s="699" t="s">
        <v>378</v>
      </c>
      <c r="AD2" s="699" t="s">
        <v>380</v>
      </c>
      <c r="AE2" s="699" t="s">
        <v>381</v>
      </c>
      <c r="AF2" s="699" t="s">
        <v>382</v>
      </c>
      <c r="AG2" s="699" t="s">
        <v>384</v>
      </c>
      <c r="AH2" s="699" t="s">
        <v>383</v>
      </c>
      <c r="AI2" s="699"/>
      <c r="AJ2" s="702" t="s">
        <v>306</v>
      </c>
      <c r="AK2" s="716" t="s">
        <v>392</v>
      </c>
      <c r="AL2" s="717" t="s">
        <v>366</v>
      </c>
      <c r="AM2" s="699"/>
      <c r="AN2" s="699"/>
      <c r="AO2" s="983"/>
      <c r="AP2" s="981" t="s">
        <v>365</v>
      </c>
      <c r="AQ2" s="981"/>
      <c r="AR2" s="981" t="s">
        <v>366</v>
      </c>
      <c r="AS2" s="981"/>
      <c r="AU2" s="706"/>
      <c r="AV2" s="703" t="s">
        <v>199</v>
      </c>
      <c r="AW2" s="704" t="s">
        <v>199</v>
      </c>
      <c r="AX2" s="703" t="s">
        <v>199</v>
      </c>
      <c r="AY2" s="703" t="s">
        <v>199</v>
      </c>
      <c r="AZ2" s="703"/>
      <c r="BA2" s="705" t="s">
        <v>174</v>
      </c>
      <c r="BB2" s="703"/>
      <c r="BC2" s="703"/>
    </row>
    <row r="3" spans="1:55" s="702" customFormat="1" ht="13" customHeight="1" x14ac:dyDescent="0.35">
      <c r="A3" s="702" t="s">
        <v>233</v>
      </c>
      <c r="B3" s="699" t="s">
        <v>174</v>
      </c>
      <c r="C3" s="699" t="s">
        <v>174</v>
      </c>
      <c r="D3" s="699" t="s">
        <v>174</v>
      </c>
      <c r="E3" s="699" t="s">
        <v>174</v>
      </c>
      <c r="F3" s="699" t="s">
        <v>174</v>
      </c>
      <c r="G3" s="699" t="s">
        <v>174</v>
      </c>
      <c r="H3" s="699" t="s">
        <v>174</v>
      </c>
      <c r="I3" s="699" t="s">
        <v>174</v>
      </c>
      <c r="J3" s="699" t="s">
        <v>174</v>
      </c>
      <c r="K3" s="699" t="s">
        <v>174</v>
      </c>
      <c r="L3" s="699"/>
      <c r="M3" s="702" t="s">
        <v>233</v>
      </c>
      <c r="N3" s="699" t="s">
        <v>174</v>
      </c>
      <c r="O3" s="699" t="s">
        <v>174</v>
      </c>
      <c r="P3" s="699" t="s">
        <v>174</v>
      </c>
      <c r="Q3" s="699" t="s">
        <v>174</v>
      </c>
      <c r="R3" s="699" t="s">
        <v>174</v>
      </c>
      <c r="S3" s="699" t="s">
        <v>174</v>
      </c>
      <c r="T3" s="699" t="s">
        <v>174</v>
      </c>
      <c r="U3" s="699" t="s">
        <v>174</v>
      </c>
      <c r="V3" s="699" t="s">
        <v>174</v>
      </c>
      <c r="W3" s="699" t="s">
        <v>174</v>
      </c>
      <c r="X3" s="699"/>
      <c r="Y3" s="702" t="s">
        <v>233</v>
      </c>
      <c r="Z3" s="699" t="s">
        <v>174</v>
      </c>
      <c r="AA3" s="699" t="s">
        <v>174</v>
      </c>
      <c r="AB3" s="699" t="s">
        <v>174</v>
      </c>
      <c r="AC3" s="699" t="s">
        <v>174</v>
      </c>
      <c r="AD3" s="699" t="s">
        <v>174</v>
      </c>
      <c r="AE3" s="699" t="s">
        <v>174</v>
      </c>
      <c r="AF3" s="699" t="s">
        <v>174</v>
      </c>
      <c r="AG3" s="699" t="s">
        <v>174</v>
      </c>
      <c r="AH3" s="699" t="s">
        <v>174</v>
      </c>
      <c r="AI3" s="699"/>
      <c r="AJ3" s="702" t="s">
        <v>233</v>
      </c>
      <c r="AK3" s="688" t="s">
        <v>174</v>
      </c>
      <c r="AL3" s="718" t="s">
        <v>174</v>
      </c>
      <c r="AM3" s="699"/>
      <c r="AN3" s="699"/>
      <c r="AO3" s="702" t="s">
        <v>233</v>
      </c>
      <c r="AP3" s="982" t="s">
        <v>174</v>
      </c>
      <c r="AQ3" s="982"/>
      <c r="AR3" s="982" t="s">
        <v>174</v>
      </c>
      <c r="AS3" s="982"/>
      <c r="AU3" s="706"/>
      <c r="AV3" s="703"/>
      <c r="AW3" s="704"/>
      <c r="AX3" s="703"/>
      <c r="AY3" s="703"/>
      <c r="AZ3" s="703"/>
      <c r="BA3" s="705"/>
      <c r="BB3" s="703"/>
      <c r="BC3" s="703"/>
    </row>
    <row r="4" spans="1:55" s="703" customFormat="1" ht="13" customHeight="1" x14ac:dyDescent="0.35">
      <c r="A4" s="703">
        <v>260</v>
      </c>
      <c r="B4" s="701">
        <f>'Uncertainty calc'!T26</f>
        <v>0.83</v>
      </c>
      <c r="C4" s="701">
        <f>'Uncertainty calc'!AC26</f>
        <v>4.7760468906970478E-2</v>
      </c>
      <c r="D4" s="701">
        <f>'Uncertainty calc'!AT26</f>
        <v>8.5999999999999993E-2</v>
      </c>
      <c r="E4" s="701">
        <f>'Uncertainty calc'!AG26</f>
        <v>0.02</v>
      </c>
      <c r="F4" s="701">
        <f>-'Uncertainty calc'!AL26</f>
        <v>0.05</v>
      </c>
      <c r="G4" s="701">
        <f>'Uncertainty calc'!AN26</f>
        <v>0.02</v>
      </c>
      <c r="H4" s="701">
        <f>'Uncertainty calc'!AU26</f>
        <v>0</v>
      </c>
      <c r="I4" s="701">
        <f>'Uncertainty calc'!AP26</f>
        <v>5.7678433058717775E-4</v>
      </c>
      <c r="J4" s="701">
        <f>'Uncertainty calc'!AR26</f>
        <v>9.4699887924319664E-6</v>
      </c>
      <c r="K4" s="701">
        <f>SQRT(SUMSQ(I4:J4))</f>
        <v>5.7686206730779891E-4</v>
      </c>
      <c r="L4" s="701"/>
      <c r="M4" s="703">
        <v>260</v>
      </c>
      <c r="N4" s="701">
        <f>'Uncertainty calc'!BB26</f>
        <v>5.4507708873365217E-8</v>
      </c>
      <c r="O4" s="701">
        <f>'Uncertainty calc'!AI26</f>
        <v>0.21695643531694911</v>
      </c>
      <c r="P4" s="701">
        <f>'Uncertainty calc'!AD26</f>
        <v>4.1000000000000002E-2</v>
      </c>
      <c r="Q4" s="701">
        <f>'Uncertainty calc'!AE26</f>
        <v>0.01</v>
      </c>
      <c r="R4" s="701">
        <f>'Uncertainty calc'!AF26</f>
        <v>5.0000000000000001E-3</v>
      </c>
      <c r="S4" s="701">
        <f>'Uncertainty calc'!AV26</f>
        <v>1.5299999999999999E-3</v>
      </c>
      <c r="T4" s="701">
        <f>'Uncertainty calc'!AW26</f>
        <v>1.7898550641310489</v>
      </c>
      <c r="U4" s="701">
        <f>'Uncertainty calc'!AH26</f>
        <v>0.17062719613036165</v>
      </c>
      <c r="V4" s="701">
        <f>'Uncertainty calc'!AX26</f>
        <v>0.54663957322773304</v>
      </c>
      <c r="W4" s="701">
        <f>'Uncertainty calc'!BE26</f>
        <v>5.1961524227066326E-3</v>
      </c>
      <c r="X4" s="701"/>
      <c r="Y4" s="703">
        <v>260</v>
      </c>
      <c r="Z4" s="701">
        <f>'Uncertainty calc'!BF20*100</f>
        <v>0.124</v>
      </c>
      <c r="AA4" s="701">
        <f>'Uncertainty calc'!BK26</f>
        <v>0.02</v>
      </c>
      <c r="AB4" s="701">
        <f>-'Uncertainty calc'!BH26</f>
        <v>0.14449999999999996</v>
      </c>
      <c r="AC4" s="701">
        <f>'Uncertainty calc'!BJ26*100</f>
        <v>8.0829037686547603E-3</v>
      </c>
      <c r="AD4" s="701">
        <f>'Uncertainty calc'!BM26</f>
        <v>5.5951007276332438E-4</v>
      </c>
      <c r="AE4" s="701">
        <f>'Uncertainty calc'!BO26</f>
        <v>3.5894445081125423E-6</v>
      </c>
      <c r="AF4" s="701">
        <f>SQRT(SUMSQ(AD4:AE4))</f>
        <v>5.5952158638920932E-4</v>
      </c>
      <c r="AG4" s="701">
        <f>'Uncertainty calc'!BU26</f>
        <v>3.0802777520799881E-8</v>
      </c>
      <c r="AH4" s="701">
        <f>'Uncertainty calc'!BQ26</f>
        <v>0.40741628335824143</v>
      </c>
      <c r="AI4" s="701"/>
      <c r="AJ4" s="703">
        <v>260</v>
      </c>
      <c r="AK4" s="705">
        <f>'Uncertainty calc'!BX26</f>
        <v>2.1141340023049984</v>
      </c>
      <c r="AL4" s="705">
        <f>'Uncertainty calc'!BZ26</f>
        <v>4.3</v>
      </c>
      <c r="AM4" s="701"/>
      <c r="AN4" s="701"/>
      <c r="AO4" s="703">
        <v>260</v>
      </c>
      <c r="AP4" s="719">
        <f t="shared" ref="AP4:AP18" si="0">SQRT(SUMSQ(B4:U4,G4,K4:Z4))</f>
        <v>450.34162548262896</v>
      </c>
      <c r="AQ4" s="719">
        <f>AP4*2</f>
        <v>900.68325096525791</v>
      </c>
      <c r="AR4" s="719">
        <f t="shared" ref="AR4:AR18" si="1">SQRT(SUMSQ(AP4,B24:Z24))</f>
        <v>450.34162548262896</v>
      </c>
      <c r="AS4" s="719">
        <f>ROUNDUP((AR4*2),1)</f>
        <v>900.7</v>
      </c>
      <c r="AU4" s="701"/>
      <c r="AV4" s="705">
        <v>2.0693635361045115</v>
      </c>
      <c r="AW4" s="705">
        <v>4.138727072209023</v>
      </c>
      <c r="AX4" s="705">
        <v>2.1141340023049984</v>
      </c>
      <c r="AY4" s="704">
        <v>4.2282680046099967</v>
      </c>
      <c r="AZ4" s="705">
        <v>4.3</v>
      </c>
      <c r="BA4" s="705">
        <v>1.6877417232779652</v>
      </c>
    </row>
    <row r="5" spans="1:55" s="703" customFormat="1" ht="13" customHeight="1" x14ac:dyDescent="0.35">
      <c r="A5" s="703">
        <v>270</v>
      </c>
      <c r="B5" s="701">
        <f>'Uncertainty calc'!T27</f>
        <v>0.82</v>
      </c>
      <c r="C5" s="701">
        <f>'Uncertainty calc'!AC27</f>
        <v>4.8869056883478632E-2</v>
      </c>
      <c r="D5" s="701">
        <f>'Uncertainty calc'!AT27</f>
        <v>8.5999999999999993E-2</v>
      </c>
      <c r="E5" s="701">
        <f>'Uncertainty calc'!AG27</f>
        <v>0.02</v>
      </c>
      <c r="F5" s="701">
        <f>-'Uncertainty calc'!AL27</f>
        <v>0.05</v>
      </c>
      <c r="G5" s="701">
        <f>'Uncertainty calc'!AN27</f>
        <v>0.02</v>
      </c>
      <c r="H5" s="701">
        <f>'Uncertainty calc'!AU27</f>
        <v>0</v>
      </c>
      <c r="I5" s="701">
        <f>'Uncertainty calc'!AP27</f>
        <v>3.4936447589730226E-4</v>
      </c>
      <c r="J5" s="701">
        <f>'Uncertainty calc'!AR27</f>
        <v>1.3379539085534855E-5</v>
      </c>
      <c r="K5" s="701">
        <f t="shared" ref="K5:K18" si="2">SQRT(SUMSQ(I5:J5))</f>
        <v>3.4962057874950386E-4</v>
      </c>
      <c r="L5" s="701"/>
      <c r="M5" s="703">
        <v>270</v>
      </c>
      <c r="N5" s="701">
        <f>'Uncertainty calc'!BB27</f>
        <v>3.3250621451701527E-8</v>
      </c>
      <c r="O5" s="701">
        <f>'Uncertainty calc'!AI27</f>
        <v>0.21695643531694911</v>
      </c>
      <c r="P5" s="701">
        <f>'Uncertainty calc'!AD27</f>
        <v>4.1000000000000002E-2</v>
      </c>
      <c r="Q5" s="701">
        <f>'Uncertainty calc'!AE27</f>
        <v>0.01</v>
      </c>
      <c r="R5" s="701">
        <f>'Uncertainty calc'!AF27</f>
        <v>5.0000000000000001E-3</v>
      </c>
      <c r="S5" s="701">
        <f>'Uncertainty calc'!AV27</f>
        <v>1.5299999999999999E-3</v>
      </c>
      <c r="T5" s="701">
        <f>'Uncertainty calc'!AW27</f>
        <v>1.0916626431427356</v>
      </c>
      <c r="U5" s="701">
        <f>'Uncertainty calc'!AH27</f>
        <v>5.7581167452432698E-2</v>
      </c>
      <c r="V5" s="701">
        <f>'Uncertainty calc'!AX27</f>
        <v>0.53780762294678341</v>
      </c>
      <c r="W5" s="701">
        <f>'Uncertainty calc'!BE27</f>
        <v>8.6602540378443865E-3</v>
      </c>
      <c r="X5" s="701"/>
      <c r="Y5" s="703">
        <v>270</v>
      </c>
      <c r="Z5" s="701">
        <f>'Uncertainty calc'!BF21*100</f>
        <v>0.124</v>
      </c>
      <c r="AA5" s="701">
        <f>'Uncertainty calc'!BK27</f>
        <v>0.02</v>
      </c>
      <c r="AB5" s="701">
        <f>-'Uncertainty calc'!BH27</f>
        <v>0.13599999999999995</v>
      </c>
      <c r="AC5" s="701">
        <f>'Uncertainty calc'!BJ27*100</f>
        <v>6.9282032302755096E-3</v>
      </c>
      <c r="AD5" s="701">
        <f>'Uncertainty calc'!BM27</f>
        <v>3.3886194637400919E-4</v>
      </c>
      <c r="AE5" s="701">
        <f>'Uncertainty calc'!BO27</f>
        <v>4.7988763855412864E-6</v>
      </c>
      <c r="AF5" s="701">
        <f t="shared" ref="AF5:AF18" si="3">SQRT(SUMSQ(AD5:AE5))</f>
        <v>3.3889592490165117E-4</v>
      </c>
      <c r="AG5" s="701">
        <f>'Uncertainty calc'!BU27</f>
        <v>1.7651368576131606E-7</v>
      </c>
      <c r="AH5" s="701">
        <f>'Uncertainty calc'!BQ27</f>
        <v>0.35831539366896348</v>
      </c>
      <c r="AI5" s="701"/>
      <c r="AJ5" s="703">
        <v>270</v>
      </c>
      <c r="AK5" s="705">
        <f>'Uncertainty calc'!BX27</f>
        <v>1.5381824592191686</v>
      </c>
      <c r="AL5" s="705">
        <f>'Uncertainty calc'!BZ27</f>
        <v>3.1</v>
      </c>
      <c r="AM5" s="701"/>
      <c r="AN5" s="701"/>
      <c r="AO5" s="703">
        <v>270</v>
      </c>
      <c r="AP5" s="719">
        <f t="shared" si="0"/>
        <v>467.65743703623139</v>
      </c>
      <c r="AQ5" s="719">
        <f t="shared" ref="AQ5:AQ18" si="4">AP5*2</f>
        <v>935.31487407246277</v>
      </c>
      <c r="AR5" s="719">
        <f t="shared" si="1"/>
        <v>467.65743703623139</v>
      </c>
      <c r="AS5" s="719">
        <f t="shared" ref="AS5:AS18" si="5">ROUNDUP((AR5*2),1)</f>
        <v>935.4</v>
      </c>
      <c r="AU5" s="701"/>
      <c r="AV5" s="705">
        <v>1.4895108926284852</v>
      </c>
      <c r="AW5" s="705">
        <v>2.9790217852569705</v>
      </c>
      <c r="AX5" s="705">
        <v>1.5381824592191686</v>
      </c>
      <c r="AY5" s="704">
        <v>3.0763649184383373</v>
      </c>
      <c r="AZ5" s="705">
        <v>3.1</v>
      </c>
      <c r="BA5" s="705">
        <v>2.0671598136773754</v>
      </c>
    </row>
    <row r="6" spans="1:55" s="703" customFormat="1" ht="13" customHeight="1" x14ac:dyDescent="0.35">
      <c r="A6" s="703">
        <v>280</v>
      </c>
      <c r="B6" s="701">
        <f>'Uncertainty calc'!T28</f>
        <v>0.81499999999999995</v>
      </c>
      <c r="C6" s="701">
        <f>'Uncertainty calc'!AC28</f>
        <v>5.1326483640079731E-2</v>
      </c>
      <c r="D6" s="701">
        <f>'Uncertainty calc'!AT28</f>
        <v>8.5999999999999993E-2</v>
      </c>
      <c r="E6" s="701">
        <f>'Uncertainty calc'!AG28</f>
        <v>0.02</v>
      </c>
      <c r="F6" s="701">
        <f>-'Uncertainty calc'!AL28</f>
        <v>0.05</v>
      </c>
      <c r="G6" s="701">
        <f>'Uncertainty calc'!AN28</f>
        <v>0.02</v>
      </c>
      <c r="H6" s="701">
        <f>'Uncertainty calc'!AU28</f>
        <v>0</v>
      </c>
      <c r="I6" s="701">
        <f>'Uncertainty calc'!AP28</f>
        <v>2.3623648822015259E-4</v>
      </c>
      <c r="J6" s="701">
        <f>'Uncertainty calc'!AR28</f>
        <v>1.8127804251580194E-5</v>
      </c>
      <c r="K6" s="701">
        <f t="shared" si="2"/>
        <v>2.3693099344233946E-4</v>
      </c>
      <c r="L6" s="701"/>
      <c r="M6" s="703">
        <v>280</v>
      </c>
      <c r="N6" s="701">
        <f>'Uncertainty calc'!BB28</f>
        <v>2.2563505567046592E-7</v>
      </c>
      <c r="O6" s="701">
        <f>'Uncertainty calc'!AI28</f>
        <v>0.21695643531694911</v>
      </c>
      <c r="P6" s="701">
        <f>'Uncertainty calc'!AD28</f>
        <v>4.1000000000000002E-2</v>
      </c>
      <c r="Q6" s="701">
        <f>'Uncertainty calc'!AE28</f>
        <v>0.01</v>
      </c>
      <c r="R6" s="701">
        <f>'Uncertainty calc'!AF28</f>
        <v>5.0000000000000001E-3</v>
      </c>
      <c r="S6" s="701">
        <f>'Uncertainty calc'!AV28</f>
        <v>1.5299999999999999E-3</v>
      </c>
      <c r="T6" s="701">
        <f>'Uncertainty calc'!AW28</f>
        <v>0.7406391787345834</v>
      </c>
      <c r="U6" s="701">
        <f>'Uncertainty calc'!AH28</f>
        <v>0.23649785162344769</v>
      </c>
      <c r="V6" s="701">
        <f>'Uncertainty calc'!AX28</f>
        <v>1.0751781185395948</v>
      </c>
      <c r="W6" s="701">
        <f>'Uncertainty calc'!BE28</f>
        <v>8.0829037686547603E-3</v>
      </c>
      <c r="X6" s="701"/>
      <c r="Y6" s="703">
        <v>280</v>
      </c>
      <c r="Z6" s="701">
        <f>'Uncertainty calc'!BF22*100</f>
        <v>0.124</v>
      </c>
      <c r="AA6" s="701">
        <f>'Uncertainty calc'!BK28</f>
        <v>0.02</v>
      </c>
      <c r="AB6" s="701">
        <f>-'Uncertainty calc'!BH28</f>
        <v>0.18699999999999992</v>
      </c>
      <c r="AC6" s="701">
        <f>'Uncertainty calc'!BJ28*100</f>
        <v>1.0969655114602891E-2</v>
      </c>
      <c r="AD6" s="701">
        <f>'Uncertainty calc'!BM28</f>
        <v>2.2036092773118488E-4</v>
      </c>
      <c r="AE6" s="701">
        <f>'Uncertainty calc'!BO28</f>
        <v>6.4480886970493068E-6</v>
      </c>
      <c r="AF6" s="701">
        <f t="shared" si="3"/>
        <v>2.2045524788127295E-4</v>
      </c>
      <c r="AG6" s="701">
        <f>'Uncertainty calc'!BU28</f>
        <v>1.1156065435453945E-7</v>
      </c>
      <c r="AH6" s="701">
        <f>'Uncertainty calc'!BQ28</f>
        <v>0.55035822981838844</v>
      </c>
      <c r="AI6" s="701"/>
      <c r="AJ6" s="703">
        <v>280</v>
      </c>
      <c r="AK6" s="705">
        <f>'Uncertainty calc'!BX28</f>
        <v>1.6808478890030922</v>
      </c>
      <c r="AL6" s="705">
        <f>'Uncertainty calc'!BZ28</f>
        <v>3.4</v>
      </c>
      <c r="AM6" s="701"/>
      <c r="AN6" s="701"/>
      <c r="AO6" s="703">
        <v>280</v>
      </c>
      <c r="AP6" s="719">
        <f t="shared" si="0"/>
        <v>484.97748001017681</v>
      </c>
      <c r="AQ6" s="719">
        <f t="shared" si="4"/>
        <v>969.95496002035361</v>
      </c>
      <c r="AR6" s="719">
        <f t="shared" si="1"/>
        <v>484.97748001017681</v>
      </c>
      <c r="AS6" s="719">
        <f t="shared" si="5"/>
        <v>970</v>
      </c>
      <c r="AU6" s="701"/>
      <c r="AV6" s="705">
        <v>1.5769969921563345</v>
      </c>
      <c r="AW6" s="705">
        <v>3.153993984312669</v>
      </c>
      <c r="AX6" s="705">
        <v>1.6808478890030922</v>
      </c>
      <c r="AY6" s="704">
        <v>3.3616957780061845</v>
      </c>
      <c r="AZ6" s="705">
        <v>3.4</v>
      </c>
      <c r="BA6" s="705">
        <v>2.6004865487196027</v>
      </c>
    </row>
    <row r="7" spans="1:55" s="703" customFormat="1" ht="13" customHeight="1" x14ac:dyDescent="0.35">
      <c r="A7" s="703">
        <v>290</v>
      </c>
      <c r="B7" s="701">
        <f>'Uncertainty calc'!T29</f>
        <v>0.82</v>
      </c>
      <c r="C7" s="701">
        <f>'Uncertainty calc'!AC29</f>
        <v>5.5723334528338025E-2</v>
      </c>
      <c r="D7" s="701">
        <f>'Uncertainty calc'!AT29</f>
        <v>8.5999999999999993E-2</v>
      </c>
      <c r="E7" s="701">
        <f>'Uncertainty calc'!AG29</f>
        <v>0.02</v>
      </c>
      <c r="F7" s="701">
        <f>-'Uncertainty calc'!AL29</f>
        <v>0.05</v>
      </c>
      <c r="G7" s="701">
        <f>'Uncertainty calc'!AN29</f>
        <v>0.02</v>
      </c>
      <c r="H7" s="701">
        <f>'Uncertainty calc'!AU29</f>
        <v>0</v>
      </c>
      <c r="I7" s="701">
        <f>'Uncertainty calc'!AP29</f>
        <v>1.6194362278234209E-4</v>
      </c>
      <c r="J7" s="701">
        <f>'Uncertainty calc'!AR29</f>
        <v>2.4854889073274528E-5</v>
      </c>
      <c r="K7" s="701">
        <f t="shared" si="2"/>
        <v>1.6383986837981252E-4</v>
      </c>
      <c r="L7" s="701"/>
      <c r="M7" s="703">
        <v>290</v>
      </c>
      <c r="N7" s="701">
        <f>'Uncertainty calc'!BB29</f>
        <v>1.550373839815868E-7</v>
      </c>
      <c r="O7" s="701">
        <f>'Uncertainty calc'!AI29</f>
        <v>0.21695643531694911</v>
      </c>
      <c r="P7" s="701">
        <f>'Uncertainty calc'!AD29</f>
        <v>4.1000000000000002E-2</v>
      </c>
      <c r="Q7" s="701">
        <f>'Uncertainty calc'!AE29</f>
        <v>0.01</v>
      </c>
      <c r="R7" s="701">
        <f>'Uncertainty calc'!AF29</f>
        <v>5.0000000000000001E-3</v>
      </c>
      <c r="S7" s="701">
        <f>'Uncertainty calc'!AV29</f>
        <v>1.5299999999999999E-3</v>
      </c>
      <c r="T7" s="701">
        <f>'Uncertainty calc'!AW29</f>
        <v>0.50884813553017794</v>
      </c>
      <c r="U7" s="701">
        <f>'Uncertainty calc'!AH29</f>
        <v>0.29071416967378799</v>
      </c>
      <c r="V7" s="701">
        <f>'Uncertainty calc'!AX29</f>
        <v>1.000746842939789</v>
      </c>
      <c r="W7" s="701">
        <f>'Uncertainty calc'!BE29</f>
        <v>1.2124355652982142E-2</v>
      </c>
      <c r="X7" s="701"/>
      <c r="Y7" s="703">
        <v>290</v>
      </c>
      <c r="Z7" s="701">
        <f>'Uncertainty calc'!BF23*100</f>
        <v>0.124</v>
      </c>
      <c r="AA7" s="701">
        <f>'Uncertainty calc'!BK29</f>
        <v>0.02</v>
      </c>
      <c r="AB7" s="701">
        <f>-'Uncertainty calc'!BH29</f>
        <v>0.22099999999999992</v>
      </c>
      <c r="AC7" s="701">
        <f>'Uncertainty calc'!BJ29*100</f>
        <v>1.270170592217177E-2</v>
      </c>
      <c r="AD7" s="701">
        <f>'Uncertainty calc'!BM29</f>
        <v>1.3901653512645237E-4</v>
      </c>
      <c r="AE7" s="701">
        <f>'Uncertainty calc'!BO29</f>
        <v>9.2076398344139247E-6</v>
      </c>
      <c r="AF7" s="701">
        <f t="shared" si="3"/>
        <v>1.3932113145493922E-4</v>
      </c>
      <c r="AG7" s="701">
        <f>'Uncertainty calc'!BU29</f>
        <v>6.9047292608738025E-8</v>
      </c>
      <c r="AH7" s="701">
        <f>'Uncertainty calc'!BQ29</f>
        <v>0.35614831895448107</v>
      </c>
      <c r="AI7" s="701"/>
      <c r="AJ7" s="703">
        <v>290</v>
      </c>
      <c r="AK7" s="705">
        <f>'Uncertainty calc'!BX29</f>
        <v>1.5020806063435319</v>
      </c>
      <c r="AL7" s="705">
        <f>'Uncertainty calc'!BZ29</f>
        <v>3.1</v>
      </c>
      <c r="AM7" s="701"/>
      <c r="AN7" s="701"/>
      <c r="AO7" s="703">
        <v>290</v>
      </c>
      <c r="AP7" s="719">
        <f t="shared" si="0"/>
        <v>502.29721107885183</v>
      </c>
      <c r="AQ7" s="719">
        <f t="shared" si="4"/>
        <v>1004.5944221577037</v>
      </c>
      <c r="AR7" s="719">
        <f t="shared" si="1"/>
        <v>502.29721107885183</v>
      </c>
      <c r="AS7" s="719">
        <f t="shared" si="5"/>
        <v>1004.6</v>
      </c>
      <c r="AU7" s="701"/>
      <c r="AV7" s="705">
        <v>1.4422256930576205</v>
      </c>
      <c r="AW7" s="705">
        <v>2.884451386115241</v>
      </c>
      <c r="AX7" s="705">
        <v>1.5020806063435319</v>
      </c>
      <c r="AY7" s="704">
        <v>3.0041612126870638</v>
      </c>
      <c r="AZ7" s="705">
        <v>3.1</v>
      </c>
      <c r="BA7" s="705">
        <v>2.3015031306381961</v>
      </c>
    </row>
    <row r="8" spans="1:55" s="703" customFormat="1" ht="13" customHeight="1" x14ac:dyDescent="0.35">
      <c r="A8" s="703">
        <v>300</v>
      </c>
      <c r="B8" s="701">
        <f>'Uncertainty calc'!T30</f>
        <v>0.81499999999999995</v>
      </c>
      <c r="C8" s="701">
        <f>'Uncertainty calc'!AC30</f>
        <v>6.2850135453043382E-2</v>
      </c>
      <c r="D8" s="701">
        <f>'Uncertainty calc'!AT30</f>
        <v>8.5999999999999993E-2</v>
      </c>
      <c r="E8" s="701">
        <f>'Uncertainty calc'!AG30</f>
        <v>0.02</v>
      </c>
      <c r="F8" s="701">
        <f>-'Uncertainty calc'!AL30</f>
        <v>0.05</v>
      </c>
      <c r="G8" s="701">
        <f>'Uncertainty calc'!AN30</f>
        <v>0.02</v>
      </c>
      <c r="H8" s="701">
        <f>'Uncertainty calc'!AU30</f>
        <v>0</v>
      </c>
      <c r="I8" s="701">
        <f>'Uncertainty calc'!AP30</f>
        <v>1.1804596377733142E-4</v>
      </c>
      <c r="J8" s="701">
        <f>'Uncertainty calc'!AR30</f>
        <v>3.2809464254321635E-5</v>
      </c>
      <c r="K8" s="701">
        <f t="shared" si="2"/>
        <v>1.2252065339678306E-4</v>
      </c>
      <c r="L8" s="701"/>
      <c r="M8" s="703">
        <v>300</v>
      </c>
      <c r="N8" s="701">
        <f>'Uncertainty calc'!BB30</f>
        <v>1.1316794487802314E-7</v>
      </c>
      <c r="O8" s="701">
        <f>'Uncertainty calc'!AI30</f>
        <v>0.21695643531694911</v>
      </c>
      <c r="P8" s="701">
        <f>'Uncertainty calc'!AD30</f>
        <v>4.1000000000000002E-2</v>
      </c>
      <c r="Q8" s="701">
        <f>'Uncertainty calc'!AE30</f>
        <v>0.01</v>
      </c>
      <c r="R8" s="701">
        <f>'Uncertainty calc'!AF30</f>
        <v>5.0000000000000001E-3</v>
      </c>
      <c r="S8" s="701">
        <f>'Uncertainty calc'!AV30</f>
        <v>1.5299999999999999E-3</v>
      </c>
      <c r="T8" s="701">
        <f>'Uncertainty calc'!AW30</f>
        <v>0.37136855269719005</v>
      </c>
      <c r="U8" s="701">
        <f>'Uncertainty calc'!AH30</f>
        <v>0.15971273127700894</v>
      </c>
      <c r="V8" s="701">
        <f>'Uncertainty calc'!AX30</f>
        <v>0.99495142812901127</v>
      </c>
      <c r="W8" s="701">
        <f>'Uncertainty calc'!BE30</f>
        <v>1.1547005383792516E-3</v>
      </c>
      <c r="X8" s="701"/>
      <c r="Y8" s="703">
        <v>300</v>
      </c>
      <c r="Z8" s="701">
        <f>'Uncertainty calc'!BF24*100</f>
        <v>0.124</v>
      </c>
      <c r="AA8" s="701">
        <f>'Uncertainty calc'!BK30</f>
        <v>0.02</v>
      </c>
      <c r="AB8" s="701">
        <f>-'Uncertainty calc'!BH30</f>
        <v>0.22099999999999992</v>
      </c>
      <c r="AC8" s="701">
        <f>'Uncertainty calc'!BJ30*100</f>
        <v>1.2124355652982142E-2</v>
      </c>
      <c r="AD8" s="701">
        <f>'Uncertainty calc'!BM30</f>
        <v>4.9085162465147545E-4</v>
      </c>
      <c r="AE8" s="701">
        <f>'Uncertainty calc'!BO30</f>
        <v>1.0521431042533269E-5</v>
      </c>
      <c r="AF8" s="701">
        <f t="shared" si="3"/>
        <v>4.9096437542267329E-4</v>
      </c>
      <c r="AG8" s="701">
        <f>'Uncertainty calc'!BU30</f>
        <v>4.83007410015072E-8</v>
      </c>
      <c r="AH8" s="701">
        <f>'Uncertainty calc'!BQ30</f>
        <v>0.32561064786732929</v>
      </c>
      <c r="AI8" s="701"/>
      <c r="AJ8" s="703">
        <v>300</v>
      </c>
      <c r="AK8" s="705">
        <f>'Uncertainty calc'!BX30</f>
        <v>1.4270133544390844</v>
      </c>
      <c r="AL8" s="705">
        <f>'Uncertainty calc'!BZ30</f>
        <v>2.9</v>
      </c>
      <c r="AM8" s="701"/>
      <c r="AN8" s="701"/>
      <c r="AO8" s="703">
        <v>300</v>
      </c>
      <c r="AP8" s="719">
        <f t="shared" si="0"/>
        <v>519.61727182537982</v>
      </c>
      <c r="AQ8" s="719">
        <f t="shared" si="4"/>
        <v>1039.2345436507596</v>
      </c>
      <c r="AR8" s="719">
        <f t="shared" si="1"/>
        <v>519.61727182537982</v>
      </c>
      <c r="AS8" s="719">
        <f t="shared" si="5"/>
        <v>1039.3</v>
      </c>
      <c r="AU8" s="701"/>
      <c r="AV8" s="705">
        <v>1.371532242808587</v>
      </c>
      <c r="AW8" s="705">
        <v>2.743064485617174</v>
      </c>
      <c r="AX8" s="705">
        <v>1.4270133544390844</v>
      </c>
      <c r="AY8" s="704">
        <v>2.8540267088781688</v>
      </c>
      <c r="AZ8" s="705">
        <v>2.9</v>
      </c>
      <c r="BA8" s="705">
        <v>1.9024284954035127</v>
      </c>
    </row>
    <row r="9" spans="1:55" s="703" customFormat="1" ht="13" customHeight="1" x14ac:dyDescent="0.35">
      <c r="A9" s="703">
        <v>310</v>
      </c>
      <c r="B9" s="701">
        <f>'Uncertainty calc'!T31</f>
        <v>0.81499999999999995</v>
      </c>
      <c r="C9" s="701">
        <f>'Uncertainty calc'!AC31</f>
        <v>7.3703315680987175E-2</v>
      </c>
      <c r="D9" s="701">
        <f>'Uncertainty calc'!AT31</f>
        <v>8.5999999999999993E-2</v>
      </c>
      <c r="E9" s="701">
        <f>'Uncertainty calc'!AG31</f>
        <v>0.02</v>
      </c>
      <c r="F9" s="701">
        <f>-'Uncertainty calc'!AL31</f>
        <v>0.05</v>
      </c>
      <c r="G9" s="701">
        <f>'Uncertainty calc'!AN31</f>
        <v>0.02</v>
      </c>
      <c r="H9" s="701">
        <f>'Uncertainty calc'!AU31</f>
        <v>0</v>
      </c>
      <c r="I9" s="701">
        <f>'Uncertainty calc'!AP31</f>
        <v>9.5860775392099371E-5</v>
      </c>
      <c r="J9" s="701">
        <f>'Uncertainty calc'!AR31</f>
        <v>3.9600901061715768E-5</v>
      </c>
      <c r="K9" s="701">
        <f t="shared" si="2"/>
        <v>1.0371846327281525E-4</v>
      </c>
      <c r="L9" s="701"/>
      <c r="M9" s="703">
        <v>310</v>
      </c>
      <c r="N9" s="701">
        <f>'Uncertainty calc'!BB31</f>
        <v>9.196375557560386E-8</v>
      </c>
      <c r="O9" s="701">
        <f>'Uncertainty calc'!AI31</f>
        <v>0.21695643531694911</v>
      </c>
      <c r="P9" s="701">
        <f>'Uncertainty calc'!AD31</f>
        <v>4.1000000000000002E-2</v>
      </c>
      <c r="Q9" s="701">
        <f>'Uncertainty calc'!AE31</f>
        <v>0.01</v>
      </c>
      <c r="R9" s="701">
        <f>'Uncertainty calc'!AF31</f>
        <v>5.0000000000000001E-3</v>
      </c>
      <c r="S9" s="701">
        <f>'Uncertainty calc'!AV31</f>
        <v>1.5299999999999999E-3</v>
      </c>
      <c r="T9" s="701">
        <f>'Uncertainty calc'!AW31</f>
        <v>0.30172625230851063</v>
      </c>
      <c r="U9" s="701">
        <f>'Uncertainty calc'!AH31</f>
        <v>5.6636186723050652E-2</v>
      </c>
      <c r="V9" s="701">
        <f>'Uncertainty calc'!AX31</f>
        <v>1.2182229597017673</v>
      </c>
      <c r="W9" s="701">
        <f>'Uncertainty calc'!BE31</f>
        <v>5.773502691896258E-4</v>
      </c>
      <c r="X9" s="701"/>
      <c r="Y9" s="703">
        <v>310</v>
      </c>
      <c r="Z9" s="701">
        <f>'Uncertainty calc'!BF25*100</f>
        <v>0.124</v>
      </c>
      <c r="AA9" s="701">
        <f>'Uncertainty calc'!BK31</f>
        <v>0.02</v>
      </c>
      <c r="AB9" s="701">
        <f>-'Uncertainty calc'!BH31</f>
        <v>0.18699999999999992</v>
      </c>
      <c r="AC9" s="701">
        <f>'Uncertainty calc'!BJ31*100</f>
        <v>1.0392304845413265E-2</v>
      </c>
      <c r="AD9" s="701">
        <f>'Uncertainty calc'!BM31</f>
        <v>3.9593730029561846E-4</v>
      </c>
      <c r="AE9" s="701">
        <f>'Uncertainty calc'!BO31</f>
        <v>1.2213218236762834E-5</v>
      </c>
      <c r="AF9" s="701">
        <f t="shared" si="3"/>
        <v>3.9612562207597926E-4</v>
      </c>
      <c r="AG9" s="701">
        <f>'Uncertainty calc'!BU31</f>
        <v>3.8791281068766469E-8</v>
      </c>
      <c r="AH9" s="701">
        <f>'Uncertainty calc'!BQ31</f>
        <v>0.42624758634493037</v>
      </c>
      <c r="AI9" s="701"/>
      <c r="AJ9" s="703">
        <v>310</v>
      </c>
      <c r="AK9" s="705">
        <f>'Uncertainty calc'!BX31</f>
        <v>1.5889000085789728</v>
      </c>
      <c r="AL9" s="705">
        <f>'Uncertainty calc'!BZ31</f>
        <v>3.2</v>
      </c>
      <c r="AM9" s="701"/>
      <c r="AN9" s="701"/>
      <c r="AO9" s="703">
        <v>310</v>
      </c>
      <c r="AP9" s="719">
        <f t="shared" si="0"/>
        <v>536.93804712124222</v>
      </c>
      <c r="AQ9" s="719">
        <f t="shared" si="4"/>
        <v>1073.8760942424844</v>
      </c>
      <c r="AR9" s="719">
        <f t="shared" si="1"/>
        <v>536.93804712124222</v>
      </c>
      <c r="AS9" s="719">
        <f t="shared" si="5"/>
        <v>1073.8999999999999</v>
      </c>
      <c r="AU9" s="701"/>
      <c r="AV9" s="705">
        <v>1.5190606287270227</v>
      </c>
      <c r="AW9" s="705">
        <v>3.0381212574540455</v>
      </c>
      <c r="AX9" s="705">
        <v>1.5889000085789728</v>
      </c>
      <c r="AY9" s="704">
        <v>3.1778000171579457</v>
      </c>
      <c r="AZ9" s="705">
        <v>3.2</v>
      </c>
      <c r="BA9" s="705">
        <v>1.8961010950617319</v>
      </c>
    </row>
    <row r="10" spans="1:55" s="703" customFormat="1" ht="13" customHeight="1" x14ac:dyDescent="0.35">
      <c r="A10" s="703">
        <v>320</v>
      </c>
      <c r="B10" s="701">
        <f>'Uncertainty calc'!T32</f>
        <v>0.81499999999999995</v>
      </c>
      <c r="C10" s="701">
        <f>'Uncertainty calc'!AC32</f>
        <v>8.9401661081784906E-2</v>
      </c>
      <c r="D10" s="701">
        <f>'Uncertainty calc'!AT32</f>
        <v>8.5999999999999993E-2</v>
      </c>
      <c r="E10" s="701">
        <f>'Uncertainty calc'!AG32</f>
        <v>0.02</v>
      </c>
      <c r="F10" s="701">
        <f>-'Uncertainty calc'!AL32</f>
        <v>0.05</v>
      </c>
      <c r="G10" s="701">
        <f>'Uncertainty calc'!AN32</f>
        <v>0.02</v>
      </c>
      <c r="H10" s="701">
        <f>'Uncertainty calc'!AU32</f>
        <v>0</v>
      </c>
      <c r="I10" s="701">
        <f>'Uncertainty calc'!AP32</f>
        <v>8.3334341184411261E-5</v>
      </c>
      <c r="J10" s="701">
        <f>'Uncertainty calc'!AR32</f>
        <v>4.5032818255880328E-5</v>
      </c>
      <c r="K10" s="701">
        <f t="shared" si="2"/>
        <v>9.4723635596967101E-5</v>
      </c>
      <c r="L10" s="701"/>
      <c r="M10" s="703">
        <v>320</v>
      </c>
      <c r="N10" s="701">
        <f>'Uncertainty calc'!BB32</f>
        <v>7.9978119347327354E-8</v>
      </c>
      <c r="O10" s="701">
        <f>'Uncertainty calc'!AI32</f>
        <v>0.21695643531694911</v>
      </c>
      <c r="P10" s="701">
        <f>'Uncertainty calc'!AD32</f>
        <v>4.1000000000000002E-2</v>
      </c>
      <c r="Q10" s="701">
        <f>'Uncertainty calc'!AE32</f>
        <v>0.01</v>
      </c>
      <c r="R10" s="701">
        <f>'Uncertainty calc'!AF32</f>
        <v>5.0000000000000001E-3</v>
      </c>
      <c r="S10" s="701">
        <f>'Uncertainty calc'!AV32</f>
        <v>1.5299999999999999E-3</v>
      </c>
      <c r="T10" s="701">
        <f>'Uncertainty calc'!AW32</f>
        <v>0.2623665817437546</v>
      </c>
      <c r="U10" s="701">
        <f>'Uncertainty calc'!AH32</f>
        <v>3.1184524420187931E-2</v>
      </c>
      <c r="V10" s="701">
        <f>'Uncertainty calc'!AX32</f>
        <v>1.0181854906867902</v>
      </c>
      <c r="W10" s="701">
        <f>'Uncertainty calc'!BE32</f>
        <v>5.773502691896258E-4</v>
      </c>
      <c r="X10" s="701"/>
      <c r="Y10" s="703">
        <v>320</v>
      </c>
      <c r="Z10" s="701">
        <f>'Uncertainty calc'!BF26*100</f>
        <v>0.124</v>
      </c>
      <c r="AA10" s="701">
        <f>'Uncertainty calc'!BK32</f>
        <v>0.02</v>
      </c>
      <c r="AB10" s="701">
        <f>-'Uncertainty calc'!BH32</f>
        <v>0.16999999999999993</v>
      </c>
      <c r="AC10" s="701">
        <f>'Uncertainty calc'!BJ32*100</f>
        <v>9.2376043070340145E-3</v>
      </c>
      <c r="AD10" s="701">
        <f>'Uncertainty calc'!BM32</f>
        <v>3.4688664247833201E-4</v>
      </c>
      <c r="AE10" s="701">
        <f>'Uncertainty calc'!BO32</f>
        <v>1.3450365688001666E-5</v>
      </c>
      <c r="AF10" s="701">
        <f t="shared" si="3"/>
        <v>3.4714731032665528E-4</v>
      </c>
      <c r="AG10" s="701">
        <f>'Uncertainty calc'!BU32</f>
        <v>3.3909300791249997E-8</v>
      </c>
      <c r="AH10" s="701">
        <f>'Uncertainty calc'!BQ32</f>
        <v>0.34243436771995445</v>
      </c>
      <c r="AI10" s="701"/>
      <c r="AJ10" s="703">
        <v>320</v>
      </c>
      <c r="AK10" s="705">
        <f>'Uncertainty calc'!BX32</f>
        <v>1.4088526498893332</v>
      </c>
      <c r="AL10" s="705">
        <f>'Uncertainty calc'!BZ32</f>
        <v>2.9</v>
      </c>
      <c r="AM10" s="701"/>
      <c r="AN10" s="701"/>
      <c r="AO10" s="703">
        <v>320</v>
      </c>
      <c r="AP10" s="719">
        <f t="shared" si="0"/>
        <v>554.25803807069656</v>
      </c>
      <c r="AQ10" s="719">
        <f t="shared" si="4"/>
        <v>1108.5160761413931</v>
      </c>
      <c r="AR10" s="719">
        <f t="shared" si="1"/>
        <v>554.25803807069656</v>
      </c>
      <c r="AS10" s="719">
        <f t="shared" si="5"/>
        <v>1108.5999999999999</v>
      </c>
      <c r="AU10" s="701"/>
      <c r="AV10" s="705">
        <v>1.3558401428363553</v>
      </c>
      <c r="AW10" s="705">
        <v>2.7116802856727107</v>
      </c>
      <c r="AX10" s="705">
        <v>1.4088526498893332</v>
      </c>
      <c r="AY10" s="704">
        <v>2.8177052997786665</v>
      </c>
      <c r="AZ10" s="705">
        <v>2.9</v>
      </c>
      <c r="BA10" s="705">
        <v>1.7501770964210523</v>
      </c>
    </row>
    <row r="11" spans="1:55" s="703" customFormat="1" ht="13" customHeight="1" x14ac:dyDescent="0.35">
      <c r="A11" s="703">
        <v>330</v>
      </c>
      <c r="B11" s="701">
        <f>'Uncertainty calc'!T33</f>
        <v>0.81499999999999995</v>
      </c>
      <c r="C11" s="701">
        <f>'Uncertainty calc'!AC33</f>
        <v>0.11079952852089044</v>
      </c>
      <c r="D11" s="701">
        <f>'Uncertainty calc'!AT33</f>
        <v>8.5999999999999993E-2</v>
      </c>
      <c r="E11" s="701">
        <f>'Uncertainty calc'!AG33</f>
        <v>0.02</v>
      </c>
      <c r="F11" s="701">
        <f>-'Uncertainty calc'!AL33</f>
        <v>0.05</v>
      </c>
      <c r="G11" s="701">
        <f>'Uncertainty calc'!AN33</f>
        <v>0.02</v>
      </c>
      <c r="H11" s="701">
        <f>'Uncertainty calc'!AU33</f>
        <v>0</v>
      </c>
      <c r="I11" s="701">
        <f>'Uncertainty calc'!AP33</f>
        <v>7.4563885191233556E-5</v>
      </c>
      <c r="J11" s="701">
        <f>'Uncertainty calc'!AR33</f>
        <v>4.9922271092940496E-5</v>
      </c>
      <c r="K11" s="701">
        <f t="shared" si="2"/>
        <v>8.9732971230693689E-5</v>
      </c>
      <c r="L11" s="701"/>
      <c r="M11" s="703">
        <v>330</v>
      </c>
      <c r="N11" s="701">
        <f>'Uncertainty calc'!BB33</f>
        <v>7.1580667400899007E-8</v>
      </c>
      <c r="O11" s="701">
        <f>'Uncertainty calc'!AI33</f>
        <v>0.21695643531694911</v>
      </c>
      <c r="P11" s="701">
        <f>'Uncertainty calc'!AD33</f>
        <v>4.1000000000000002E-2</v>
      </c>
      <c r="Q11" s="701">
        <f>'Uncertainty calc'!AE33</f>
        <v>0.01</v>
      </c>
      <c r="R11" s="701">
        <f>'Uncertainty calc'!AF33</f>
        <v>5.0000000000000001E-3</v>
      </c>
      <c r="S11" s="701">
        <f>'Uncertainty calc'!AV33</f>
        <v>1.5299999999999999E-3</v>
      </c>
      <c r="T11" s="701">
        <f>'Uncertainty calc'!AW33</f>
        <v>0.23479667664413215</v>
      </c>
      <c r="U11" s="701">
        <f>'Uncertainty calc'!AH33</f>
        <v>3.5247737315514845E-2</v>
      </c>
      <c r="V11" s="701">
        <f>'Uncertainty calc'!AX33</f>
        <v>1.0303712359016433</v>
      </c>
      <c r="W11" s="701">
        <f>'Uncertainty calc'!BE33</f>
        <v>5.773502691896258E-4</v>
      </c>
      <c r="X11" s="701"/>
      <c r="Y11" s="703">
        <v>330</v>
      </c>
      <c r="Z11" s="701">
        <f>'Uncertainty calc'!BF27*100</f>
        <v>0.124</v>
      </c>
      <c r="AA11" s="701">
        <f>'Uncertainty calc'!BK33</f>
        <v>0.02</v>
      </c>
      <c r="AB11" s="701">
        <f>-'Uncertainty calc'!BH33</f>
        <v>0.15299999999999994</v>
      </c>
      <c r="AC11" s="701">
        <f>'Uncertainty calc'!BJ33*100</f>
        <v>8.6602540378443865E-3</v>
      </c>
      <c r="AD11" s="701">
        <f>'Uncertainty calc'!BM33</f>
        <v>3.1059764089226918E-4</v>
      </c>
      <c r="AE11" s="701">
        <f>'Uncertainty calc'!BO33</f>
        <v>1.4617121339261415E-5</v>
      </c>
      <c r="AF11" s="701">
        <f t="shared" si="3"/>
        <v>3.1094140085245915E-4</v>
      </c>
      <c r="AG11" s="701">
        <f>'Uncertainty calc'!BU33</f>
        <v>3.031158905584267E-8</v>
      </c>
      <c r="AH11" s="701">
        <f>'Uncertainty calc'!BQ33</f>
        <v>0.37435376953417465</v>
      </c>
      <c r="AI11" s="701"/>
      <c r="AJ11" s="703">
        <v>330</v>
      </c>
      <c r="AK11" s="705">
        <f>'Uncertainty calc'!BX33</f>
        <v>1.4205859584350069</v>
      </c>
      <c r="AL11" s="705">
        <f>'Uncertainty calc'!BZ33</f>
        <v>2.9</v>
      </c>
      <c r="AM11" s="701"/>
      <c r="AN11" s="701"/>
      <c r="AO11" s="703">
        <v>330</v>
      </c>
      <c r="AP11" s="719">
        <f t="shared" si="0"/>
        <v>571.57849429401472</v>
      </c>
      <c r="AQ11" s="719">
        <f t="shared" si="4"/>
        <v>1143.1569885880294</v>
      </c>
      <c r="AR11" s="719">
        <f t="shared" si="1"/>
        <v>571.57849429401472</v>
      </c>
      <c r="AS11" s="719">
        <f t="shared" si="5"/>
        <v>1143.1999999999998</v>
      </c>
      <c r="AU11" s="701"/>
      <c r="AV11" s="705">
        <v>1.3616580868266352</v>
      </c>
      <c r="AW11" s="705">
        <v>2.7233161736532705</v>
      </c>
      <c r="AX11" s="705">
        <v>1.4205859584350069</v>
      </c>
      <c r="AY11" s="704">
        <v>2.8411719168700138</v>
      </c>
      <c r="AZ11" s="705">
        <v>2.9</v>
      </c>
      <c r="BA11" s="705">
        <v>1.7128122141101969</v>
      </c>
    </row>
    <row r="12" spans="1:55" s="703" customFormat="1" ht="13" customHeight="1" x14ac:dyDescent="0.35">
      <c r="A12" s="703">
        <v>340</v>
      </c>
      <c r="B12" s="701">
        <f>'Uncertainty calc'!T34</f>
        <v>0.81499999999999995</v>
      </c>
      <c r="C12" s="701">
        <f>'Uncertainty calc'!AC34</f>
        <v>0.13731616769385141</v>
      </c>
      <c r="D12" s="701">
        <f>'Uncertainty calc'!AT34</f>
        <v>8.5999999999999993E-2</v>
      </c>
      <c r="E12" s="701">
        <f>'Uncertainty calc'!AG34</f>
        <v>0.02</v>
      </c>
      <c r="F12" s="701">
        <f>-'Uncertainty calc'!AL34</f>
        <v>0.05</v>
      </c>
      <c r="G12" s="701">
        <f>'Uncertainty calc'!AN34</f>
        <v>0.02</v>
      </c>
      <c r="H12" s="701">
        <f>'Uncertainty calc'!AU34</f>
        <v>0</v>
      </c>
      <c r="I12" s="701">
        <f>'Uncertainty calc'!AP34</f>
        <v>6.7965780148049085E-5</v>
      </c>
      <c r="J12" s="701">
        <f>'Uncertainty calc'!AR34</f>
        <v>5.4432421372402984E-5</v>
      </c>
      <c r="K12" s="701">
        <f t="shared" si="2"/>
        <v>8.7076034404397264E-5</v>
      </c>
      <c r="L12" s="701"/>
      <c r="M12" s="703">
        <v>340</v>
      </c>
      <c r="N12" s="701">
        <f>'Uncertainty calc'!BB34</f>
        <v>6.5260127741418435E-8</v>
      </c>
      <c r="O12" s="701">
        <f>'Uncertainty calc'!AI34</f>
        <v>0.21695643531694911</v>
      </c>
      <c r="P12" s="701">
        <f>'Uncertainty calc'!AD34</f>
        <v>4.1000000000000002E-2</v>
      </c>
      <c r="Q12" s="701">
        <f>'Uncertainty calc'!AE34</f>
        <v>0.01</v>
      </c>
      <c r="R12" s="701">
        <f>'Uncertainty calc'!AF34</f>
        <v>5.0000000000000001E-3</v>
      </c>
      <c r="S12" s="701">
        <f>'Uncertainty calc'!AV34</f>
        <v>1.5299999999999999E-3</v>
      </c>
      <c r="T12" s="701">
        <f>'Uncertainty calc'!AW34</f>
        <v>0.21402825626233962</v>
      </c>
      <c r="U12" s="701">
        <f>'Uncertainty calc'!AH34</f>
        <v>3.7258370240166136E-2</v>
      </c>
      <c r="V12" s="701">
        <f>'Uncertainty calc'!AX34</f>
        <v>1.0057463767884469</v>
      </c>
      <c r="W12" s="701">
        <f>'Uncertainty calc'!BE34</f>
        <v>1.1547005383792516E-3</v>
      </c>
      <c r="X12" s="701"/>
      <c r="Y12" s="703">
        <v>340</v>
      </c>
      <c r="Z12" s="701">
        <f>'Uncertainty calc'!BF28*100</f>
        <v>0.124</v>
      </c>
      <c r="AA12" s="701">
        <f>'Uncertainty calc'!BK34</f>
        <v>0.02</v>
      </c>
      <c r="AB12" s="701">
        <f>-'Uncertainty calc'!BH34</f>
        <v>0.15299999999999994</v>
      </c>
      <c r="AC12" s="701">
        <f>'Uncertainty calc'!BJ34*100</f>
        <v>8.6602540378443865E-3</v>
      </c>
      <c r="AD12" s="701">
        <f>'Uncertainty calc'!BM34</f>
        <v>2.8068319964413743E-4</v>
      </c>
      <c r="AE12" s="701">
        <f>'Uncertainty calc'!BO34</f>
        <v>1.5805779419615175E-5</v>
      </c>
      <c r="AF12" s="701">
        <f t="shared" si="3"/>
        <v>2.811278734411304E-4</v>
      </c>
      <c r="AG12" s="701">
        <f>'Uncertainty calc'!BU34</f>
        <v>2.7354821898782694E-6</v>
      </c>
      <c r="AH12" s="701">
        <f>'Uncertainty calc'!BQ34</f>
        <v>0.5767485856376805</v>
      </c>
      <c r="AI12" s="701"/>
      <c r="AJ12" s="703">
        <v>340</v>
      </c>
      <c r="AK12" s="705">
        <f>'Uncertainty calc'!BX34</f>
        <v>1.4689547701618677</v>
      </c>
      <c r="AL12" s="705">
        <f>'Uncertainty calc'!BZ34</f>
        <v>3</v>
      </c>
      <c r="AM12" s="701"/>
      <c r="AN12" s="701"/>
      <c r="AO12" s="703">
        <v>340</v>
      </c>
      <c r="AP12" s="719">
        <f t="shared" si="0"/>
        <v>588.89889898801232</v>
      </c>
      <c r="AQ12" s="719">
        <f t="shared" si="4"/>
        <v>1177.7977979760246</v>
      </c>
      <c r="AR12" s="719">
        <f t="shared" si="1"/>
        <v>588.89889898801232</v>
      </c>
      <c r="AS12" s="719">
        <f t="shared" si="5"/>
        <v>1177.8</v>
      </c>
      <c r="AU12" s="701"/>
      <c r="AV12" s="705">
        <v>1.3421539510326461</v>
      </c>
      <c r="AW12" s="705">
        <v>2.6843079020652922</v>
      </c>
      <c r="AX12" s="705">
        <v>1.4689547701618677</v>
      </c>
      <c r="AY12" s="704">
        <v>2.9379095403237354</v>
      </c>
      <c r="AZ12" s="705">
        <v>3</v>
      </c>
      <c r="BA12" s="705">
        <v>1.4254062711710485</v>
      </c>
    </row>
    <row r="13" spans="1:55" s="703" customFormat="1" ht="13" customHeight="1" x14ac:dyDescent="0.35">
      <c r="A13" s="703">
        <v>350</v>
      </c>
      <c r="B13" s="701">
        <f>'Uncertainty calc'!T35</f>
        <v>0.81499999999999995</v>
      </c>
      <c r="C13" s="701">
        <f>'Uncertainty calc'!AC35</f>
        <v>0.16462215518313481</v>
      </c>
      <c r="D13" s="701">
        <f>'Uncertainty calc'!AT35</f>
        <v>8.5999999999999993E-2</v>
      </c>
      <c r="E13" s="701">
        <f>'Uncertainty calc'!AG35</f>
        <v>0.02</v>
      </c>
      <c r="F13" s="701">
        <f>-'Uncertainty calc'!AL35</f>
        <v>0.05</v>
      </c>
      <c r="G13" s="701">
        <f>'Uncertainty calc'!AN35</f>
        <v>0.02</v>
      </c>
      <c r="H13" s="701">
        <f>'Uncertainty calc'!AU35</f>
        <v>0</v>
      </c>
      <c r="I13" s="701">
        <f>'Uncertainty calc'!AP35</f>
        <v>4.2688193350329717E-4</v>
      </c>
      <c r="J13" s="701">
        <f>'Uncertainty calc'!AR35</f>
        <v>6.366848046590266E-5</v>
      </c>
      <c r="K13" s="701">
        <f t="shared" si="2"/>
        <v>4.3160382361182861E-4</v>
      </c>
      <c r="L13" s="701"/>
      <c r="M13" s="703">
        <v>350</v>
      </c>
      <c r="N13" s="701">
        <f>'Uncertainty calc'!BB35</f>
        <v>6.1490841917051387E-8</v>
      </c>
      <c r="O13" s="701">
        <f>'Uncertainty calc'!AI35</f>
        <v>0.21695643531694911</v>
      </c>
      <c r="P13" s="701">
        <f>'Uncertainty calc'!AD35</f>
        <v>4.1000000000000002E-2</v>
      </c>
      <c r="Q13" s="701">
        <f>'Uncertainty calc'!AE35</f>
        <v>0.01</v>
      </c>
      <c r="R13" s="701">
        <f>'Uncertainty calc'!AF35</f>
        <v>5.0000000000000001E-3</v>
      </c>
      <c r="S13" s="701">
        <f>'Uncertainty calc'!AV35</f>
        <v>1.5299999999999999E-3</v>
      </c>
      <c r="T13" s="701">
        <f>'Uncertainty calc'!AW35</f>
        <v>0.20166791650237076</v>
      </c>
      <c r="U13" s="701">
        <f>'Uncertainty calc'!AH35</f>
        <v>1.6218642227621014E-2</v>
      </c>
      <c r="V13" s="701">
        <f>'Uncertainty calc'!AX35</f>
        <v>1.0405017338513542</v>
      </c>
      <c r="W13" s="701">
        <f>'Uncertainty calc'!BE35</f>
        <v>2.886751345948129E-3</v>
      </c>
      <c r="X13" s="701"/>
      <c r="Y13" s="703">
        <v>350</v>
      </c>
      <c r="Z13" s="701">
        <f>'Uncertainty calc'!BF29*100</f>
        <v>0.124</v>
      </c>
      <c r="AA13" s="701">
        <f>'Uncertainty calc'!BK35</f>
        <v>0.02</v>
      </c>
      <c r="AB13" s="701">
        <f>-'Uncertainty calc'!BH35</f>
        <v>0.13599999999999995</v>
      </c>
      <c r="AC13" s="701">
        <f>'Uncertainty calc'!BJ35*100</f>
        <v>7.5055534994651341E-3</v>
      </c>
      <c r="AD13" s="701">
        <f>'Uncertainty calc'!BM35</f>
        <v>2.6067035739422056E-4</v>
      </c>
      <c r="AE13" s="701">
        <f>'Uncertainty calc'!BO35</f>
        <v>1.6753305841373874E-5</v>
      </c>
      <c r="AF13" s="701">
        <f t="shared" si="3"/>
        <v>2.612081707769596E-4</v>
      </c>
      <c r="AG13" s="701">
        <f>'Uncertainty calc'!BU35</f>
        <v>2.5381234635243708E-7</v>
      </c>
      <c r="AH13" s="701">
        <f>'Uncertainty calc'!BQ35</f>
        <v>0.52213873037439318</v>
      </c>
      <c r="AI13" s="701"/>
      <c r="AJ13" s="703">
        <v>350</v>
      </c>
      <c r="AK13" s="705">
        <f>'Uncertainty calc'!BX35</f>
        <v>1.4717376551504191</v>
      </c>
      <c r="AL13" s="705">
        <f>'Uncertainty calc'!BZ35</f>
        <v>3</v>
      </c>
      <c r="AM13" s="701"/>
      <c r="AN13" s="701"/>
      <c r="AO13" s="703">
        <v>350</v>
      </c>
      <c r="AP13" s="719">
        <f t="shared" si="0"/>
        <v>606.21941578364306</v>
      </c>
      <c r="AQ13" s="719">
        <f t="shared" si="4"/>
        <v>1212.4388315672861</v>
      </c>
      <c r="AR13" s="719">
        <f t="shared" si="1"/>
        <v>606.21941578364306</v>
      </c>
      <c r="AS13" s="719">
        <f t="shared" si="5"/>
        <v>1212.5</v>
      </c>
      <c r="AU13" s="701"/>
      <c r="AV13" s="705">
        <v>1.3691153811984698</v>
      </c>
      <c r="AW13" s="705">
        <v>2.7382307623969395</v>
      </c>
      <c r="AX13" s="705">
        <v>1.4717376551504191</v>
      </c>
      <c r="AY13" s="704">
        <v>2.9434753103008382</v>
      </c>
      <c r="AZ13" s="705">
        <v>3</v>
      </c>
      <c r="BA13" s="705">
        <v>1.2437420014250897</v>
      </c>
    </row>
    <row r="14" spans="1:55" s="703" customFormat="1" ht="13" customHeight="1" x14ac:dyDescent="0.35">
      <c r="A14" s="703">
        <v>360</v>
      </c>
      <c r="B14" s="701">
        <f>'Uncertainty calc'!T36</f>
        <v>0.81499999999999995</v>
      </c>
      <c r="C14" s="701">
        <f>'Uncertainty calc'!AC36</f>
        <v>0.18312244039350858</v>
      </c>
      <c r="D14" s="701">
        <f>'Uncertainty calc'!AT36</f>
        <v>8.5999999999999993E-2</v>
      </c>
      <c r="E14" s="701">
        <f>'Uncertainty calc'!AG36</f>
        <v>0.02</v>
      </c>
      <c r="F14" s="701">
        <f>-'Uncertainty calc'!AL36</f>
        <v>0.05</v>
      </c>
      <c r="G14" s="701">
        <f>'Uncertainty calc'!AN36</f>
        <v>0.02</v>
      </c>
      <c r="H14" s="701">
        <f>'Uncertainty calc'!AU36</f>
        <v>0</v>
      </c>
      <c r="I14" s="701">
        <f>'Uncertainty calc'!AP36</f>
        <v>4.1945177766892171E-4</v>
      </c>
      <c r="J14" s="701">
        <f>'Uncertainty calc'!AR36</f>
        <v>6.4387215368949378E-5</v>
      </c>
      <c r="K14" s="701">
        <f t="shared" si="2"/>
        <v>4.2436482805787053E-4</v>
      </c>
      <c r="L14" s="701"/>
      <c r="M14" s="703">
        <v>360</v>
      </c>
      <c r="N14" s="701">
        <f>'Uncertainty calc'!BB36</f>
        <v>6.0422681065563545E-8</v>
      </c>
      <c r="O14" s="701">
        <f>'Uncertainty calc'!AI36</f>
        <v>0.21695643531694911</v>
      </c>
      <c r="P14" s="701">
        <f>'Uncertainty calc'!AD36</f>
        <v>4.1000000000000002E-2</v>
      </c>
      <c r="Q14" s="701">
        <f>'Uncertainty calc'!AE36</f>
        <v>0.01</v>
      </c>
      <c r="R14" s="701">
        <f>'Uncertainty calc'!AF36</f>
        <v>5.0000000000000001E-3</v>
      </c>
      <c r="S14" s="701">
        <f>'Uncertainty calc'!AV36</f>
        <v>1.5299999999999999E-3</v>
      </c>
      <c r="T14" s="701">
        <f>'Uncertainty calc'!AW36</f>
        <v>0.19815472786804045</v>
      </c>
      <c r="U14" s="701">
        <f>'Uncertainty calc'!AH36</f>
        <v>9.0396589540210404E-2</v>
      </c>
      <c r="V14" s="701">
        <f>'Uncertainty calc'!AX36</f>
        <v>1.046032519047934</v>
      </c>
      <c r="W14" s="701">
        <f>'Uncertainty calc'!BE36</f>
        <v>7.5055534994651349E-3</v>
      </c>
      <c r="X14" s="701"/>
      <c r="Y14" s="703">
        <v>360</v>
      </c>
      <c r="Z14" s="701">
        <f>'Uncertainty calc'!BF30*100</f>
        <v>0.124</v>
      </c>
      <c r="AA14" s="701">
        <f>'Uncertainty calc'!BK36</f>
        <v>0.02</v>
      </c>
      <c r="AB14" s="701">
        <f>-'Uncertainty calc'!BH36</f>
        <v>0.11049999999999996</v>
      </c>
      <c r="AC14" s="701">
        <f>'Uncertainty calc'!BJ36*100</f>
        <v>5.7735026918962588E-3</v>
      </c>
      <c r="AD14" s="701">
        <f>'Uncertainty calc'!BM36</f>
        <v>2.4984493057913365E-4</v>
      </c>
      <c r="AE14" s="701">
        <f>'Uncertainty calc'!BO36</f>
        <v>1.7329108229872997E-5</v>
      </c>
      <c r="AF14" s="701">
        <f t="shared" si="3"/>
        <v>2.504451782888518E-4</v>
      </c>
      <c r="AG14" s="701">
        <f>'Uncertainty calc'!BU36</f>
        <v>2.4315186750639055E-7</v>
      </c>
      <c r="AH14" s="701">
        <f>'Uncertainty calc'!BQ36</f>
        <v>0.491580135077401</v>
      </c>
      <c r="AI14" s="701"/>
      <c r="AJ14" s="703">
        <v>360</v>
      </c>
      <c r="AK14" s="705">
        <f>'Uncertainty calc'!BX36</f>
        <v>1.4674036699768662</v>
      </c>
      <c r="AL14" s="705">
        <f>'Uncertainty calc'!BZ36</f>
        <v>3</v>
      </c>
      <c r="AM14" s="701"/>
      <c r="AN14" s="701"/>
      <c r="AO14" s="703">
        <v>360</v>
      </c>
      <c r="AP14" s="719">
        <f t="shared" si="0"/>
        <v>623.53990337610571</v>
      </c>
      <c r="AQ14" s="719">
        <f t="shared" si="4"/>
        <v>1247.0798067522114</v>
      </c>
      <c r="AR14" s="719">
        <f t="shared" si="1"/>
        <v>623.53990337610571</v>
      </c>
      <c r="AS14" s="719">
        <f t="shared" si="5"/>
        <v>1247.0999999999999</v>
      </c>
      <c r="AU14" s="701"/>
      <c r="AV14" s="705">
        <v>1.3780255129965291</v>
      </c>
      <c r="AW14" s="705">
        <v>2.7560510259930582</v>
      </c>
      <c r="AX14" s="705">
        <v>1.4674036699768662</v>
      </c>
      <c r="AY14" s="704">
        <v>2.9348073399537324</v>
      </c>
      <c r="AZ14" s="705">
        <v>3</v>
      </c>
      <c r="BA14" s="705">
        <v>1.7565299125171339</v>
      </c>
    </row>
    <row r="15" spans="1:55" s="703" customFormat="1" ht="13" customHeight="1" x14ac:dyDescent="0.35">
      <c r="A15" s="703">
        <v>370</v>
      </c>
      <c r="B15" s="701">
        <f>'Uncertainty calc'!T37</f>
        <v>0.66500000000000004</v>
      </c>
      <c r="C15" s="701">
        <f>'Uncertainty calc'!AC37</f>
        <v>0.18294096039193655</v>
      </c>
      <c r="D15" s="701">
        <f>'Uncertainty calc'!AT37</f>
        <v>8.5999999999999993E-2</v>
      </c>
      <c r="E15" s="701">
        <f>'Uncertainty calc'!AG37</f>
        <v>0.02</v>
      </c>
      <c r="F15" s="701">
        <f>-'Uncertainty calc'!AL37</f>
        <v>0.05</v>
      </c>
      <c r="G15" s="701">
        <f>'Uncertainty calc'!AN37</f>
        <v>0.02</v>
      </c>
      <c r="H15" s="701">
        <f>'Uncertainty calc'!AU37</f>
        <v>0</v>
      </c>
      <c r="I15" s="701">
        <f>'Uncertainty calc'!AP37</f>
        <v>4.0535713576170278E-4</v>
      </c>
      <c r="J15" s="701">
        <f>'Uncertainty calc'!AR37</f>
        <v>6.5823018222065807E-5</v>
      </c>
      <c r="K15" s="701">
        <f t="shared" si="2"/>
        <v>4.1066662542845378E-4</v>
      </c>
      <c r="L15" s="701"/>
      <c r="M15" s="703">
        <v>370</v>
      </c>
      <c r="N15" s="701">
        <f>'Uncertainty calc'!BB37</f>
        <v>5.8396226603740059E-8</v>
      </c>
      <c r="O15" s="701">
        <f>'Uncertainty calc'!AI37</f>
        <v>0.21695643531694911</v>
      </c>
      <c r="P15" s="701">
        <f>'Uncertainty calc'!AD37</f>
        <v>4.1000000000000002E-2</v>
      </c>
      <c r="Q15" s="701">
        <f>'Uncertainty calc'!AE37</f>
        <v>0.01</v>
      </c>
      <c r="R15" s="701">
        <f>'Uncertainty calc'!AF37</f>
        <v>5.0000000000000001E-3</v>
      </c>
      <c r="S15" s="701">
        <f>'Uncertainty calc'!AV37</f>
        <v>1.5299999999999999E-3</v>
      </c>
      <c r="T15" s="701">
        <f>'Uncertainty calc'!AW37</f>
        <v>0.19148792540971271</v>
      </c>
      <c r="U15" s="701">
        <f>'Uncertainty calc'!AH37</f>
        <v>0.46637634273336609</v>
      </c>
      <c r="V15" s="701">
        <f>'Uncertainty calc'!AX37</f>
        <v>1.0746005474408782</v>
      </c>
      <c r="W15" s="701">
        <f>'Uncertainty calc'!BE37</f>
        <v>7.5055534994651349E-3</v>
      </c>
      <c r="X15" s="701"/>
      <c r="Y15" s="703">
        <v>370</v>
      </c>
      <c r="Z15" s="701">
        <f>'Uncertainty calc'!BF31*100</f>
        <v>0.124</v>
      </c>
      <c r="AA15" s="701">
        <f>'Uncertainty calc'!BK37</f>
        <v>0.02</v>
      </c>
      <c r="AB15" s="701">
        <f>-'Uncertainty calc'!BH37</f>
        <v>0.25499999999999989</v>
      </c>
      <c r="AC15" s="701">
        <f>'Uncertainty calc'!BJ37*100</f>
        <v>1.3856406460551019E-2</v>
      </c>
      <c r="AD15" s="701">
        <f>'Uncertainty calc'!BM37</f>
        <v>2.0822549086447681E-4</v>
      </c>
      <c r="AE15" s="701">
        <f>'Uncertainty calc'!BO37</f>
        <v>2.0100401045894577E-5</v>
      </c>
      <c r="AF15" s="701">
        <f t="shared" si="3"/>
        <v>2.0919340612925188E-4</v>
      </c>
      <c r="AG15" s="701">
        <f>'Uncertainty calc'!BU37</f>
        <v>2.0226359294076455E-7</v>
      </c>
      <c r="AH15" s="701">
        <f>'Uncertainty calc'!BQ37</f>
        <v>0.63443401624814721</v>
      </c>
      <c r="AI15" s="701"/>
      <c r="AJ15" s="703">
        <v>370</v>
      </c>
      <c r="AK15" s="705">
        <f>'Uncertainty calc'!BX37</f>
        <v>1.553125014101876</v>
      </c>
      <c r="AL15" s="705">
        <f>'Uncertainty calc'!BZ37</f>
        <v>3.2</v>
      </c>
      <c r="AM15" s="701"/>
      <c r="AN15" s="701"/>
      <c r="AO15" s="703">
        <v>370</v>
      </c>
      <c r="AP15" s="719">
        <f t="shared" si="0"/>
        <v>640.86056447052476</v>
      </c>
      <c r="AQ15" s="719">
        <f t="shared" si="4"/>
        <v>1281.7211289410495</v>
      </c>
      <c r="AR15" s="719">
        <f t="shared" si="1"/>
        <v>640.86056447052476</v>
      </c>
      <c r="AS15" s="719">
        <f t="shared" si="5"/>
        <v>1281.8</v>
      </c>
      <c r="AU15" s="701"/>
      <c r="AV15" s="705">
        <v>1.3943485412768728</v>
      </c>
      <c r="AW15" s="705">
        <v>2.7886970825537456</v>
      </c>
      <c r="AX15" s="705">
        <v>1.553125014101876</v>
      </c>
      <c r="AY15" s="704">
        <v>3.106250028203752</v>
      </c>
      <c r="AZ15" s="705">
        <v>3.2</v>
      </c>
      <c r="BA15" s="705">
        <v>3.0366122153763011</v>
      </c>
    </row>
    <row r="16" spans="1:55" s="703" customFormat="1" ht="13" customHeight="1" x14ac:dyDescent="0.35">
      <c r="A16" s="703">
        <v>380</v>
      </c>
      <c r="B16" s="701">
        <f>'Uncertainty calc'!T38</f>
        <v>0.39500000000000002</v>
      </c>
      <c r="C16" s="701">
        <f>'Uncertainty calc'!AC38</f>
        <v>0.16401479416641085</v>
      </c>
      <c r="D16" s="701">
        <f>'Uncertainty calc'!AT38</f>
        <v>8.5999999999999993E-2</v>
      </c>
      <c r="E16" s="701">
        <f>'Uncertainty calc'!AG38</f>
        <v>0.02</v>
      </c>
      <c r="F16" s="701">
        <f>-'Uncertainty calc'!AL38</f>
        <v>0.05</v>
      </c>
      <c r="G16" s="701">
        <f>'Uncertainty calc'!AN38</f>
        <v>0.02</v>
      </c>
      <c r="H16" s="701">
        <f>'Uncertainty calc'!AU38</f>
        <v>0</v>
      </c>
      <c r="I16" s="701">
        <f>'Uncertainty calc'!AP38</f>
        <v>3.6562983179261132E-4</v>
      </c>
      <c r="J16" s="701">
        <f>'Uncertainty calc'!AR38</f>
        <v>7.0465714522636205E-5</v>
      </c>
      <c r="K16" s="701">
        <f t="shared" si="2"/>
        <v>3.7235814858799438E-4</v>
      </c>
      <c r="L16" s="701"/>
      <c r="M16" s="703">
        <v>380</v>
      </c>
      <c r="N16" s="701">
        <f>'Uncertainty calc'!BB38</f>
        <v>5.26829540527371E-8</v>
      </c>
      <c r="O16" s="701">
        <f>'Uncertainty calc'!AI38</f>
        <v>0.21695643531694911</v>
      </c>
      <c r="P16" s="701">
        <f>'Uncertainty calc'!AD38</f>
        <v>4.1000000000000002E-2</v>
      </c>
      <c r="Q16" s="701">
        <f>'Uncertainty calc'!AE38</f>
        <v>0.01</v>
      </c>
      <c r="R16" s="701">
        <f>'Uncertainty calc'!AF38</f>
        <v>5.0000000000000001E-3</v>
      </c>
      <c r="S16" s="701">
        <f>'Uncertainty calc'!AV38</f>
        <v>1.5299999999999999E-3</v>
      </c>
      <c r="T16" s="701">
        <f>'Uncertainty calc'!AW38</f>
        <v>0.17274830691062301</v>
      </c>
      <c r="U16" s="701">
        <f>'Uncertainty calc'!AH38</f>
        <v>0.52947915482249996</v>
      </c>
      <c r="V16" s="701">
        <f>'Uncertainty calc'!AX38</f>
        <v>1.0445716380887453</v>
      </c>
      <c r="W16" s="701">
        <f>'Uncertainty calc'!BE38</f>
        <v>2.3094010767585032E-3</v>
      </c>
      <c r="X16" s="701"/>
      <c r="Y16" s="703">
        <v>380</v>
      </c>
      <c r="Z16" s="701">
        <f>'Uncertainty calc'!BF32*100</f>
        <v>0.124</v>
      </c>
      <c r="AA16" s="701">
        <f>'Uncertainty calc'!BK38</f>
        <v>0.02</v>
      </c>
      <c r="AB16" s="701">
        <f>-'Uncertainty calc'!BH38</f>
        <v>0.33999999999999986</v>
      </c>
      <c r="AC16" s="701">
        <f>'Uncertainty calc'!BJ38*100</f>
        <v>1.8475208614068029E-2</v>
      </c>
      <c r="AD16" s="701">
        <f>'Uncertainty calc'!BM38</f>
        <v>1.3946819260652222E-4</v>
      </c>
      <c r="AE16" s="701">
        <f>'Uncertainty calc'!BO38</f>
        <v>2.8302034554520789E-5</v>
      </c>
      <c r="AF16" s="701">
        <f t="shared" si="3"/>
        <v>1.423108636361092E-4</v>
      </c>
      <c r="AG16" s="701">
        <f>'Uncertainty calc'!BU38</f>
        <v>1.3505239063991295E-7</v>
      </c>
      <c r="AH16" s="701">
        <f>'Uncertainty calc'!BQ38</f>
        <v>0.68048392836131211</v>
      </c>
      <c r="AI16" s="701"/>
      <c r="AJ16" s="703">
        <v>380</v>
      </c>
      <c r="AK16" s="705">
        <f>'Uncertainty calc'!BX38</f>
        <v>1.4909345355145649</v>
      </c>
      <c r="AL16" s="705">
        <f>'Uncertainty calc'!BZ38</f>
        <v>3</v>
      </c>
      <c r="AM16" s="701"/>
      <c r="AN16" s="701"/>
      <c r="AO16" s="703">
        <v>380</v>
      </c>
      <c r="AP16" s="719">
        <f t="shared" si="0"/>
        <v>658.18084040078713</v>
      </c>
      <c r="AQ16" s="719">
        <f t="shared" si="4"/>
        <v>1316.3616808015743</v>
      </c>
      <c r="AR16" s="719">
        <f t="shared" si="1"/>
        <v>658.18084040078713</v>
      </c>
      <c r="AS16" s="719">
        <f t="shared" si="5"/>
        <v>1316.3999999999999</v>
      </c>
      <c r="AU16" s="701"/>
      <c r="AV16" s="705">
        <v>1.2821156293848543</v>
      </c>
      <c r="AW16" s="705">
        <v>2.5642312587697087</v>
      </c>
      <c r="AX16" s="705">
        <v>1.4909345355145649</v>
      </c>
      <c r="AY16" s="704">
        <v>2.9818690710291298</v>
      </c>
      <c r="AZ16" s="705">
        <v>3</v>
      </c>
      <c r="BA16" s="705">
        <v>2.369099712073488</v>
      </c>
    </row>
    <row r="17" spans="1:53" s="703" customFormat="1" ht="13" customHeight="1" x14ac:dyDescent="0.35">
      <c r="A17" s="703">
        <v>390</v>
      </c>
      <c r="B17" s="701">
        <f>'Uncertainty calc'!T39</f>
        <v>0.32500000000000001</v>
      </c>
      <c r="C17" s="701">
        <f>'Uncertainty calc'!AC39</f>
        <v>0.13609575826298159</v>
      </c>
      <c r="D17" s="701">
        <f>'Uncertainty calc'!AT39</f>
        <v>8.5999999999999993E-2</v>
      </c>
      <c r="E17" s="701">
        <f>'Uncertainty calc'!AG39</f>
        <v>0.02</v>
      </c>
      <c r="F17" s="701">
        <f>-'Uncertainty calc'!AL39</f>
        <v>0.05</v>
      </c>
      <c r="G17" s="701">
        <f>'Uncertainty calc'!AN39</f>
        <v>0.02</v>
      </c>
      <c r="H17" s="701">
        <f>'Uncertainty calc'!AU39</f>
        <v>0</v>
      </c>
      <c r="I17" s="701">
        <f>'Uncertainty calc'!AP39</f>
        <v>3.3159870931408003E-4</v>
      </c>
      <c r="J17" s="701">
        <f>'Uncertainty calc'!AR39</f>
        <v>7.5327350612353013E-5</v>
      </c>
      <c r="K17" s="701">
        <f t="shared" si="2"/>
        <v>3.4004692877460328E-4</v>
      </c>
      <c r="L17" s="701"/>
      <c r="M17" s="703">
        <v>390</v>
      </c>
      <c r="N17" s="701">
        <f>'Uncertainty calc'!BB39</f>
        <v>4.7787160523524232E-8</v>
      </c>
      <c r="O17" s="701">
        <f>'Uncertainty calc'!AI39</f>
        <v>0.21695643531694911</v>
      </c>
      <c r="P17" s="701">
        <f>'Uncertainty calc'!AD39</f>
        <v>4.1000000000000002E-2</v>
      </c>
      <c r="Q17" s="701">
        <f>'Uncertainty calc'!AE39</f>
        <v>0.01</v>
      </c>
      <c r="R17" s="701">
        <f>'Uncertainty calc'!AF39</f>
        <v>5.0000000000000001E-3</v>
      </c>
      <c r="S17" s="701">
        <f>'Uncertainty calc'!AV39</f>
        <v>1.5299999999999999E-3</v>
      </c>
      <c r="T17" s="701">
        <f>'Uncertainty calc'!AW39</f>
        <v>0.156680166331124</v>
      </c>
      <c r="U17" s="701">
        <f>'Uncertainty calc'!AH39</f>
        <v>0.32072637560174122</v>
      </c>
      <c r="V17" s="701">
        <f>'Uncertainty calc'!AX39</f>
        <v>1.1299208407275865</v>
      </c>
      <c r="W17" s="701">
        <f>'Uncertainty calc'!BE39</f>
        <v>1.1547005383792516E-3</v>
      </c>
      <c r="X17" s="701"/>
      <c r="Y17" s="703">
        <v>390</v>
      </c>
      <c r="Z17" s="701">
        <f>'Uncertainty calc'!BF33*100</f>
        <v>0.124</v>
      </c>
      <c r="AA17" s="701">
        <f>'Uncertainty calc'!BK39</f>
        <v>0.02</v>
      </c>
      <c r="AB17" s="701">
        <f>-'Uncertainty calc'!BH39</f>
        <v>0.25499999999999989</v>
      </c>
      <c r="AC17" s="701">
        <f>'Uncertainty calc'!BJ39*100</f>
        <v>1.4433756729740645E-2</v>
      </c>
      <c r="AD17" s="701">
        <f>'Uncertainty calc'!BM39</f>
        <v>1.0318848487469457E-4</v>
      </c>
      <c r="AE17" s="701">
        <f>'Uncertainty calc'!BO39</f>
        <v>3.703472356335549E-5</v>
      </c>
      <c r="AF17" s="701">
        <f t="shared" si="3"/>
        <v>1.0963318001476209E-4</v>
      </c>
      <c r="AG17" s="701">
        <f>'Uncertainty calc'!BU39</f>
        <v>9.9757180955963028E-8</v>
      </c>
      <c r="AH17" s="701">
        <f>'Uncertainty calc'!BQ39</f>
        <v>0.44854618926727002</v>
      </c>
      <c r="AI17" s="701"/>
      <c r="AJ17" s="703">
        <v>390</v>
      </c>
      <c r="AK17" s="705">
        <f>'Uncertainty calc'!BX39</f>
        <v>1.3617923422113751</v>
      </c>
      <c r="AL17" s="705">
        <f>'Uncertainty calc'!BZ39</f>
        <v>2.8000000000000003</v>
      </c>
      <c r="AM17" s="701"/>
      <c r="AN17" s="701"/>
      <c r="AO17" s="703">
        <v>390</v>
      </c>
      <c r="AP17" s="719">
        <f t="shared" si="0"/>
        <v>675.50113243937528</v>
      </c>
      <c r="AQ17" s="719">
        <f t="shared" si="4"/>
        <v>1351.0022648787506</v>
      </c>
      <c r="AR17" s="719">
        <f t="shared" si="1"/>
        <v>675.50113243937528</v>
      </c>
      <c r="AS17" s="719">
        <f t="shared" si="5"/>
        <v>1351.1</v>
      </c>
      <c r="AU17" s="701"/>
      <c r="AV17" s="705">
        <v>1.2601018989007369</v>
      </c>
      <c r="AW17" s="705">
        <v>2.5202037978014737</v>
      </c>
      <c r="AX17" s="705">
        <v>1.3617923422113751</v>
      </c>
      <c r="AY17" s="704">
        <v>2.7235846844227503</v>
      </c>
      <c r="AZ17" s="705">
        <v>2.8000000000000003</v>
      </c>
      <c r="BA17" s="705">
        <v>1.5022106744109165</v>
      </c>
    </row>
    <row r="18" spans="1:53" s="703" customFormat="1" ht="13" customHeight="1" x14ac:dyDescent="0.35">
      <c r="A18" s="703">
        <v>400</v>
      </c>
      <c r="B18" s="701">
        <f>'Uncertainty calc'!T40</f>
        <v>0.245</v>
      </c>
      <c r="C18" s="701">
        <f>'Uncertainty calc'!AC40</f>
        <v>0.10866130519205819</v>
      </c>
      <c r="D18" s="701">
        <f>'Uncertainty calc'!AT40</f>
        <v>8.5999999999999993E-2</v>
      </c>
      <c r="E18" s="701">
        <f>'Uncertainty calc'!AG40</f>
        <v>0.02</v>
      </c>
      <c r="F18" s="701">
        <f>-'Uncertainty calc'!AL40</f>
        <v>0.05</v>
      </c>
      <c r="G18" s="701">
        <f>'Uncertainty calc'!AN40</f>
        <v>0.02</v>
      </c>
      <c r="H18" s="701">
        <f>'Uncertainty calc'!AU40</f>
        <v>0</v>
      </c>
      <c r="I18" s="701">
        <f>'Uncertainty calc'!AP40</f>
        <v>3.0268187548869967E-4</v>
      </c>
      <c r="J18" s="701">
        <f>'Uncertainty calc'!AR40</f>
        <v>8.0317483589417124E-5</v>
      </c>
      <c r="K18" s="701">
        <f t="shared" si="2"/>
        <v>3.1315685513731451E-4</v>
      </c>
      <c r="L18" s="701"/>
      <c r="M18" s="703">
        <v>400</v>
      </c>
      <c r="N18" s="701">
        <f>'Uncertainty calc'!BB40</f>
        <v>4.3625878440835383E-8</v>
      </c>
      <c r="O18" s="701">
        <f>'Uncertainty calc'!AI40</f>
        <v>0.21695643531694911</v>
      </c>
      <c r="P18" s="701">
        <f>'Uncertainty calc'!AD40</f>
        <v>4.1000000000000002E-2</v>
      </c>
      <c r="Q18" s="701">
        <f>'Uncertainty calc'!AE40</f>
        <v>0.01</v>
      </c>
      <c r="R18" s="701">
        <f>'Uncertainty calc'!AF40</f>
        <v>5.0000000000000001E-3</v>
      </c>
      <c r="S18" s="701">
        <f>'Uncertainty calc'!AV40</f>
        <v>1.5299999999999999E-3</v>
      </c>
      <c r="T18" s="701">
        <f>'Uncertainty calc'!AW40</f>
        <v>0.14302922849223132</v>
      </c>
      <c r="U18" s="701">
        <f>'Uncertainty calc'!AH40</f>
        <v>0.22241856202039012</v>
      </c>
      <c r="V18" s="701">
        <f>'Uncertainty calc'!AX40</f>
        <v>1.0711532645164255</v>
      </c>
      <c r="W18" s="701">
        <f>'Uncertainty calc'!BE40</f>
        <v>5.773502691896258E-4</v>
      </c>
      <c r="X18" s="701"/>
      <c r="Y18" s="703">
        <v>400</v>
      </c>
      <c r="Z18" s="701">
        <f>'Uncertainty calc'!BF34*100</f>
        <v>0.124</v>
      </c>
      <c r="AA18" s="701">
        <f>'Uncertainty calc'!BK40</f>
        <v>0.02</v>
      </c>
      <c r="AB18" s="701">
        <f>-'Uncertainty calc'!BH40</f>
        <v>0.19549999999999992</v>
      </c>
      <c r="AC18" s="701">
        <f>'Uncertainty calc'!BJ40*100</f>
        <v>1.0969655114602891E-2</v>
      </c>
      <c r="AD18" s="701">
        <f>'Uncertainty calc'!BM40</f>
        <v>8.4246153369640331E-5</v>
      </c>
      <c r="AE18" s="701">
        <f>'Uncertainty calc'!BO40</f>
        <v>4.458291210774962E-5</v>
      </c>
      <c r="AF18" s="701">
        <f t="shared" si="3"/>
        <v>9.5315530788997273E-5</v>
      </c>
      <c r="AG18" s="701">
        <f>'Uncertainty calc'!BU40</f>
        <v>8.1374913102828041E-8</v>
      </c>
      <c r="AH18" s="701">
        <f>'Uncertainty calc'!BQ40</f>
        <v>0.48201877558470607</v>
      </c>
      <c r="AI18" s="701"/>
      <c r="AJ18" s="703">
        <v>400</v>
      </c>
      <c r="AK18" s="705">
        <f>'Uncertainty calc'!BX40</f>
        <v>1.2726616785796201</v>
      </c>
      <c r="AL18" s="705">
        <f>'Uncertainty calc'!BZ40</f>
        <v>2.6</v>
      </c>
      <c r="AM18" s="701"/>
      <c r="AN18" s="701"/>
      <c r="AO18" s="703">
        <v>400</v>
      </c>
      <c r="AP18" s="719">
        <f t="shared" si="0"/>
        <v>692.8213934960786</v>
      </c>
      <c r="AQ18" s="719">
        <f t="shared" si="4"/>
        <v>1385.6427869921572</v>
      </c>
      <c r="AR18" s="719">
        <f t="shared" si="1"/>
        <v>692.8213934960786</v>
      </c>
      <c r="AS18" s="719">
        <f t="shared" si="5"/>
        <v>1385.6999999999998</v>
      </c>
      <c r="AU18" s="701"/>
      <c r="AV18" s="705">
        <v>1.1613369476845181</v>
      </c>
      <c r="AW18" s="705">
        <v>2.3226738953690362</v>
      </c>
      <c r="AX18" s="705">
        <v>1.2726616785796201</v>
      </c>
      <c r="AY18" s="704">
        <v>2.5453233571592402</v>
      </c>
      <c r="AZ18" s="705">
        <v>2.6</v>
      </c>
      <c r="BA18" s="705">
        <v>1.1442427952256007</v>
      </c>
    </row>
    <row r="19" spans="1:53" s="703" customFormat="1" ht="13" customHeight="1" x14ac:dyDescent="0.35"/>
    <row r="20" spans="1:53" s="703" customFormat="1" ht="13" customHeight="1" x14ac:dyDescent="0.35">
      <c r="A20" s="707"/>
      <c r="M20" s="707"/>
      <c r="Y20" s="707"/>
      <c r="AJ20" s="707"/>
    </row>
    <row r="21" spans="1:53" s="703" customFormat="1" ht="13" customHeight="1" x14ac:dyDescent="0.35">
      <c r="A21" s="708"/>
      <c r="M21" s="708"/>
      <c r="Y21" s="708"/>
      <c r="AJ21" s="708"/>
    </row>
    <row r="22" spans="1:53" s="703" customFormat="1" ht="14.5" customHeight="1" x14ac:dyDescent="0.35">
      <c r="A22" s="708"/>
      <c r="M22" s="708"/>
      <c r="Y22" s="708"/>
      <c r="AJ22" s="708"/>
    </row>
    <row r="23" spans="1:53" ht="14.5" customHeight="1" x14ac:dyDescent="0.35">
      <c r="A23"/>
      <c r="M23"/>
      <c r="Y23"/>
      <c r="AJ23"/>
    </row>
    <row r="24" spans="1:53" ht="14.5" customHeight="1" x14ac:dyDescent="0.35">
      <c r="A24"/>
      <c r="M24"/>
      <c r="Y24"/>
      <c r="AJ24"/>
    </row>
    <row r="25" spans="1:53" ht="14.5" customHeight="1" x14ac:dyDescent="0.35">
      <c r="A25"/>
      <c r="M25"/>
      <c r="Y25"/>
      <c r="AJ25"/>
    </row>
    <row r="26" spans="1:53" ht="14.5" customHeight="1" x14ac:dyDescent="0.35">
      <c r="A26"/>
      <c r="M26"/>
      <c r="Y26"/>
      <c r="AJ26"/>
    </row>
    <row r="27" spans="1:53" ht="14.5" customHeight="1" x14ac:dyDescent="0.35">
      <c r="A27"/>
      <c r="M27"/>
      <c r="Y27"/>
      <c r="AJ27"/>
    </row>
    <row r="28" spans="1:53" ht="14.5" x14ac:dyDescent="0.35">
      <c r="A28"/>
      <c r="M28"/>
      <c r="Y28"/>
      <c r="AJ28"/>
    </row>
    <row r="29" spans="1:53" ht="14.5" x14ac:dyDescent="0.35">
      <c r="A29"/>
      <c r="M29"/>
      <c r="Y29"/>
      <c r="AJ29"/>
    </row>
    <row r="30" spans="1:53" ht="14.5" x14ac:dyDescent="0.35">
      <c r="A30"/>
      <c r="M30"/>
      <c r="Y30"/>
      <c r="AJ30"/>
    </row>
    <row r="31" spans="1:53" ht="14.5" x14ac:dyDescent="0.35">
      <c r="A31"/>
      <c r="M31"/>
      <c r="Y31"/>
      <c r="AJ31"/>
    </row>
    <row r="32" spans="1:53" ht="14.5" x14ac:dyDescent="0.35">
      <c r="A32"/>
      <c r="M32"/>
      <c r="Y32"/>
      <c r="AJ32"/>
    </row>
    <row r="33" spans="1:36" ht="14.5" x14ac:dyDescent="0.35">
      <c r="A33"/>
      <c r="M33"/>
      <c r="Y33"/>
      <c r="AJ33"/>
    </row>
    <row r="34" spans="1:36" ht="14.5" x14ac:dyDescent="0.35">
      <c r="A34"/>
      <c r="M34"/>
      <c r="Y34"/>
      <c r="AJ34"/>
    </row>
    <row r="35" spans="1:36" ht="14.5" x14ac:dyDescent="0.35">
      <c r="A35"/>
      <c r="M35"/>
      <c r="Y35"/>
      <c r="AJ35"/>
    </row>
    <row r="36" spans="1:36" ht="14.5" x14ac:dyDescent="0.35">
      <c r="A36"/>
      <c r="M36"/>
      <c r="Y36"/>
      <c r="AJ36"/>
    </row>
    <row r="37" spans="1:36" ht="14.5" x14ac:dyDescent="0.35">
      <c r="A37"/>
      <c r="M37"/>
      <c r="Y37"/>
      <c r="AJ37"/>
    </row>
    <row r="38" spans="1:36" ht="14.5" x14ac:dyDescent="0.35">
      <c r="A38"/>
      <c r="M38"/>
      <c r="Y38"/>
      <c r="AJ38"/>
    </row>
    <row r="39" spans="1:36" ht="14.5" x14ac:dyDescent="0.35">
      <c r="A39"/>
      <c r="M39"/>
      <c r="Y39"/>
      <c r="AJ39"/>
    </row>
    <row r="40" spans="1:36" ht="14.5" x14ac:dyDescent="0.35">
      <c r="A40"/>
      <c r="M40"/>
      <c r="Y40"/>
      <c r="AJ40"/>
    </row>
    <row r="41" spans="1:36" ht="14.5" x14ac:dyDescent="0.35">
      <c r="A41"/>
      <c r="M41"/>
      <c r="Y41"/>
      <c r="AJ41"/>
    </row>
  </sheetData>
  <mergeCells count="7">
    <mergeCell ref="I1:K1"/>
    <mergeCell ref="AD1:AF1"/>
    <mergeCell ref="AR2:AS2"/>
    <mergeCell ref="AP3:AQ3"/>
    <mergeCell ref="AR3:AS3"/>
    <mergeCell ref="AP2:AQ2"/>
    <mergeCell ref="AO1:A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DC290-3FA6-45FC-8D2B-37D22441939D}">
  <sheetPr>
    <tabColor rgb="FF00B050"/>
    <pageSetUpPr fitToPage="1"/>
  </sheetPr>
  <dimension ref="A1:CH68"/>
  <sheetViews>
    <sheetView tabSelected="1" zoomScale="90" zoomScaleNormal="90" workbookViewId="0">
      <pane xSplit="1" ySplit="11" topLeftCell="BC12" activePane="bottomRight" state="frozen"/>
      <selection pane="topRight" activeCell="B1" sqref="B1"/>
      <selection pane="bottomLeft" activeCell="A12" sqref="A12"/>
      <selection pane="bottomRight" activeCell="BJ20" sqref="BJ20"/>
    </sheetView>
  </sheetViews>
  <sheetFormatPr defaultColWidth="9.1796875" defaultRowHeight="10" x14ac:dyDescent="0.35"/>
  <cols>
    <col min="1" max="1" width="19.1796875" style="357" customWidth="1"/>
    <col min="2" max="2" width="19.26953125" style="357" customWidth="1"/>
    <col min="3" max="9" width="15.26953125" style="357" customWidth="1"/>
    <col min="10" max="11" width="15.1796875" style="357" customWidth="1"/>
    <col min="12" max="13" width="21" style="357" customWidth="1"/>
    <col min="14" max="15" width="14.26953125" style="357" customWidth="1"/>
    <col min="16" max="16" width="15.26953125" style="357" customWidth="1"/>
    <col min="17" max="17" width="18.453125" style="357" customWidth="1"/>
    <col min="18" max="18" width="15.26953125" style="357" customWidth="1"/>
    <col min="19" max="19" width="22.7265625" style="358" customWidth="1"/>
    <col min="20" max="25" width="20" style="358" customWidth="1"/>
    <col min="26" max="26" width="13" style="358" customWidth="1"/>
    <col min="27" max="27" width="24.1796875" style="358" customWidth="1"/>
    <col min="28" max="28" width="11.1796875" style="358" customWidth="1"/>
    <col min="29" max="29" width="18.453125" style="358" customWidth="1"/>
    <col min="30" max="30" width="26.54296875" style="358" customWidth="1"/>
    <col min="31" max="31" width="27.453125" style="358" customWidth="1"/>
    <col min="32" max="32" width="21.453125" style="358" customWidth="1"/>
    <col min="33" max="33" width="19.453125" style="358" customWidth="1"/>
    <col min="34" max="34" width="22.453125" style="358" customWidth="1"/>
    <col min="35" max="36" width="19.453125" style="358" customWidth="1"/>
    <col min="37" max="38" width="14.26953125" style="358" customWidth="1"/>
    <col min="39" max="39" width="12.1796875" style="358" customWidth="1"/>
    <col min="40" max="40" width="18" style="358" customWidth="1"/>
    <col min="41" max="42" width="17.1796875" style="358" customWidth="1"/>
    <col min="43" max="44" width="19.54296875" style="358" customWidth="1"/>
    <col min="45" max="45" width="23.453125" style="358" customWidth="1"/>
    <col min="46" max="46" width="18.81640625" style="358" customWidth="1"/>
    <col min="47" max="47" width="30.7265625" style="358" customWidth="1"/>
    <col min="48" max="48" width="19.453125" style="357" customWidth="1"/>
    <col min="49" max="49" width="32.453125" style="357" customWidth="1"/>
    <col min="50" max="50" width="19" style="357" customWidth="1"/>
    <col min="51" max="51" width="13.1796875" style="357" customWidth="1"/>
    <col min="52" max="52" width="15.7265625" style="357" customWidth="1"/>
    <col min="53" max="53" width="16.81640625" style="357" customWidth="1"/>
    <col min="54" max="54" width="18.1796875" style="357" customWidth="1"/>
    <col min="55" max="55" width="5.81640625" style="419" customWidth="1"/>
    <col min="56" max="56" width="12.54296875" style="358" customWidth="1"/>
    <col min="57" max="57" width="13.453125" style="358" customWidth="1"/>
    <col min="58" max="58" width="16.453125" style="358" bestFit="1" customWidth="1"/>
    <col min="59" max="59" width="13" style="358" customWidth="1"/>
    <col min="60" max="60" width="19.7265625" style="358" customWidth="1"/>
    <col min="61" max="61" width="11" style="358" customWidth="1"/>
    <col min="62" max="63" width="19.453125" style="358" customWidth="1"/>
    <col min="64" max="65" width="17.81640625" style="358" customWidth="1"/>
    <col min="66" max="67" width="20.7265625" style="358" customWidth="1"/>
    <col min="68" max="68" width="23.54296875" style="358" customWidth="1"/>
    <col min="69" max="69" width="17.26953125" style="357" customWidth="1"/>
    <col min="70" max="70" width="14.1796875" style="357" customWidth="1"/>
    <col min="71" max="71" width="16.1796875" style="357" customWidth="1"/>
    <col min="72" max="72" width="17.26953125" style="357" customWidth="1"/>
    <col min="73" max="73" width="18.81640625" style="357" customWidth="1"/>
    <col min="74" max="74" width="16.7265625" style="357" customWidth="1"/>
    <col min="75" max="75" width="16.26953125" style="453" customWidth="1"/>
    <col min="76" max="76" width="17.453125" style="357" customWidth="1"/>
    <col min="77" max="78" width="13.26953125" style="357" customWidth="1"/>
    <col min="79" max="79" width="21.54296875" style="367" customWidth="1"/>
    <col min="80" max="80" width="20.26953125" style="357" customWidth="1"/>
    <col min="81" max="81" width="23.54296875" style="357" customWidth="1"/>
    <col min="82" max="82" width="20.7265625" style="357" customWidth="1"/>
    <col min="83" max="83" width="13.81640625" style="357" customWidth="1"/>
    <col min="84" max="85" width="9.1796875" style="357"/>
    <col min="86" max="86" width="20.26953125" style="357" customWidth="1"/>
    <col min="87" max="16384" width="9.1796875" style="357"/>
  </cols>
  <sheetData>
    <row r="1" spans="1:86" ht="60.75" customHeight="1" x14ac:dyDescent="0.2">
      <c r="A1" s="899" t="s">
        <v>37</v>
      </c>
      <c r="B1" s="899"/>
      <c r="C1" s="899"/>
      <c r="D1" s="899"/>
      <c r="J1" s="904"/>
      <c r="K1" s="904"/>
      <c r="L1" s="904"/>
      <c r="M1" s="904"/>
      <c r="N1" s="904"/>
      <c r="T1" s="359" t="s">
        <v>38</v>
      </c>
      <c r="X1" s="357"/>
      <c r="Y1" s="357"/>
      <c r="Z1" s="357"/>
      <c r="AA1" s="357"/>
      <c r="AB1" s="359" t="s">
        <v>39</v>
      </c>
      <c r="AC1" s="359" t="s">
        <v>40</v>
      </c>
      <c r="AD1" s="359" t="s">
        <v>41</v>
      </c>
      <c r="AE1" s="359" t="s">
        <v>41</v>
      </c>
      <c r="AF1" s="359" t="s">
        <v>42</v>
      </c>
      <c r="AG1" s="360" t="str">
        <f>AG13</f>
        <v>Linearity of STD</v>
      </c>
      <c r="AH1" s="359" t="s">
        <v>43</v>
      </c>
      <c r="AI1" s="361" t="s">
        <v>44</v>
      </c>
      <c r="AJ1" s="362"/>
      <c r="AK1" s="363"/>
      <c r="AL1" s="363"/>
      <c r="AN1" s="363" t="s">
        <v>45</v>
      </c>
      <c r="AO1" s="808" t="s">
        <v>46</v>
      </c>
      <c r="AP1" s="809"/>
      <c r="AQ1" s="809"/>
      <c r="AR1" s="809"/>
      <c r="AS1" s="821"/>
      <c r="AT1" s="364" t="s">
        <v>47</v>
      </c>
      <c r="AU1" s="365" t="s">
        <v>48</v>
      </c>
      <c r="AV1" s="365" t="s">
        <v>49</v>
      </c>
      <c r="AW1" s="361" t="s">
        <v>50</v>
      </c>
      <c r="AX1" s="359" t="s">
        <v>51</v>
      </c>
      <c r="BB1" s="359" t="str">
        <f>AY13</f>
        <v>Resolution of STD</v>
      </c>
      <c r="BC1" s="366"/>
      <c r="BD1" s="357"/>
      <c r="BE1" s="364" t="s">
        <v>52</v>
      </c>
      <c r="BF1" s="364" t="s">
        <v>47</v>
      </c>
      <c r="BG1" s="363"/>
      <c r="BH1" s="363"/>
      <c r="BJ1" s="363" t="s">
        <v>53</v>
      </c>
      <c r="BK1" s="357"/>
      <c r="BL1" s="808" t="s">
        <v>46</v>
      </c>
      <c r="BM1" s="809"/>
      <c r="BN1" s="809"/>
      <c r="BO1" s="809"/>
      <c r="BP1" s="810"/>
      <c r="BQ1" s="359" t="s">
        <v>54</v>
      </c>
      <c r="BU1" s="359" t="str">
        <f>BR13</f>
        <v>Resolution of UUT</v>
      </c>
      <c r="BW1" s="357"/>
    </row>
    <row r="2" spans="1:86" ht="17.149999999999999" customHeight="1" x14ac:dyDescent="0.2">
      <c r="A2" s="900" t="s">
        <v>14</v>
      </c>
      <c r="B2" s="901"/>
      <c r="C2" s="901"/>
      <c r="D2" s="902"/>
      <c r="J2" s="904"/>
      <c r="K2" s="904"/>
      <c r="L2" s="904"/>
      <c r="M2" s="904"/>
      <c r="N2" s="904"/>
      <c r="T2" s="359"/>
      <c r="X2" s="357"/>
      <c r="Y2" s="357"/>
      <c r="Z2" s="357"/>
      <c r="AA2" s="357"/>
      <c r="AB2" s="368"/>
      <c r="AC2" s="359"/>
      <c r="AD2" s="359"/>
      <c r="AE2" s="359"/>
      <c r="AF2" s="359" t="s">
        <v>55</v>
      </c>
      <c r="AG2" s="359"/>
      <c r="AH2" s="359"/>
      <c r="AI2" s="361"/>
      <c r="AJ2" s="362"/>
      <c r="AK2" s="363"/>
      <c r="AL2" s="363"/>
      <c r="AN2" s="363"/>
      <c r="AO2" s="811" t="s">
        <v>56</v>
      </c>
      <c r="AP2" s="812"/>
      <c r="AQ2" s="813" t="s">
        <v>57</v>
      </c>
      <c r="AR2" s="814"/>
      <c r="AS2" s="822"/>
      <c r="AT2" s="363"/>
      <c r="AU2" s="369"/>
      <c r="AV2" s="369"/>
      <c r="AW2" s="361"/>
      <c r="AX2" s="359"/>
      <c r="BB2" s="359"/>
      <c r="BC2" s="366"/>
      <c r="BD2" s="357"/>
      <c r="BE2" s="363"/>
      <c r="BF2" s="363"/>
      <c r="BG2" s="363"/>
      <c r="BH2" s="363"/>
      <c r="BJ2" s="363"/>
      <c r="BK2" s="357"/>
      <c r="BL2" s="811" t="s">
        <v>56</v>
      </c>
      <c r="BM2" s="812"/>
      <c r="BN2" s="813" t="s">
        <v>57</v>
      </c>
      <c r="BO2" s="814"/>
      <c r="BP2" s="815"/>
      <c r="BQ2" s="359"/>
      <c r="BU2" s="359"/>
      <c r="BW2" s="357"/>
    </row>
    <row r="3" spans="1:86" ht="10.5" x14ac:dyDescent="0.2">
      <c r="A3" s="899" t="s">
        <v>58</v>
      </c>
      <c r="B3" s="899"/>
      <c r="C3" s="899"/>
      <c r="D3" s="899"/>
      <c r="J3" s="904"/>
      <c r="K3" s="904"/>
      <c r="L3" s="904"/>
      <c r="M3" s="904"/>
      <c r="N3" s="904"/>
      <c r="T3" s="370" t="s">
        <v>59</v>
      </c>
      <c r="X3" s="357"/>
      <c r="Y3" s="357"/>
      <c r="Z3" s="357"/>
      <c r="AA3" s="357"/>
      <c r="AB3" s="371"/>
      <c r="AC3" s="372"/>
      <c r="AD3" s="373">
        <v>4.0999999999999999E-4</v>
      </c>
      <c r="AE3" s="372">
        <v>1E-4</v>
      </c>
      <c r="AF3" s="372"/>
      <c r="AG3" s="372"/>
      <c r="AH3" s="374" t="s">
        <v>60</v>
      </c>
      <c r="AI3" s="375">
        <v>2.1695643531694899E-3</v>
      </c>
      <c r="AJ3" s="376"/>
      <c r="AK3" s="357"/>
      <c r="AL3" s="357"/>
      <c r="AN3" s="370" t="s">
        <v>61</v>
      </c>
      <c r="AO3" s="377" t="s">
        <v>62</v>
      </c>
      <c r="AP3" s="378" t="s">
        <v>63</v>
      </c>
      <c r="AQ3" s="358" t="s">
        <v>62</v>
      </c>
      <c r="AR3" s="358" t="s">
        <v>64</v>
      </c>
      <c r="AS3" s="358" t="s">
        <v>65</v>
      </c>
      <c r="AT3" s="379"/>
      <c r="AU3" s="380">
        <v>0</v>
      </c>
      <c r="AV3" s="381">
        <v>1.5E-5</v>
      </c>
      <c r="AW3" s="382"/>
      <c r="AX3" s="370" t="s">
        <v>61</v>
      </c>
      <c r="BB3" s="370" t="s">
        <v>61</v>
      </c>
      <c r="BC3" s="383"/>
      <c r="BD3" s="357"/>
      <c r="BE3" s="384"/>
      <c r="BF3" s="379"/>
      <c r="BG3" s="357"/>
      <c r="BH3" s="357"/>
      <c r="BJ3" s="370" t="s">
        <v>61</v>
      </c>
      <c r="BK3" s="357"/>
      <c r="BL3" s="377" t="s">
        <v>62</v>
      </c>
      <c r="BM3" s="378" t="s">
        <v>63</v>
      </c>
      <c r="BN3" s="358" t="s">
        <v>62</v>
      </c>
      <c r="BO3" s="358" t="s">
        <v>64</v>
      </c>
      <c r="BP3" s="358" t="s">
        <v>65</v>
      </c>
      <c r="BQ3" s="370" t="s">
        <v>61</v>
      </c>
      <c r="BU3" s="370" t="s">
        <v>61</v>
      </c>
      <c r="BW3" s="357"/>
    </row>
    <row r="4" spans="1:86" ht="10.5" x14ac:dyDescent="0.2">
      <c r="A4" s="903" t="s">
        <v>66</v>
      </c>
      <c r="B4" s="903"/>
      <c r="C4" s="903"/>
      <c r="D4" s="903"/>
      <c r="J4" s="904"/>
      <c r="K4" s="904"/>
      <c r="L4" s="904"/>
      <c r="M4" s="904"/>
      <c r="N4" s="904"/>
      <c r="T4" s="370" t="s">
        <v>67</v>
      </c>
      <c r="X4" s="357"/>
      <c r="Y4" s="357"/>
      <c r="Z4" s="357"/>
      <c r="AA4" s="357"/>
      <c r="AB4" s="385" t="s">
        <v>67</v>
      </c>
      <c r="AC4" s="370" t="s">
        <v>67</v>
      </c>
      <c r="AD4" s="370" t="s">
        <v>67</v>
      </c>
      <c r="AE4" s="370" t="s">
        <v>67</v>
      </c>
      <c r="AF4" s="370" t="s">
        <v>67</v>
      </c>
      <c r="AG4" s="370" t="s">
        <v>67</v>
      </c>
      <c r="AH4" s="370" t="s">
        <v>67</v>
      </c>
      <c r="AI4" s="386" t="s">
        <v>68</v>
      </c>
      <c r="AJ4" s="387"/>
      <c r="AK4" s="388"/>
      <c r="AL4" s="388"/>
      <c r="AN4" s="370" t="s">
        <v>67</v>
      </c>
      <c r="AO4" s="377">
        <v>1E-4</v>
      </c>
      <c r="AP4" s="389">
        <v>1.1999999999999999E-6</v>
      </c>
      <c r="AQ4" s="390">
        <f>AO7</f>
        <v>0.1</v>
      </c>
      <c r="AR4" s="380">
        <v>3.0000000000000001E-5</v>
      </c>
      <c r="AS4" s="380">
        <v>3.0000000000000001E-5</v>
      </c>
      <c r="AT4" s="391" t="s">
        <v>67</v>
      </c>
      <c r="AU4" s="370" t="s">
        <v>67</v>
      </c>
      <c r="AV4" s="370" t="s">
        <v>69</v>
      </c>
      <c r="AW4" s="386" t="s">
        <v>69</v>
      </c>
      <c r="AX4" s="370" t="s">
        <v>67</v>
      </c>
      <c r="BB4" s="370" t="s">
        <v>68</v>
      </c>
      <c r="BC4" s="392"/>
      <c r="BD4" s="357"/>
      <c r="BE4" s="391" t="s">
        <v>68</v>
      </c>
      <c r="BF4" s="370" t="s">
        <v>67</v>
      </c>
      <c r="BG4" s="388"/>
      <c r="BH4" s="388"/>
      <c r="BJ4" s="370" t="s">
        <v>68</v>
      </c>
      <c r="BK4" s="357"/>
      <c r="BL4" s="377">
        <v>1E-4</v>
      </c>
      <c r="BM4" s="389">
        <v>1.1999999999999999E-6</v>
      </c>
      <c r="BN4" s="390">
        <f>BL7</f>
        <v>0.1</v>
      </c>
      <c r="BO4" s="380">
        <v>3.0000000000000001E-5</v>
      </c>
      <c r="BP4" s="380">
        <v>3.0000000000000001E-5</v>
      </c>
      <c r="BQ4" s="370" t="s">
        <v>67</v>
      </c>
      <c r="BU4" s="370" t="s">
        <v>68</v>
      </c>
      <c r="BW4" s="357"/>
    </row>
    <row r="5" spans="1:86" ht="10.5" x14ac:dyDescent="0.2">
      <c r="A5" s="903" t="s">
        <v>70</v>
      </c>
      <c r="B5" s="903"/>
      <c r="C5" s="903"/>
      <c r="D5" s="903"/>
      <c r="J5" s="904"/>
      <c r="K5" s="904"/>
      <c r="L5" s="904"/>
      <c r="M5" s="904"/>
      <c r="N5" s="904"/>
      <c r="T5" s="393">
        <v>2</v>
      </c>
      <c r="X5" s="357"/>
      <c r="Y5" s="357"/>
      <c r="Z5" s="357"/>
      <c r="AA5" s="357"/>
      <c r="AB5" s="394">
        <v>3.18</v>
      </c>
      <c r="AC5" s="393">
        <v>1</v>
      </c>
      <c r="AD5" s="393">
        <v>1</v>
      </c>
      <c r="AE5" s="393">
        <v>1</v>
      </c>
      <c r="AF5" s="393">
        <v>1</v>
      </c>
      <c r="AG5" s="393">
        <v>1</v>
      </c>
      <c r="AH5" s="393">
        <v>2</v>
      </c>
      <c r="AI5" s="395">
        <f>SQRT(3)</f>
        <v>1.7320508075688772</v>
      </c>
      <c r="AJ5" s="396"/>
      <c r="AK5" s="397"/>
      <c r="AL5" s="397"/>
      <c r="AN5" s="393">
        <v>1</v>
      </c>
      <c r="AO5" s="377">
        <v>1E-3</v>
      </c>
      <c r="AP5" s="389">
        <v>1.1999999999999999E-6</v>
      </c>
      <c r="AQ5" s="398">
        <f>AO8</f>
        <v>1</v>
      </c>
      <c r="AR5" s="380">
        <v>2.0000000000000002E-5</v>
      </c>
      <c r="AS5" s="380">
        <v>6.0000000000000002E-6</v>
      </c>
      <c r="AT5" s="399">
        <v>1</v>
      </c>
      <c r="AU5" s="393">
        <v>1</v>
      </c>
      <c r="AV5" s="393">
        <v>1</v>
      </c>
      <c r="AW5" s="395">
        <v>1</v>
      </c>
      <c r="AX5" s="393">
        <v>1</v>
      </c>
      <c r="BB5" s="393">
        <f>SQRT(3)</f>
        <v>1.7320508075688772</v>
      </c>
      <c r="BC5" s="400"/>
      <c r="BD5" s="357"/>
      <c r="BE5" s="399">
        <f>SQRT(3)</f>
        <v>1.7320508075688772</v>
      </c>
      <c r="BF5" s="393">
        <v>1</v>
      </c>
      <c r="BG5" s="397"/>
      <c r="BH5" s="397"/>
      <c r="BJ5" s="393">
        <f>SQRT(3)</f>
        <v>1.7320508075688772</v>
      </c>
      <c r="BK5" s="357"/>
      <c r="BL5" s="377">
        <v>1E-3</v>
      </c>
      <c r="BM5" s="389">
        <v>1.1999999999999999E-6</v>
      </c>
      <c r="BN5" s="398">
        <f>BL8</f>
        <v>1</v>
      </c>
      <c r="BO5" s="380">
        <v>2.0000000000000002E-5</v>
      </c>
      <c r="BP5" s="380">
        <v>6.0000000000000002E-6</v>
      </c>
      <c r="BQ5" s="393">
        <v>1</v>
      </c>
      <c r="BU5" s="393">
        <f>SQRT(3)</f>
        <v>1.7320508075688772</v>
      </c>
      <c r="BW5" s="357"/>
    </row>
    <row r="6" spans="1:86" ht="10.5" x14ac:dyDescent="0.2">
      <c r="A6" s="903" t="s">
        <v>71</v>
      </c>
      <c r="B6" s="903"/>
      <c r="C6" s="903"/>
      <c r="D6" s="903"/>
      <c r="J6" s="904"/>
      <c r="K6" s="904"/>
      <c r="L6" s="904"/>
      <c r="M6" s="904"/>
      <c r="N6" s="904"/>
      <c r="T6" s="370" t="s">
        <v>61</v>
      </c>
      <c r="X6" s="357"/>
      <c r="Y6" s="357"/>
      <c r="Z6" s="357"/>
      <c r="AA6" s="357"/>
      <c r="AB6" s="385" t="s">
        <v>61</v>
      </c>
      <c r="AC6" s="370" t="s">
        <v>61</v>
      </c>
      <c r="AD6" s="370" t="s">
        <v>61</v>
      </c>
      <c r="AE6" s="370" t="s">
        <v>61</v>
      </c>
      <c r="AF6" s="370" t="s">
        <v>61</v>
      </c>
      <c r="AG6" s="370" t="s">
        <v>61</v>
      </c>
      <c r="AH6" s="370" t="s">
        <v>61</v>
      </c>
      <c r="AI6" s="386" t="s">
        <v>61</v>
      </c>
      <c r="AJ6" s="387"/>
      <c r="AK6" s="388"/>
      <c r="AL6" s="388"/>
      <c r="AN6" s="370"/>
      <c r="AO6" s="377">
        <v>0.01</v>
      </c>
      <c r="AP6" s="389">
        <v>1.1999999999999999E-6</v>
      </c>
      <c r="AQ6" s="398">
        <f>AO9</f>
        <v>10</v>
      </c>
      <c r="AR6" s="380">
        <v>1.5E-5</v>
      </c>
      <c r="AS6" s="380">
        <v>3.9999999999999998E-6</v>
      </c>
      <c r="AT6" s="391" t="s">
        <v>61</v>
      </c>
      <c r="AU6" s="370" t="s">
        <v>61</v>
      </c>
      <c r="AV6" s="401" t="s">
        <v>61</v>
      </c>
      <c r="AW6" s="402" t="s">
        <v>61</v>
      </c>
      <c r="AX6" s="370" t="s">
        <v>61</v>
      </c>
      <c r="BB6" s="370" t="s">
        <v>61</v>
      </c>
      <c r="BC6" s="403"/>
      <c r="BD6" s="357"/>
      <c r="BE6" s="391" t="s">
        <v>61</v>
      </c>
      <c r="BF6" s="370" t="s">
        <v>61</v>
      </c>
      <c r="BG6" s="388"/>
      <c r="BH6" s="388"/>
      <c r="BJ6" s="370"/>
      <c r="BK6" s="357"/>
      <c r="BL6" s="377">
        <v>0.01</v>
      </c>
      <c r="BM6" s="389">
        <v>1.1999999999999999E-6</v>
      </c>
      <c r="BN6" s="398">
        <f>BL9</f>
        <v>10</v>
      </c>
      <c r="BO6" s="380">
        <v>1.5E-5</v>
      </c>
      <c r="BP6" s="380">
        <v>3.9999999999999998E-6</v>
      </c>
      <c r="BQ6" s="370" t="s">
        <v>61</v>
      </c>
      <c r="BU6" s="370" t="s">
        <v>61</v>
      </c>
      <c r="BW6" s="357"/>
    </row>
    <row r="7" spans="1:86" ht="10.5" x14ac:dyDescent="0.2">
      <c r="A7" s="903" t="s">
        <v>72</v>
      </c>
      <c r="B7" s="903"/>
      <c r="C7" s="903"/>
      <c r="D7" s="903"/>
      <c r="J7" s="904"/>
      <c r="K7" s="904"/>
      <c r="L7" s="904"/>
      <c r="M7" s="904"/>
      <c r="N7" s="904"/>
      <c r="T7" s="404">
        <f>MAX(X20:X40)</f>
        <v>7.2416147571855631E-4</v>
      </c>
      <c r="X7" s="357"/>
      <c r="Y7" s="357"/>
      <c r="Z7" s="357"/>
      <c r="AA7" s="357"/>
      <c r="AB7" s="405"/>
      <c r="AC7" s="404"/>
      <c r="AD7" s="404"/>
      <c r="AE7" s="404"/>
      <c r="AF7" s="404"/>
      <c r="AG7" s="404"/>
      <c r="AH7" s="404"/>
      <c r="AI7" s="406">
        <f>MAX(AI20:AI40)</f>
        <v>0.21695643531694911</v>
      </c>
      <c r="AJ7" s="407"/>
      <c r="AK7" s="357"/>
      <c r="AL7" s="357"/>
      <c r="AN7" s="379"/>
      <c r="AO7" s="377">
        <v>0.1</v>
      </c>
      <c r="AP7" s="408">
        <v>1.1999999999999999E-6</v>
      </c>
      <c r="AQ7" s="816" t="s">
        <v>73</v>
      </c>
      <c r="AR7" s="817"/>
      <c r="AS7" s="409">
        <f>SQRT(3)</f>
        <v>1.7320508075688772</v>
      </c>
      <c r="AT7" s="404">
        <f t="shared" ref="AT7:AX7" si="0">MAX(AT20:AT40)</f>
        <v>8.5999999999999993E-2</v>
      </c>
      <c r="AU7" s="404">
        <f t="shared" si="0"/>
        <v>0</v>
      </c>
      <c r="AV7" s="410">
        <f t="shared" si="0"/>
        <v>1.5299999999999999E-3</v>
      </c>
      <c r="AW7" s="406">
        <f t="shared" si="0"/>
        <v>95.586666025609816</v>
      </c>
      <c r="AX7" s="404">
        <f t="shared" si="0"/>
        <v>1.2182229597017673</v>
      </c>
      <c r="BB7" s="404">
        <f>MAX(BB20:BB40)</f>
        <v>2.7865284983695514E-7</v>
      </c>
      <c r="BC7" s="411"/>
      <c r="BD7" s="357"/>
      <c r="BE7" s="384"/>
      <c r="BF7" s="379"/>
      <c r="BG7" s="357"/>
      <c r="BH7" s="357"/>
      <c r="BJ7" s="379"/>
      <c r="BK7" s="357"/>
      <c r="BL7" s="377">
        <v>0.1</v>
      </c>
      <c r="BM7" s="408">
        <v>1.1999999999999999E-6</v>
      </c>
      <c r="BN7" s="816" t="s">
        <v>73</v>
      </c>
      <c r="BO7" s="817"/>
      <c r="BP7" s="409">
        <f>SQRT(3)</f>
        <v>1.7320508075688772</v>
      </c>
      <c r="BQ7" s="404">
        <f>MAX(BQ20:BQ40)</f>
        <v>0.77294363199968397</v>
      </c>
      <c r="BU7" s="404">
        <f>MAX(BU20:BU40)</f>
        <v>2.7354821898782694E-6</v>
      </c>
      <c r="BW7" s="357"/>
    </row>
    <row r="8" spans="1:86" ht="10.5" x14ac:dyDescent="0.35">
      <c r="S8" s="412"/>
      <c r="T8" s="412"/>
      <c r="U8" s="413"/>
      <c r="V8" s="357"/>
      <c r="W8" s="413"/>
      <c r="X8" s="357"/>
      <c r="Y8" s="357"/>
      <c r="Z8" s="357"/>
      <c r="AA8" s="413"/>
      <c r="AB8" s="414"/>
      <c r="AC8" s="413"/>
      <c r="AD8" s="413"/>
      <c r="AE8" s="413"/>
      <c r="AF8" s="413"/>
      <c r="AG8" s="413"/>
      <c r="AH8" s="413"/>
      <c r="AI8" s="413"/>
      <c r="AJ8" s="413"/>
      <c r="AK8" s="413"/>
      <c r="AL8" s="413"/>
      <c r="AM8" s="413"/>
      <c r="AN8" s="413"/>
      <c r="AO8" s="415">
        <v>1</v>
      </c>
      <c r="AP8" s="408">
        <v>6.0000000000000002E-6</v>
      </c>
      <c r="AQ8" s="416"/>
      <c r="AR8" s="417"/>
      <c r="AS8" s="418" t="s">
        <v>61</v>
      </c>
      <c r="AT8" s="413"/>
      <c r="AU8" s="413"/>
      <c r="BD8" s="413"/>
      <c r="BE8" s="413"/>
      <c r="BF8" s="413"/>
      <c r="BG8" s="413"/>
      <c r="BH8" s="413"/>
      <c r="BI8" s="413"/>
      <c r="BJ8" s="413"/>
      <c r="BK8" s="357"/>
      <c r="BL8" s="415">
        <v>1</v>
      </c>
      <c r="BM8" s="408">
        <v>6.0000000000000002E-6</v>
      </c>
      <c r="BN8" s="416"/>
      <c r="BO8" s="417"/>
      <c r="BP8" s="418" t="s">
        <v>61</v>
      </c>
      <c r="BQ8" s="420"/>
      <c r="BW8" s="357"/>
    </row>
    <row r="9" spans="1:86" ht="10.5" x14ac:dyDescent="0.35">
      <c r="S9" s="412"/>
      <c r="T9" s="412"/>
      <c r="U9" s="413"/>
      <c r="V9" s="357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3"/>
      <c r="AK9" s="413"/>
      <c r="AL9" s="413"/>
      <c r="AM9" s="413"/>
      <c r="AN9" s="413"/>
      <c r="AO9" s="415">
        <v>10</v>
      </c>
      <c r="AP9" s="408">
        <v>4.0000000000000003E-5</v>
      </c>
      <c r="AQ9" s="416"/>
      <c r="AR9" s="417"/>
      <c r="AS9" s="421">
        <f>MAX(AS20:AS40)</f>
        <v>0.13673733640740721</v>
      </c>
      <c r="AT9" s="413"/>
      <c r="AU9" s="413"/>
      <c r="BD9" s="413"/>
      <c r="BE9" s="413"/>
      <c r="BF9" s="413"/>
      <c r="BG9" s="413"/>
      <c r="BH9" s="413"/>
      <c r="BI9" s="413"/>
      <c r="BJ9" s="413"/>
      <c r="BK9" s="413"/>
      <c r="BL9" s="415">
        <v>10</v>
      </c>
      <c r="BM9" s="408">
        <v>4.0000000000000003E-5</v>
      </c>
      <c r="BN9" s="416"/>
      <c r="BO9" s="417"/>
      <c r="BP9" s="421">
        <f>MAX(BP20:BP40)</f>
        <v>0.65521854268705448</v>
      </c>
      <c r="BQ9" s="420"/>
      <c r="BW9" s="357"/>
    </row>
    <row r="10" spans="1:86" ht="15" customHeight="1" x14ac:dyDescent="0.35">
      <c r="S10" s="357"/>
      <c r="T10" s="357"/>
      <c r="U10" s="413"/>
      <c r="V10" s="357"/>
      <c r="W10" s="413"/>
      <c r="X10" s="413"/>
      <c r="Y10" s="413"/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3"/>
      <c r="AK10" s="413"/>
      <c r="AL10" s="413"/>
      <c r="AM10" s="413"/>
      <c r="AN10" s="413"/>
      <c r="AO10" s="422" t="s">
        <v>73</v>
      </c>
      <c r="AP10" s="393">
        <v>2</v>
      </c>
      <c r="AQ10" s="413"/>
      <c r="AR10" s="413"/>
      <c r="AS10" s="423"/>
      <c r="AT10" s="413"/>
      <c r="AU10" s="413"/>
      <c r="BD10" s="413"/>
      <c r="BE10" s="413"/>
      <c r="BF10" s="413"/>
      <c r="BG10" s="413"/>
      <c r="BH10" s="413"/>
      <c r="BI10" s="413"/>
      <c r="BJ10" s="413"/>
      <c r="BK10" s="413"/>
      <c r="BL10" s="422" t="s">
        <v>73</v>
      </c>
      <c r="BM10" s="393">
        <v>2</v>
      </c>
      <c r="BN10" s="413"/>
      <c r="BO10" s="413"/>
      <c r="BP10" s="423"/>
      <c r="BQ10" s="420"/>
      <c r="BW10" s="357"/>
    </row>
    <row r="11" spans="1:86" ht="10.5" thickBot="1" x14ac:dyDescent="0.4">
      <c r="S11" s="357"/>
      <c r="T11" s="357"/>
      <c r="U11" s="413"/>
      <c r="V11" s="357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3"/>
      <c r="AN11" s="413"/>
      <c r="AO11" s="424"/>
      <c r="AP11" s="425"/>
      <c r="AQ11" s="426"/>
      <c r="AR11" s="426"/>
      <c r="AS11" s="427"/>
      <c r="AT11" s="413"/>
      <c r="AU11" s="413"/>
      <c r="BD11" s="413"/>
      <c r="BE11" s="413"/>
      <c r="BF11" s="413"/>
      <c r="BG11" s="413"/>
      <c r="BH11" s="413"/>
      <c r="BI11" s="413"/>
      <c r="BJ11" s="413"/>
      <c r="BK11" s="413"/>
      <c r="BL11" s="424"/>
      <c r="BM11" s="425"/>
      <c r="BN11" s="426"/>
      <c r="BO11" s="426"/>
      <c r="BP11" s="426"/>
      <c r="BQ11" s="428"/>
      <c r="BW11" s="357"/>
    </row>
    <row r="12" spans="1:86" s="468" customFormat="1" ht="15" customHeight="1" thickBot="1" x14ac:dyDescent="0.4">
      <c r="A12" s="862"/>
      <c r="B12" s="905" t="s">
        <v>74</v>
      </c>
      <c r="C12" s="906"/>
      <c r="D12" s="906"/>
      <c r="E12" s="906"/>
      <c r="F12" s="906"/>
      <c r="G12" s="906"/>
      <c r="H12" s="906"/>
      <c r="I12" s="467"/>
      <c r="J12" s="905" t="s">
        <v>75</v>
      </c>
      <c r="K12" s="906"/>
      <c r="L12" s="906"/>
      <c r="M12" s="906"/>
      <c r="N12" s="906"/>
      <c r="O12" s="906"/>
      <c r="P12" s="909"/>
      <c r="Q12" s="467"/>
      <c r="R12" s="467"/>
      <c r="S12" s="823" t="s">
        <v>76</v>
      </c>
      <c r="T12" s="824"/>
      <c r="U12" s="824"/>
      <c r="V12" s="824"/>
      <c r="W12" s="824"/>
      <c r="X12" s="824"/>
      <c r="Y12" s="824"/>
      <c r="Z12" s="824"/>
      <c r="AA12" s="824"/>
      <c r="AB12" s="824"/>
      <c r="AC12" s="824"/>
      <c r="AD12" s="824"/>
      <c r="AE12" s="824"/>
      <c r="AF12" s="824"/>
      <c r="AG12" s="824"/>
      <c r="AH12" s="824"/>
      <c r="AI12" s="824"/>
      <c r="AJ12" s="825"/>
      <c r="AK12" s="825"/>
      <c r="AL12" s="825"/>
      <c r="AM12" s="824"/>
      <c r="AN12" s="824"/>
      <c r="AO12" s="824"/>
      <c r="AP12" s="824"/>
      <c r="AQ12" s="824"/>
      <c r="AR12" s="824"/>
      <c r="AS12" s="824"/>
      <c r="AT12" s="824"/>
      <c r="AU12" s="824"/>
      <c r="AV12" s="824"/>
      <c r="AW12" s="824"/>
      <c r="AX12" s="824"/>
      <c r="AY12" s="824"/>
      <c r="AZ12" s="824"/>
      <c r="BA12" s="824"/>
      <c r="BB12" s="826"/>
      <c r="BD12" s="818" t="s">
        <v>77</v>
      </c>
      <c r="BE12" s="819"/>
      <c r="BF12" s="819"/>
      <c r="BG12" s="819"/>
      <c r="BH12" s="819"/>
      <c r="BI12" s="819"/>
      <c r="BJ12" s="819"/>
      <c r="BK12" s="819"/>
      <c r="BL12" s="819"/>
      <c r="BM12" s="819"/>
      <c r="BN12" s="819"/>
      <c r="BO12" s="819"/>
      <c r="BP12" s="819"/>
      <c r="BQ12" s="819"/>
      <c r="BR12" s="819"/>
      <c r="BS12" s="819"/>
      <c r="BT12" s="819"/>
      <c r="BU12" s="820"/>
      <c r="BV12" s="818" t="s">
        <v>78</v>
      </c>
      <c r="BW12" s="819"/>
      <c r="BX12" s="819"/>
      <c r="BY12" s="819"/>
      <c r="BZ12" s="819"/>
      <c r="CA12" s="819"/>
      <c r="CB12" s="819"/>
      <c r="CC12" s="820"/>
    </row>
    <row r="13" spans="1:86" s="478" customFormat="1" ht="72" customHeight="1" thickBot="1" x14ac:dyDescent="0.4">
      <c r="A13" s="863"/>
      <c r="B13" s="907" t="s">
        <v>79</v>
      </c>
      <c r="C13" s="912" t="s">
        <v>80</v>
      </c>
      <c r="D13" s="912" t="s">
        <v>81</v>
      </c>
      <c r="E13" s="912" t="s">
        <v>82</v>
      </c>
      <c r="F13" s="798" t="s">
        <v>83</v>
      </c>
      <c r="G13" s="798" t="s">
        <v>84</v>
      </c>
      <c r="H13" s="791" t="s">
        <v>85</v>
      </c>
      <c r="I13" s="793"/>
      <c r="J13" s="806" t="s">
        <v>79</v>
      </c>
      <c r="K13" s="830" t="s">
        <v>86</v>
      </c>
      <c r="L13" s="910" t="s">
        <v>87</v>
      </c>
      <c r="M13" s="696"/>
      <c r="N13" s="798" t="s">
        <v>88</v>
      </c>
      <c r="O13" s="798" t="s">
        <v>84</v>
      </c>
      <c r="P13" s="791" t="s">
        <v>85</v>
      </c>
      <c r="Q13" s="792"/>
      <c r="R13" s="793"/>
      <c r="S13" s="840" t="s">
        <v>89</v>
      </c>
      <c r="T13" s="841"/>
      <c r="U13" s="841"/>
      <c r="V13" s="841"/>
      <c r="W13" s="841"/>
      <c r="X13" s="841"/>
      <c r="Y13" s="842"/>
      <c r="Z13" s="840" t="s">
        <v>40</v>
      </c>
      <c r="AA13" s="841"/>
      <c r="AB13" s="841"/>
      <c r="AC13" s="842"/>
      <c r="AD13" s="469" t="s">
        <v>41</v>
      </c>
      <c r="AE13" s="470" t="s">
        <v>90</v>
      </c>
      <c r="AF13" s="470" t="s">
        <v>91</v>
      </c>
      <c r="AG13" s="469" t="s">
        <v>92</v>
      </c>
      <c r="AH13" s="471" t="s">
        <v>43</v>
      </c>
      <c r="AI13" s="840" t="str">
        <f>AI1</f>
        <v>Lamp stability / Drift during cal.</v>
      </c>
      <c r="AJ13" s="842"/>
      <c r="AK13" s="854" t="s">
        <v>93</v>
      </c>
      <c r="AL13" s="855"/>
      <c r="AM13" s="857" t="s">
        <v>45</v>
      </c>
      <c r="AN13" s="858"/>
      <c r="AO13" s="856" t="s">
        <v>94</v>
      </c>
      <c r="AP13" s="857"/>
      <c r="AQ13" s="857"/>
      <c r="AR13" s="857"/>
      <c r="AS13" s="858"/>
      <c r="AT13" s="472" t="s">
        <v>95</v>
      </c>
      <c r="AU13" s="470" t="s">
        <v>96</v>
      </c>
      <c r="AV13" s="473" t="s">
        <v>49</v>
      </c>
      <c r="AW13" s="474" t="s">
        <v>97</v>
      </c>
      <c r="AX13" s="881" t="s">
        <v>98</v>
      </c>
      <c r="AY13" s="827" t="s">
        <v>99</v>
      </c>
      <c r="AZ13" s="828"/>
      <c r="BA13" s="828"/>
      <c r="BB13" s="829"/>
      <c r="BC13" s="475"/>
      <c r="BD13" s="845" t="s">
        <v>52</v>
      </c>
      <c r="BE13" s="846"/>
      <c r="BF13" s="476" t="s">
        <v>47</v>
      </c>
      <c r="BG13" s="856" t="s">
        <v>100</v>
      </c>
      <c r="BH13" s="858"/>
      <c r="BI13" s="856" t="s">
        <v>53</v>
      </c>
      <c r="BJ13" s="858"/>
      <c r="BK13" s="477" t="s">
        <v>101</v>
      </c>
      <c r="BL13" s="843" t="s">
        <v>102</v>
      </c>
      <c r="BM13" s="843"/>
      <c r="BN13" s="843"/>
      <c r="BO13" s="843"/>
      <c r="BP13" s="844"/>
      <c r="BQ13" s="829" t="s">
        <v>98</v>
      </c>
      <c r="BR13" s="828" t="s">
        <v>103</v>
      </c>
      <c r="BS13" s="828"/>
      <c r="BT13" s="828"/>
      <c r="BU13" s="829"/>
      <c r="BV13" s="862" t="s">
        <v>104</v>
      </c>
      <c r="BW13" s="875" t="s">
        <v>105</v>
      </c>
      <c r="BX13" s="862" t="s">
        <v>106</v>
      </c>
      <c r="BY13" s="828" t="s">
        <v>107</v>
      </c>
      <c r="BZ13" s="829"/>
      <c r="CA13" s="772" t="s">
        <v>108</v>
      </c>
      <c r="CB13" s="864" t="s">
        <v>109</v>
      </c>
      <c r="CC13" s="864" t="s">
        <v>14</v>
      </c>
      <c r="CH13" s="772" t="s">
        <v>394</v>
      </c>
    </row>
    <row r="14" spans="1:86" s="478" customFormat="1" ht="80.5" customHeight="1" x14ac:dyDescent="0.35">
      <c r="A14" s="863"/>
      <c r="B14" s="908"/>
      <c r="C14" s="913"/>
      <c r="D14" s="913"/>
      <c r="E14" s="913"/>
      <c r="F14" s="805"/>
      <c r="G14" s="805"/>
      <c r="H14" s="479"/>
      <c r="I14" s="480" t="s">
        <v>110</v>
      </c>
      <c r="J14" s="807"/>
      <c r="K14" s="831"/>
      <c r="L14" s="911"/>
      <c r="M14" s="697" t="s">
        <v>393</v>
      </c>
      <c r="N14" s="799"/>
      <c r="O14" s="799"/>
      <c r="P14" s="481"/>
      <c r="Q14" s="482" t="s">
        <v>111</v>
      </c>
      <c r="R14" s="480" t="s">
        <v>110</v>
      </c>
      <c r="S14" s="430" t="s">
        <v>112</v>
      </c>
      <c r="T14" s="483" t="s">
        <v>113</v>
      </c>
      <c r="U14" s="484" t="s">
        <v>114</v>
      </c>
      <c r="V14" s="484" t="s">
        <v>115</v>
      </c>
      <c r="W14" s="484" t="s">
        <v>116</v>
      </c>
      <c r="X14" s="484" t="s">
        <v>117</v>
      </c>
      <c r="Y14" s="484" t="s">
        <v>117</v>
      </c>
      <c r="Z14" s="485" t="s">
        <v>118</v>
      </c>
      <c r="AA14" s="486" t="s">
        <v>119</v>
      </c>
      <c r="AB14" s="431" t="s">
        <v>120</v>
      </c>
      <c r="AC14" s="483" t="s">
        <v>121</v>
      </c>
      <c r="AD14" s="487" t="s">
        <v>117</v>
      </c>
      <c r="AE14" s="487" t="s">
        <v>117</v>
      </c>
      <c r="AF14" s="487" t="s">
        <v>117</v>
      </c>
      <c r="AG14" s="487" t="s">
        <v>117</v>
      </c>
      <c r="AH14" s="487" t="s">
        <v>117</v>
      </c>
      <c r="AI14" s="463" t="s">
        <v>117</v>
      </c>
      <c r="AJ14" s="463" t="s">
        <v>122</v>
      </c>
      <c r="AK14" s="852" t="s">
        <v>117</v>
      </c>
      <c r="AL14" s="853"/>
      <c r="AM14" s="852" t="s">
        <v>117</v>
      </c>
      <c r="AN14" s="853"/>
      <c r="AO14" s="847" t="s">
        <v>123</v>
      </c>
      <c r="AP14" s="848"/>
      <c r="AQ14" s="848" t="s">
        <v>124</v>
      </c>
      <c r="AR14" s="848"/>
      <c r="AS14" s="488" t="s">
        <v>125</v>
      </c>
      <c r="AT14" s="487" t="s">
        <v>117</v>
      </c>
      <c r="AU14" s="487" t="s">
        <v>117</v>
      </c>
      <c r="AV14" s="489" t="s">
        <v>126</v>
      </c>
      <c r="AW14" s="490" t="s">
        <v>127</v>
      </c>
      <c r="AX14" s="882"/>
      <c r="AY14" s="491" t="s">
        <v>128</v>
      </c>
      <c r="AZ14" s="492" t="s">
        <v>129</v>
      </c>
      <c r="BA14" s="492" t="s">
        <v>130</v>
      </c>
      <c r="BB14" s="493" t="s">
        <v>130</v>
      </c>
      <c r="BC14" s="494"/>
      <c r="BD14" s="838" t="s">
        <v>117</v>
      </c>
      <c r="BE14" s="839"/>
      <c r="BF14" s="495" t="s">
        <v>117</v>
      </c>
      <c r="BG14" s="838" t="s">
        <v>117</v>
      </c>
      <c r="BH14" s="874"/>
      <c r="BI14" s="838" t="s">
        <v>117</v>
      </c>
      <c r="BJ14" s="874"/>
      <c r="BK14" s="496" t="s">
        <v>117</v>
      </c>
      <c r="BL14" s="847" t="s">
        <v>123</v>
      </c>
      <c r="BM14" s="848"/>
      <c r="BN14" s="848" t="s">
        <v>124</v>
      </c>
      <c r="BO14" s="848"/>
      <c r="BP14" s="488" t="s">
        <v>125</v>
      </c>
      <c r="BQ14" s="832"/>
      <c r="BR14" s="491" t="s">
        <v>131</v>
      </c>
      <c r="BS14" s="492" t="s">
        <v>132</v>
      </c>
      <c r="BT14" s="492" t="s">
        <v>133</v>
      </c>
      <c r="BU14" s="493" t="s">
        <v>130</v>
      </c>
      <c r="BV14" s="863"/>
      <c r="BW14" s="876"/>
      <c r="BX14" s="863"/>
      <c r="BY14" s="873"/>
      <c r="BZ14" s="832"/>
      <c r="CA14" s="773"/>
      <c r="CB14" s="865"/>
      <c r="CC14" s="865"/>
      <c r="CH14" s="773"/>
    </row>
    <row r="15" spans="1:86" s="478" customFormat="1" ht="30" x14ac:dyDescent="0.35">
      <c r="A15" s="497" t="s">
        <v>134</v>
      </c>
      <c r="B15" s="498" t="s">
        <v>135</v>
      </c>
      <c r="C15" s="499" t="s">
        <v>136</v>
      </c>
      <c r="D15" s="499" t="s">
        <v>137</v>
      </c>
      <c r="E15" s="499"/>
      <c r="F15" s="500" t="s">
        <v>138</v>
      </c>
      <c r="G15" s="500" t="s">
        <v>139</v>
      </c>
      <c r="H15" s="501" t="s">
        <v>140</v>
      </c>
      <c r="I15" s="478" t="s">
        <v>141</v>
      </c>
      <c r="J15" s="502" t="s">
        <v>139</v>
      </c>
      <c r="K15" s="503" t="s">
        <v>142</v>
      </c>
      <c r="L15" s="911"/>
      <c r="M15" s="697"/>
      <c r="N15" s="500" t="s">
        <v>138</v>
      </c>
      <c r="O15" s="500" t="s">
        <v>139</v>
      </c>
      <c r="P15" s="478" t="s">
        <v>140</v>
      </c>
      <c r="Q15" s="478" t="s">
        <v>143</v>
      </c>
      <c r="R15" s="478" t="s">
        <v>141</v>
      </c>
      <c r="S15" s="836" t="s">
        <v>135</v>
      </c>
      <c r="T15" s="849"/>
      <c r="U15" s="504"/>
      <c r="V15" s="504"/>
      <c r="W15" s="504"/>
      <c r="X15" s="504"/>
      <c r="Y15" s="504"/>
      <c r="Z15" s="836" t="s">
        <v>144</v>
      </c>
      <c r="AA15" s="850"/>
      <c r="AB15" s="850"/>
      <c r="AC15" s="849"/>
      <c r="AD15" s="505" t="s">
        <v>145</v>
      </c>
      <c r="AE15" s="506" t="s">
        <v>55</v>
      </c>
      <c r="AF15" s="506" t="s">
        <v>146</v>
      </c>
      <c r="AG15" s="506" t="s">
        <v>55</v>
      </c>
      <c r="AH15" s="506" t="s">
        <v>147</v>
      </c>
      <c r="AI15" s="464" t="s">
        <v>138</v>
      </c>
      <c r="AJ15" s="464"/>
      <c r="AK15" s="833" t="s">
        <v>148</v>
      </c>
      <c r="AL15" s="851"/>
      <c r="AM15" s="833" t="s">
        <v>149</v>
      </c>
      <c r="AN15" s="851"/>
      <c r="AO15" s="498" t="s">
        <v>150</v>
      </c>
      <c r="AP15" s="499" t="s">
        <v>151</v>
      </c>
      <c r="AQ15" s="499" t="s">
        <v>152</v>
      </c>
      <c r="AR15" s="499" t="s">
        <v>151</v>
      </c>
      <c r="AS15" s="507" t="s">
        <v>153</v>
      </c>
      <c r="AT15" s="508" t="s">
        <v>55</v>
      </c>
      <c r="AU15" s="505" t="s">
        <v>154</v>
      </c>
      <c r="AV15" s="509" t="s">
        <v>155</v>
      </c>
      <c r="AW15" s="508" t="s">
        <v>156</v>
      </c>
      <c r="AX15" s="510" t="s">
        <v>157</v>
      </c>
      <c r="AY15" s="833" t="s">
        <v>157</v>
      </c>
      <c r="AZ15" s="834"/>
      <c r="BA15" s="834"/>
      <c r="BB15" s="835"/>
      <c r="BD15" s="836" t="s">
        <v>158</v>
      </c>
      <c r="BE15" s="837"/>
      <c r="BF15" s="510" t="s">
        <v>55</v>
      </c>
      <c r="BG15" s="833" t="s">
        <v>55</v>
      </c>
      <c r="BH15" s="835"/>
      <c r="BI15" s="833" t="s">
        <v>55</v>
      </c>
      <c r="BJ15" s="835"/>
      <c r="BK15" s="505" t="s">
        <v>55</v>
      </c>
      <c r="BL15" s="498" t="s">
        <v>150</v>
      </c>
      <c r="BM15" s="499" t="s">
        <v>151</v>
      </c>
      <c r="BN15" s="499" t="s">
        <v>152</v>
      </c>
      <c r="BO15" s="499" t="s">
        <v>151</v>
      </c>
      <c r="BP15" s="507" t="s">
        <v>153</v>
      </c>
      <c r="BQ15" s="508" t="s">
        <v>157</v>
      </c>
      <c r="BR15" s="833" t="s">
        <v>157</v>
      </c>
      <c r="BS15" s="834"/>
      <c r="BT15" s="834"/>
      <c r="BU15" s="835"/>
      <c r="BV15" s="511"/>
      <c r="BW15" s="512"/>
      <c r="BX15" s="511"/>
      <c r="BZ15" s="513" t="s">
        <v>159</v>
      </c>
      <c r="CA15" s="773"/>
      <c r="CB15" s="865"/>
      <c r="CC15" s="865"/>
      <c r="CH15" s="773"/>
    </row>
    <row r="16" spans="1:86" s="478" customFormat="1" ht="10.5" x14ac:dyDescent="0.35">
      <c r="A16" s="514" t="s">
        <v>160</v>
      </c>
      <c r="B16" s="625"/>
      <c r="C16" s="515"/>
      <c r="D16" s="515"/>
      <c r="E16" s="515"/>
      <c r="F16" s="626"/>
      <c r="G16" s="626"/>
      <c r="H16" s="516"/>
      <c r="J16" s="627"/>
      <c r="K16" s="628"/>
      <c r="L16" s="629"/>
      <c r="M16" s="697"/>
      <c r="N16" s="500"/>
      <c r="O16" s="500"/>
      <c r="S16" s="897" t="s">
        <v>161</v>
      </c>
      <c r="T16" s="898"/>
      <c r="U16" s="504"/>
      <c r="V16" s="504"/>
      <c r="W16" s="504"/>
      <c r="X16" s="504"/>
      <c r="Y16" s="504"/>
      <c r="Z16" s="630"/>
      <c r="AA16" s="631"/>
      <c r="AB16" s="631"/>
      <c r="AC16" s="507"/>
      <c r="AD16" s="632"/>
      <c r="AE16" s="633"/>
      <c r="AF16" s="633"/>
      <c r="AG16" s="633"/>
      <c r="AH16" s="633"/>
      <c r="AI16" s="634"/>
      <c r="AJ16" s="634"/>
      <c r="AK16" s="635"/>
      <c r="AL16" s="636"/>
      <c r="AM16" s="635"/>
      <c r="AN16" s="636"/>
      <c r="AO16" s="498"/>
      <c r="AP16" s="499"/>
      <c r="AQ16" s="499"/>
      <c r="AR16" s="499"/>
      <c r="AS16" s="507"/>
      <c r="AT16" s="637"/>
      <c r="AU16" s="632"/>
      <c r="AV16" s="638"/>
      <c r="AW16" s="637"/>
      <c r="AX16" s="639"/>
      <c r="AY16" s="635"/>
      <c r="AZ16" s="640"/>
      <c r="BA16" s="640"/>
      <c r="BB16" s="517"/>
      <c r="BD16" s="630"/>
      <c r="BE16" s="641"/>
      <c r="BF16" s="510"/>
      <c r="BG16" s="635"/>
      <c r="BH16" s="517"/>
      <c r="BI16" s="635"/>
      <c r="BJ16" s="517"/>
      <c r="BK16" s="632"/>
      <c r="BL16" s="498"/>
      <c r="BM16" s="499"/>
      <c r="BN16" s="499"/>
      <c r="BO16" s="499"/>
      <c r="BP16" s="642"/>
      <c r="BQ16" s="643"/>
      <c r="BR16" s="644"/>
      <c r="BS16" s="638"/>
      <c r="BT16" s="638"/>
      <c r="BU16" s="645"/>
      <c r="BV16" s="511"/>
      <c r="BW16" s="512"/>
      <c r="BX16" s="511"/>
      <c r="BZ16" s="513"/>
      <c r="CA16" s="646"/>
      <c r="CB16" s="865"/>
      <c r="CC16" s="865"/>
      <c r="CH16" s="695"/>
    </row>
    <row r="17" spans="1:86" s="478" customFormat="1" ht="10.5" x14ac:dyDescent="0.35">
      <c r="A17" s="647" t="s">
        <v>162</v>
      </c>
      <c r="B17" s="625"/>
      <c r="C17" s="515"/>
      <c r="D17" s="515"/>
      <c r="E17" s="515"/>
      <c r="F17" s="626"/>
      <c r="G17" s="626"/>
      <c r="H17" s="516"/>
      <c r="J17" s="627"/>
      <c r="K17" s="628"/>
      <c r="L17" s="629"/>
      <c r="M17" s="697"/>
      <c r="N17" s="500"/>
      <c r="O17" s="500"/>
      <c r="S17" s="630" t="s">
        <v>163</v>
      </c>
      <c r="T17" s="630" t="s">
        <v>164</v>
      </c>
      <c r="U17" s="504"/>
      <c r="V17" s="504"/>
      <c r="W17" s="504"/>
      <c r="X17" s="504"/>
      <c r="Y17" s="504"/>
      <c r="Z17" s="630"/>
      <c r="AA17" s="631"/>
      <c r="AB17" s="631"/>
      <c r="AC17" s="507"/>
      <c r="AD17" s="632"/>
      <c r="AE17" s="633"/>
      <c r="AF17" s="633"/>
      <c r="AG17" s="633"/>
      <c r="AH17" s="633"/>
      <c r="AI17" s="634"/>
      <c r="AJ17" s="634"/>
      <c r="AK17" s="635"/>
      <c r="AL17" s="636"/>
      <c r="AM17" s="635"/>
      <c r="AN17" s="636"/>
      <c r="AO17" s="498"/>
      <c r="AP17" s="499"/>
      <c r="AQ17" s="499"/>
      <c r="AR17" s="499"/>
      <c r="AS17" s="507"/>
      <c r="AT17" s="637"/>
      <c r="AU17" s="632"/>
      <c r="AV17" s="638"/>
      <c r="AW17" s="637"/>
      <c r="AX17" s="639"/>
      <c r="AY17" s="635"/>
      <c r="AZ17" s="640"/>
      <c r="BA17" s="640"/>
      <c r="BB17" s="517"/>
      <c r="BD17" s="630"/>
      <c r="BE17" s="641"/>
      <c r="BF17" s="510"/>
      <c r="BG17" s="635"/>
      <c r="BH17" s="517"/>
      <c r="BI17" s="635"/>
      <c r="BJ17" s="517"/>
      <c r="BK17" s="632"/>
      <c r="BL17" s="498"/>
      <c r="BM17" s="499"/>
      <c r="BN17" s="499"/>
      <c r="BO17" s="499"/>
      <c r="BP17" s="642"/>
      <c r="BQ17" s="643"/>
      <c r="BR17" s="644"/>
      <c r="BS17" s="638"/>
      <c r="BT17" s="638"/>
      <c r="BU17" s="645"/>
      <c r="BV17" s="511"/>
      <c r="BW17" s="512"/>
      <c r="BX17" s="511"/>
      <c r="BZ17" s="513"/>
      <c r="CA17" s="646"/>
      <c r="CB17" s="865"/>
      <c r="CC17" s="865"/>
      <c r="CH17" s="695"/>
    </row>
    <row r="18" spans="1:86" s="478" customFormat="1" ht="10.5" x14ac:dyDescent="0.35">
      <c r="A18" s="514"/>
      <c r="B18" s="796" t="s">
        <v>165</v>
      </c>
      <c r="C18" s="515"/>
      <c r="D18" s="515"/>
      <c r="E18" s="515"/>
      <c r="F18" s="794" t="s">
        <v>166</v>
      </c>
      <c r="G18" s="794" t="s">
        <v>167</v>
      </c>
      <c r="H18" s="516"/>
      <c r="I18" s="478" t="s">
        <v>168</v>
      </c>
      <c r="J18" s="803" t="s">
        <v>169</v>
      </c>
      <c r="K18" s="802" t="s">
        <v>170</v>
      </c>
      <c r="L18" s="800" t="s">
        <v>171</v>
      </c>
      <c r="M18" s="694"/>
      <c r="N18" s="789" t="s">
        <v>172</v>
      </c>
      <c r="O18" s="789" t="s">
        <v>167</v>
      </c>
      <c r="R18" s="478" t="s">
        <v>168</v>
      </c>
      <c r="S18" s="775" t="s">
        <v>173</v>
      </c>
      <c r="T18" s="893"/>
      <c r="U18" s="504"/>
      <c r="V18" s="504"/>
      <c r="W18" s="504"/>
      <c r="X18" s="504"/>
      <c r="Y18" s="504"/>
      <c r="Z18" s="777" t="s">
        <v>174</v>
      </c>
      <c r="AA18" s="789" t="s">
        <v>174</v>
      </c>
      <c r="AB18" s="789" t="s">
        <v>174</v>
      </c>
      <c r="AC18" s="781" t="s">
        <v>175</v>
      </c>
      <c r="AD18" s="779" t="s">
        <v>176</v>
      </c>
      <c r="AE18" s="779" t="s">
        <v>177</v>
      </c>
      <c r="AF18" s="779" t="s">
        <v>178</v>
      </c>
      <c r="AG18" s="779" t="s">
        <v>179</v>
      </c>
      <c r="AH18" s="779" t="s">
        <v>180</v>
      </c>
      <c r="AI18" s="775" t="s">
        <v>181</v>
      </c>
      <c r="AJ18" s="465"/>
      <c r="AK18" s="432" t="s">
        <v>182</v>
      </c>
      <c r="AL18" s="433">
        <f>21-23.5</f>
        <v>-2.5</v>
      </c>
      <c r="AM18" s="785" t="s">
        <v>183</v>
      </c>
      <c r="AN18" s="883" t="s">
        <v>183</v>
      </c>
      <c r="AO18" s="777" t="s">
        <v>184</v>
      </c>
      <c r="AP18" s="789" t="s">
        <v>184</v>
      </c>
      <c r="AQ18" s="789" t="s">
        <v>185</v>
      </c>
      <c r="AR18" s="789" t="s">
        <v>185</v>
      </c>
      <c r="AS18" s="781" t="s">
        <v>186</v>
      </c>
      <c r="AT18" s="779" t="s">
        <v>187</v>
      </c>
      <c r="AU18" s="779" t="s">
        <v>188</v>
      </c>
      <c r="AV18" s="779" t="s">
        <v>189</v>
      </c>
      <c r="AW18" s="779" t="s">
        <v>190</v>
      </c>
      <c r="AX18" s="787" t="s">
        <v>191</v>
      </c>
      <c r="AY18" s="785" t="s">
        <v>192</v>
      </c>
      <c r="AZ18" s="783" t="s">
        <v>192</v>
      </c>
      <c r="BA18" s="783" t="s">
        <v>192</v>
      </c>
      <c r="BB18" s="781" t="s">
        <v>193</v>
      </c>
      <c r="BD18" s="777" t="s">
        <v>194</v>
      </c>
      <c r="BE18" s="883" t="s">
        <v>194</v>
      </c>
      <c r="BF18" s="885" t="s">
        <v>187</v>
      </c>
      <c r="BG18" s="887" t="s">
        <v>195</v>
      </c>
      <c r="BH18" s="517" t="s">
        <v>196</v>
      </c>
      <c r="BI18" s="785" t="s">
        <v>197</v>
      </c>
      <c r="BJ18" s="781" t="s">
        <v>197</v>
      </c>
      <c r="BK18" s="779" t="s">
        <v>179</v>
      </c>
      <c r="BL18" s="777" t="s">
        <v>184</v>
      </c>
      <c r="BM18" s="789" t="s">
        <v>184</v>
      </c>
      <c r="BN18" s="789" t="s">
        <v>185</v>
      </c>
      <c r="BO18" s="789" t="s">
        <v>185</v>
      </c>
      <c r="BP18" s="788" t="s">
        <v>186</v>
      </c>
      <c r="BQ18" s="892" t="s">
        <v>174</v>
      </c>
      <c r="BR18" s="775" t="s">
        <v>192</v>
      </c>
      <c r="BS18" s="895" t="s">
        <v>192</v>
      </c>
      <c r="BT18" s="895" t="s">
        <v>192</v>
      </c>
      <c r="BU18" s="893" t="s">
        <v>198</v>
      </c>
      <c r="BV18" s="871" t="s">
        <v>199</v>
      </c>
      <c r="BW18" s="889" t="s">
        <v>199</v>
      </c>
      <c r="BX18" s="871" t="s">
        <v>199</v>
      </c>
      <c r="BY18" s="867" t="s">
        <v>199</v>
      </c>
      <c r="BZ18" s="868"/>
      <c r="CA18" s="774" t="s">
        <v>174</v>
      </c>
      <c r="CB18" s="865"/>
      <c r="CC18" s="865"/>
      <c r="CH18" s="774" t="s">
        <v>174</v>
      </c>
    </row>
    <row r="19" spans="1:86" s="525" customFormat="1" ht="13" thickBot="1" x14ac:dyDescent="0.4">
      <c r="A19" s="518" t="s">
        <v>200</v>
      </c>
      <c r="B19" s="797"/>
      <c r="C19" s="519" t="s">
        <v>201</v>
      </c>
      <c r="D19" s="519" t="s">
        <v>170</v>
      </c>
      <c r="E19" s="519" t="s">
        <v>174</v>
      </c>
      <c r="F19" s="795"/>
      <c r="G19" s="795"/>
      <c r="H19" s="520" t="s">
        <v>202</v>
      </c>
      <c r="I19" s="521" t="s">
        <v>174</v>
      </c>
      <c r="J19" s="804"/>
      <c r="K19" s="801"/>
      <c r="L19" s="801"/>
      <c r="M19" s="720"/>
      <c r="N19" s="795"/>
      <c r="O19" s="795"/>
      <c r="P19" s="521" t="s">
        <v>202</v>
      </c>
      <c r="Q19" s="521"/>
      <c r="R19" s="521" t="s">
        <v>174</v>
      </c>
      <c r="S19" s="776"/>
      <c r="T19" s="894"/>
      <c r="U19" s="522" t="s">
        <v>203</v>
      </c>
      <c r="V19" s="522" t="s">
        <v>203</v>
      </c>
      <c r="W19" s="522" t="s">
        <v>204</v>
      </c>
      <c r="X19" s="522" t="s">
        <v>205</v>
      </c>
      <c r="Y19" s="522" t="s">
        <v>206</v>
      </c>
      <c r="Z19" s="778"/>
      <c r="AA19" s="790"/>
      <c r="AB19" s="790"/>
      <c r="AC19" s="788"/>
      <c r="AD19" s="780"/>
      <c r="AE19" s="780"/>
      <c r="AF19" s="780"/>
      <c r="AG19" s="780"/>
      <c r="AH19" s="780"/>
      <c r="AI19" s="776"/>
      <c r="AJ19" s="466"/>
      <c r="AK19" s="434" t="s">
        <v>195</v>
      </c>
      <c r="AL19" s="523" t="s">
        <v>207</v>
      </c>
      <c r="AM19" s="786"/>
      <c r="AN19" s="884"/>
      <c r="AO19" s="797"/>
      <c r="AP19" s="795"/>
      <c r="AQ19" s="795"/>
      <c r="AR19" s="795"/>
      <c r="AS19" s="782"/>
      <c r="AT19" s="780"/>
      <c r="AU19" s="780"/>
      <c r="AV19" s="780"/>
      <c r="AW19" s="780"/>
      <c r="AX19" s="776"/>
      <c r="AY19" s="786"/>
      <c r="AZ19" s="784"/>
      <c r="BA19" s="784"/>
      <c r="BB19" s="782"/>
      <c r="BC19" s="522"/>
      <c r="BD19" s="797"/>
      <c r="BE19" s="884"/>
      <c r="BF19" s="886"/>
      <c r="BG19" s="888"/>
      <c r="BH19" s="524">
        <f>25.2-23.5</f>
        <v>1.6999999999999993</v>
      </c>
      <c r="BI19" s="786"/>
      <c r="BJ19" s="782"/>
      <c r="BK19" s="780"/>
      <c r="BL19" s="797"/>
      <c r="BM19" s="795"/>
      <c r="BN19" s="790"/>
      <c r="BO19" s="790"/>
      <c r="BP19" s="891"/>
      <c r="BQ19" s="780"/>
      <c r="BR19" s="776"/>
      <c r="BS19" s="896"/>
      <c r="BT19" s="896"/>
      <c r="BU19" s="894"/>
      <c r="BV19" s="872"/>
      <c r="BW19" s="890"/>
      <c r="BX19" s="872"/>
      <c r="BY19" s="869"/>
      <c r="BZ19" s="870"/>
      <c r="CA19" s="866"/>
      <c r="CB19" s="865"/>
      <c r="CC19" s="880"/>
      <c r="CD19" s="468" t="s">
        <v>208</v>
      </c>
      <c r="CF19" s="525" t="s">
        <v>209</v>
      </c>
      <c r="CH19" s="774"/>
    </row>
    <row r="20" spans="1:86" s="468" customFormat="1" ht="10.5" thickBot="1" x14ac:dyDescent="0.4">
      <c r="A20" s="526">
        <v>200</v>
      </c>
      <c r="B20" s="527">
        <v>0.1134</v>
      </c>
      <c r="C20" s="528"/>
      <c r="D20" s="528"/>
      <c r="E20" s="528"/>
      <c r="F20" s="414">
        <f>-'Response calculation'!Q5</f>
        <v>4.387974900000001E-4</v>
      </c>
      <c r="G20" s="414">
        <v>1.1496844400000001E-6</v>
      </c>
      <c r="H20" s="529">
        <f>F20/SQRT(SUMSQ('Response calculation'!J5,'Response calculation'!P5))</f>
        <v>275.7347665197683</v>
      </c>
      <c r="I20" s="529">
        <f>1*100/H20</f>
        <v>0.36266736060224269</v>
      </c>
      <c r="J20" s="530">
        <f>N20/F20*B20</f>
        <v>2.3665407703220794E-2</v>
      </c>
      <c r="K20" s="435">
        <v>2.6759999999999999E-2</v>
      </c>
      <c r="L20" s="531">
        <f>K20+(BH20/100*K20)</f>
        <v>2.67190572E-2</v>
      </c>
      <c r="M20" s="722">
        <f>ABS(L20-K20)/K20*100</f>
        <v>0.15299999999999606</v>
      </c>
      <c r="N20" s="532">
        <f>'Response calculation'!W5</f>
        <v>9.1572499999999571E-5</v>
      </c>
      <c r="O20" s="532">
        <v>4.6328336100000002E-7</v>
      </c>
      <c r="P20" s="533">
        <f>N20/SQRT(SUMSQ('Response calculation'!S5,'Response calculation'!V5))</f>
        <v>117.02824081564913</v>
      </c>
      <c r="Q20" s="529">
        <f>1/P20*100</f>
        <v>0.8544946014998791</v>
      </c>
      <c r="R20" s="529">
        <f t="shared" ref="R20:R40" si="1">1*100/P20</f>
        <v>0.85449460149987921</v>
      </c>
      <c r="S20" s="534">
        <v>6.12</v>
      </c>
      <c r="T20" s="535">
        <f t="shared" ref="T20:T40" si="2">S20/$T$5</f>
        <v>3.06</v>
      </c>
      <c r="U20" s="536">
        <f t="shared" ref="U20:U40" si="3">B20*S20/100</f>
        <v>6.9400800000000004E-3</v>
      </c>
      <c r="V20" s="536">
        <f t="shared" ref="V20:V40" si="4">U20/$T$5</f>
        <v>3.4700400000000002E-3</v>
      </c>
      <c r="W20" s="536">
        <f t="shared" ref="W20:W40" si="5">N20/F20</f>
        <v>0.20868966228589764</v>
      </c>
      <c r="X20" s="537">
        <f>V20*W20</f>
        <v>7.2416147571855631E-4</v>
      </c>
      <c r="Y20" s="452">
        <f t="shared" ref="Y20:Y40" si="6">X20*100/B20</f>
        <v>0.6385903665948468</v>
      </c>
      <c r="Z20" s="538">
        <f>'Drift is STD'!B3</f>
        <v>-1.0760271130170149E-2</v>
      </c>
      <c r="AA20" s="437">
        <f>'Drift is STD'!C3</f>
        <v>5.2059999999999995E-2</v>
      </c>
      <c r="AB20" s="437">
        <f>AA20*$AB$5</f>
        <v>0.1655508</v>
      </c>
      <c r="AC20" s="539">
        <f t="shared" ref="AC20:AC40" si="7">SQRT(SUMSQ(Z20:AA20))</f>
        <v>5.3160389716355283E-2</v>
      </c>
      <c r="AD20" s="437">
        <v>4.1000000000000002E-2</v>
      </c>
      <c r="AE20" s="441">
        <v>0.01</v>
      </c>
      <c r="AF20" s="540">
        <v>5.0000000000000001E-3</v>
      </c>
      <c r="AG20" s="539">
        <v>0.02</v>
      </c>
      <c r="AH20" s="541">
        <f>'Wavelength Uc'!Y4</f>
        <v>6.1188587082438468E-2</v>
      </c>
      <c r="AI20" s="542">
        <v>0.21695643531694911</v>
      </c>
      <c r="AJ20" s="448">
        <f t="shared" ref="AJ20:AJ40" si="8">AI20/F20</f>
        <v>494.43408465474374</v>
      </c>
      <c r="AK20" s="438">
        <v>0.05</v>
      </c>
      <c r="AL20" s="543">
        <f t="shared" ref="AL20:AL40" si="9">AK20*$AL$18</f>
        <v>-0.125</v>
      </c>
      <c r="AM20" s="448">
        <v>0.02</v>
      </c>
      <c r="AN20" s="544">
        <f t="shared" ref="AN20:AN24" si="10">AM20/$AN$5</f>
        <v>0.02</v>
      </c>
      <c r="AO20" s="545">
        <f>$AP$7*100/F20</f>
        <v>0.27347467279268156</v>
      </c>
      <c r="AP20" s="414">
        <f t="shared" ref="AP20:AP40" si="11">AO20/$AP$10</f>
        <v>0.13673733639634078</v>
      </c>
      <c r="AQ20" s="414">
        <f>($AR$4*F20)+($AS$4*$AO$7)</f>
        <v>3.0131639247000001E-6</v>
      </c>
      <c r="AR20" s="414">
        <f t="shared" ref="AR20:AR40" si="12">AQ20/$AS$7</f>
        <v>1.7396510030380145E-6</v>
      </c>
      <c r="AS20" s="546">
        <f t="shared" ref="AS20:AS40" si="13">SQRT(SUMSQ(AP20,AR20))</f>
        <v>0.13673733640740721</v>
      </c>
      <c r="AT20" s="547">
        <v>8.5999999999999993E-2</v>
      </c>
      <c r="AU20" s="548">
        <v>0</v>
      </c>
      <c r="AV20" s="548">
        <v>1.5299999999999999E-3</v>
      </c>
      <c r="AW20" s="549">
        <f>'Response calculation'!N5*100/'Response calculation'!G5</f>
        <v>95.586666025609816</v>
      </c>
      <c r="AX20" s="550">
        <f>-'Response calculation'!K5</f>
        <v>1.1563287198565694E-2</v>
      </c>
      <c r="AY20" s="439">
        <v>9.9999999999999994E-12</v>
      </c>
      <c r="AZ20" s="440">
        <f>AY20/2</f>
        <v>4.9999999999999997E-12</v>
      </c>
      <c r="BA20" s="440">
        <f t="shared" ref="BA20:BA40" si="14">AZ20/$BB$5</f>
        <v>2.8867513459481288E-12</v>
      </c>
      <c r="BB20" s="546">
        <f>BA20/-'Response calculation'!G5*100</f>
        <v>2.9034345184357096E-8</v>
      </c>
      <c r="BC20" s="529"/>
      <c r="BD20" s="551">
        <v>2.9000000000000001E-2</v>
      </c>
      <c r="BE20" s="552">
        <f>BD20/$BE$5</f>
        <v>1.674315780649915E-2</v>
      </c>
      <c r="BF20" s="553">
        <v>1.24E-3</v>
      </c>
      <c r="BG20" s="441">
        <f>'Temp coeff'!E6</f>
        <v>-0.09</v>
      </c>
      <c r="BH20" s="539">
        <f>BG20*$BH$19</f>
        <v>-0.15299999999999994</v>
      </c>
      <c r="BI20" s="442">
        <v>1.6000000000000001E-4</v>
      </c>
      <c r="BJ20" s="554">
        <f t="shared" ref="BJ20:BJ40" si="15">BI20/$BJ$5</f>
        <v>9.2376043070340139E-5</v>
      </c>
      <c r="BK20" s="543">
        <v>0.02</v>
      </c>
      <c r="BL20" s="555">
        <f t="shared" ref="BL20:BL29" si="16">$BM$7*100/N20</f>
        <v>1.310437085369522</v>
      </c>
      <c r="BM20" s="537">
        <f>BL20/$BM$10</f>
        <v>0.65521854268476099</v>
      </c>
      <c r="BN20" s="537">
        <f>($BO$4*N20)+($BP$4*$BL$7)</f>
        <v>3.0027471750000002E-6</v>
      </c>
      <c r="BO20" s="537">
        <f>BN20/$BP$7</f>
        <v>1.7336368897946386E-6</v>
      </c>
      <c r="BP20" s="444">
        <f>SQRT(SUMSQ(BM20,BO20))</f>
        <v>0.65521854268705448</v>
      </c>
      <c r="BQ20" s="556">
        <f>'Response calculation'!T5</f>
        <v>-3.4518117264349382E-3</v>
      </c>
      <c r="BR20" s="443">
        <v>1E-10</v>
      </c>
      <c r="BS20" s="444">
        <f>BR20/2</f>
        <v>5.0000000000000002E-11</v>
      </c>
      <c r="BT20" s="444">
        <f t="shared" ref="BT20:BT40" si="17">BS20/$BU$5</f>
        <v>2.886751345948129E-11</v>
      </c>
      <c r="BU20" s="557">
        <f>BT20/'Response calculation'!R5*100</f>
        <v>-2.1508482682687131E-7</v>
      </c>
      <c r="BV20" s="445">
        <f>SQRT(SUMSQ($AX20,$BB20,$T20,$AC20,$AD20,$AE20,$AF20,$AG20,$AH20,$AI20,$AL20,$AN20,$AS20,$AT20,$AU20,$AV20,$AW20))</f>
        <v>95.636146002472302</v>
      </c>
      <c r="BW20" s="558">
        <f>BV20*2</f>
        <v>191.2722920049446</v>
      </c>
      <c r="BX20" s="445">
        <f t="shared" ref="BX20:BX40" si="18">SQRT(SUMSQ($AX20,$BB20,$T20,$AC20,$AD20,$AE20,$AF20,$AG20,$AH20,$AI20,$AL20,$AN20,$AS20,$AT20,$AU20,$AV20,AW20,$BQ20,$BU20,$BE20,$BF20,$BH20,$BJ20,$BK20,$BP20))</f>
        <v>95.638516489641091</v>
      </c>
      <c r="BY20" s="446">
        <f>BX20*2</f>
        <v>191.27703297928218</v>
      </c>
      <c r="BZ20" s="558">
        <f>ROUNDUP(BY20,1)</f>
        <v>191.29999999999998</v>
      </c>
      <c r="CA20" s="559">
        <f>ABS(J20-L20)/L20*100</f>
        <v>11.428732211326704</v>
      </c>
      <c r="CB20" s="560" t="str">
        <f>IF(CA20&lt;BZ20,"OK","NOT OK")</f>
        <v>OK</v>
      </c>
      <c r="CC20" s="877" t="s">
        <v>210</v>
      </c>
      <c r="CD20" s="536">
        <f t="shared" ref="CD20:CD40" si="19">BZ20/100*J20</f>
        <v>4.5271924936261372E-2</v>
      </c>
      <c r="CE20" s="561">
        <v>191.29999999999998</v>
      </c>
      <c r="CF20" s="446">
        <f>ABS((J20-L20)/(SQRT(SUMSQ(CD20,'Response calculation'!AB5))))</f>
        <v>6.744990084060902E-2</v>
      </c>
      <c r="CH20" s="721">
        <f>ABS(J20-K20)/K20*100</f>
        <v>11.56424625104337</v>
      </c>
    </row>
    <row r="21" spans="1:86" s="468" customFormat="1" ht="10.5" thickBot="1" x14ac:dyDescent="0.4">
      <c r="A21" s="562">
        <v>210</v>
      </c>
      <c r="B21" s="527">
        <v>0.1163</v>
      </c>
      <c r="C21" s="528"/>
      <c r="D21" s="528"/>
      <c r="E21" s="528"/>
      <c r="F21" s="414">
        <f>-'Response calculation'!Q6</f>
        <v>8.6255107999999928E-4</v>
      </c>
      <c r="G21" s="414">
        <v>2.1869258399999999E-6</v>
      </c>
      <c r="H21" s="529">
        <f>F21/SQRT(SUMSQ('Response calculation'!J6,'Response calculation'!P6))</f>
        <v>381.6071998698647</v>
      </c>
      <c r="I21" s="529">
        <f t="shared" ref="I21:I40" si="20">1*100/H21</f>
        <v>0.26204956309551258</v>
      </c>
      <c r="J21" s="530">
        <f t="shared" ref="J21:J40" si="21">N21/F21*B21</f>
        <v>2.462929025606243E-2</v>
      </c>
      <c r="K21" s="435">
        <v>2.6200000000000001E-2</v>
      </c>
      <c r="L21" s="531">
        <f t="shared" ref="L21:L40" si="22">K21+(BH21/100*K21)</f>
        <v>2.6155460000000002E-2</v>
      </c>
      <c r="M21" s="722">
        <f t="shared" ref="M21:M40" si="23">ABS(L21-K21)/K21*100</f>
        <v>0.16999999999999679</v>
      </c>
      <c r="N21" s="532">
        <f>'Response calculation'!W6</f>
        <v>1.8266570000000093E-4</v>
      </c>
      <c r="O21" s="532">
        <v>5.3452317200000002E-7</v>
      </c>
      <c r="P21" s="533">
        <f>N21/SQRT(SUMSQ('Response calculation'!S6,'Response calculation'!V6))</f>
        <v>239.10737729621954</v>
      </c>
      <c r="Q21" s="529">
        <f t="shared" ref="Q21:Q40" si="24">1/P21*100</f>
        <v>0.41822214408765157</v>
      </c>
      <c r="R21" s="529">
        <f t="shared" si="1"/>
        <v>0.41822214408765157</v>
      </c>
      <c r="S21" s="534">
        <v>4.25</v>
      </c>
      <c r="T21" s="535">
        <f t="shared" si="2"/>
        <v>2.125</v>
      </c>
      <c r="U21" s="528">
        <f t="shared" si="3"/>
        <v>4.9427500000000001E-3</v>
      </c>
      <c r="V21" s="528">
        <f t="shared" si="4"/>
        <v>2.471375E-3</v>
      </c>
      <c r="W21" s="528">
        <f t="shared" si="5"/>
        <v>0.21177377692229088</v>
      </c>
      <c r="X21" s="414">
        <f t="shared" ref="X21:X40" si="25">V21*W21</f>
        <v>5.2337241794132665E-4</v>
      </c>
      <c r="Y21" s="529">
        <f t="shared" si="6"/>
        <v>0.45001927595986813</v>
      </c>
      <c r="Z21" s="527">
        <f>'Drift is STD'!B4</f>
        <v>-1.2099237828589205E-2</v>
      </c>
      <c r="AA21" s="447">
        <f>'Drift is STD'!C4</f>
        <v>5.01249E-2</v>
      </c>
      <c r="AB21" s="447">
        <f>AA21*$AB$5</f>
        <v>0.159397182</v>
      </c>
      <c r="AC21" s="543">
        <f t="shared" si="7"/>
        <v>5.1564495110907119E-2</v>
      </c>
      <c r="AD21" s="447">
        <v>4.1000000000000002E-2</v>
      </c>
      <c r="AE21" s="448">
        <v>0.01</v>
      </c>
      <c r="AF21" s="547">
        <v>5.0000000000000001E-3</v>
      </c>
      <c r="AG21" s="543">
        <v>0.02</v>
      </c>
      <c r="AH21" s="544">
        <f>'Wavelength Uc'!Y5</f>
        <v>5.8521351758610528E-2</v>
      </c>
      <c r="AI21" s="542">
        <v>0.21695643531694911</v>
      </c>
      <c r="AJ21" s="448">
        <f t="shared" si="8"/>
        <v>251.52879678377923</v>
      </c>
      <c r="AK21" s="438">
        <v>0.05</v>
      </c>
      <c r="AL21" s="543">
        <f t="shared" si="9"/>
        <v>-0.125</v>
      </c>
      <c r="AM21" s="448">
        <v>0.02</v>
      </c>
      <c r="AN21" s="544">
        <f t="shared" si="10"/>
        <v>0.02</v>
      </c>
      <c r="AO21" s="545">
        <f t="shared" ref="AO21:AO25" si="26">$AP$7*100/F21</f>
        <v>0.13912219552261193</v>
      </c>
      <c r="AP21" s="414">
        <f t="shared" si="11"/>
        <v>6.9561097761305965E-2</v>
      </c>
      <c r="AQ21" s="414">
        <f>($AR$4*F21)+($AS$4*$AO$7)</f>
        <v>3.0258765324E-6</v>
      </c>
      <c r="AR21" s="414">
        <f t="shared" si="12"/>
        <v>1.7469906305157114E-6</v>
      </c>
      <c r="AS21" s="546">
        <f t="shared" si="13"/>
        <v>6.9561097783243347E-2</v>
      </c>
      <c r="AT21" s="547">
        <v>8.5999999999999993E-2</v>
      </c>
      <c r="AU21" s="550">
        <v>0</v>
      </c>
      <c r="AV21" s="550">
        <v>1.5299999999999999E-3</v>
      </c>
      <c r="AW21" s="549">
        <f>'Response calculation'!N6*100/'Response calculation'!G6</f>
        <v>91.673951519610299</v>
      </c>
      <c r="AX21" s="550">
        <f>-'Response calculation'!K6</f>
        <v>2.1109996832717401E-2</v>
      </c>
      <c r="AY21" s="439">
        <v>1E-10</v>
      </c>
      <c r="AZ21" s="440">
        <f t="shared" ref="AZ21:AZ40" si="27">AY21/2</f>
        <v>5.0000000000000002E-11</v>
      </c>
      <c r="BA21" s="440">
        <f t="shared" si="14"/>
        <v>2.886751345948129E-11</v>
      </c>
      <c r="BB21" s="546">
        <f>BA21/-'Response calculation'!G6*100</f>
        <v>2.7865284983695514E-7</v>
      </c>
      <c r="BC21" s="529"/>
      <c r="BD21" s="551">
        <v>1.4999999999999999E-2</v>
      </c>
      <c r="BE21" s="552">
        <f t="shared" ref="BE21:BE40" si="28">BD21/$BE$5</f>
        <v>8.6602540378443865E-3</v>
      </c>
      <c r="BF21" s="553">
        <v>1.24E-3</v>
      </c>
      <c r="BG21" s="448">
        <f>'Temp coeff'!E7</f>
        <v>-0.1</v>
      </c>
      <c r="BH21" s="543">
        <f t="shared" ref="BH21:BH40" si="29">BG21*$BH$19</f>
        <v>-0.16999999999999993</v>
      </c>
      <c r="BI21" s="442">
        <v>1.7000000000000001E-4</v>
      </c>
      <c r="BJ21" s="554">
        <f>BI21/$BJ$5</f>
        <v>9.8149545762236387E-5</v>
      </c>
      <c r="BK21" s="543">
        <v>0.02</v>
      </c>
      <c r="BL21" s="545">
        <f t="shared" si="16"/>
        <v>0.65693778306490702</v>
      </c>
      <c r="BM21" s="414">
        <f t="shared" ref="BM21:BM40" si="30">BL21/$BM$10</f>
        <v>0.32846889153245351</v>
      </c>
      <c r="BN21" s="414">
        <f t="shared" ref="BN21:BN29" si="31">($BO$4*N21)+($BP$4*$BL$7)</f>
        <v>3.0054799710000001E-6</v>
      </c>
      <c r="BO21" s="414">
        <f t="shared" ref="BO21:BO40" si="32">BN21/$BP$7</f>
        <v>1.7352146703008788E-6</v>
      </c>
      <c r="BP21" s="440">
        <f t="shared" ref="BP21:BP40" si="33">SQRT(SUMSQ(BM21,BO21))</f>
        <v>0.32846889153703684</v>
      </c>
      <c r="BQ21" s="563">
        <f>'Response calculation'!T6</f>
        <v>-4.0096165113965914E-3</v>
      </c>
      <c r="BR21" s="439">
        <v>1E-10</v>
      </c>
      <c r="BS21" s="440">
        <f t="shared" ref="BS21:BS40" si="34">BR21/2</f>
        <v>5.0000000000000002E-11</v>
      </c>
      <c r="BT21" s="440">
        <f t="shared" si="17"/>
        <v>2.886751345948129E-11</v>
      </c>
      <c r="BU21" s="546">
        <f>BT21/'Response calculation'!R6*100</f>
        <v>-2.1654376212917395E-7</v>
      </c>
      <c r="BV21" s="438">
        <f t="shared" ref="BV21:BV40" si="35">SQRT(SUMSQ($AX21,$BB21,$T21,$AC21,$AD21,$AE21,$AF21,$AG21,$AH21,$AI21,$AL21,$AN21,$AS21,$AT21,$AU21,$AV21,$AW21))</f>
        <v>91.699035325785417</v>
      </c>
      <c r="BW21" s="564">
        <f t="shared" ref="BW21:BW40" si="36">BV21*2</f>
        <v>183.39807065157083</v>
      </c>
      <c r="BX21" s="438">
        <f t="shared" si="18"/>
        <v>91.6997838826058</v>
      </c>
      <c r="BY21" s="449">
        <f t="shared" ref="BY21:BY40" si="37">BX21*2</f>
        <v>183.3995677652116</v>
      </c>
      <c r="BZ21" s="564">
        <f t="shared" ref="BZ21:BZ40" si="38">ROUNDUP(BY21,1)</f>
        <v>183.4</v>
      </c>
      <c r="CA21" s="565">
        <f t="shared" ref="CA21:CA40" si="39">ABS(J21-L21)/L21*100</f>
        <v>5.8349948497849855</v>
      </c>
      <c r="CB21" s="566" t="str">
        <f t="shared" ref="CB21:CB40" si="40">IF(CA21&lt;BZ21,"OK","NOT OK")</f>
        <v>OK</v>
      </c>
      <c r="CC21" s="878"/>
      <c r="CD21" s="536">
        <f t="shared" si="19"/>
        <v>4.5170118329618501E-2</v>
      </c>
      <c r="CE21" s="561">
        <v>183.4</v>
      </c>
      <c r="CF21" s="446">
        <f>ABS((J21-L21)/(SQRT(SUMSQ(CD21,'Response calculation'!AB6))))</f>
        <v>3.3786822807560929E-2</v>
      </c>
      <c r="CH21" s="721">
        <f t="shared" ref="CH21:CH40" si="41">ABS(J21-K21)/K21*100</f>
        <v>5.9950753585403476</v>
      </c>
    </row>
    <row r="22" spans="1:86" s="468" customFormat="1" ht="10.5" thickBot="1" x14ac:dyDescent="0.4">
      <c r="A22" s="562">
        <v>220</v>
      </c>
      <c r="B22" s="527">
        <v>0.12089999999999999</v>
      </c>
      <c r="C22" s="528"/>
      <c r="D22" s="528"/>
      <c r="E22" s="528"/>
      <c r="F22" s="414">
        <f>-'Response calculation'!Q7</f>
        <v>3.0359860899999997E-3</v>
      </c>
      <c r="G22" s="414">
        <v>1.5399090799999998E-5</v>
      </c>
      <c r="H22" s="529">
        <f>F22/SQRT(SUMSQ('Response calculation'!J7,'Response calculation'!P7))</f>
        <v>196.92342173959429</v>
      </c>
      <c r="I22" s="529">
        <f t="shared" si="20"/>
        <v>0.50781161081101389</v>
      </c>
      <c r="J22" s="530">
        <f t="shared" si="21"/>
        <v>2.5554048414628886E-2</v>
      </c>
      <c r="K22" s="435">
        <v>2.564E-2</v>
      </c>
      <c r="L22" s="531">
        <f t="shared" si="22"/>
        <v>2.5596411999999999E-2</v>
      </c>
      <c r="M22" s="722">
        <f t="shared" si="23"/>
        <v>0.17000000000000254</v>
      </c>
      <c r="N22" s="532">
        <f>'Response calculation'!W7</f>
        <v>6.4170169999999867E-4</v>
      </c>
      <c r="O22" s="532">
        <v>1.13511596E-6</v>
      </c>
      <c r="P22" s="533">
        <f>N22/SQRT(SUMSQ('Response calculation'!S7,'Response calculation'!V7))</f>
        <v>507.9180815538021</v>
      </c>
      <c r="Q22" s="529">
        <f t="shared" si="24"/>
        <v>0.19688214228185011</v>
      </c>
      <c r="R22" s="529">
        <f t="shared" si="1"/>
        <v>0.19688214228185008</v>
      </c>
      <c r="S22" s="534">
        <v>2.29</v>
      </c>
      <c r="T22" s="535">
        <f t="shared" si="2"/>
        <v>1.145</v>
      </c>
      <c r="U22" s="528">
        <f t="shared" si="3"/>
        <v>2.7686099999999995E-3</v>
      </c>
      <c r="V22" s="528">
        <f t="shared" si="4"/>
        <v>1.3843049999999997E-3</v>
      </c>
      <c r="W22" s="528">
        <f t="shared" si="5"/>
        <v>0.2113651647198419</v>
      </c>
      <c r="X22" s="414">
        <f t="shared" si="25"/>
        <v>2.9259385434750069E-4</v>
      </c>
      <c r="Y22" s="529">
        <f t="shared" si="6"/>
        <v>0.24201311360421893</v>
      </c>
      <c r="Z22" s="527">
        <f>'Drift is STD'!B5</f>
        <v>-1.3697129776369077E-2</v>
      </c>
      <c r="AA22" s="447">
        <f>'Drift is STD'!C5</f>
        <v>4.8227600000000002E-2</v>
      </c>
      <c r="AB22" s="447">
        <f t="shared" ref="AB22:AB40" si="42">AA22*$AB$5</f>
        <v>0.15336376800000001</v>
      </c>
      <c r="AC22" s="543">
        <f t="shared" si="7"/>
        <v>5.0134945555676998E-2</v>
      </c>
      <c r="AD22" s="447">
        <v>4.1000000000000002E-2</v>
      </c>
      <c r="AE22" s="448">
        <v>0.01</v>
      </c>
      <c r="AF22" s="547">
        <v>5.0000000000000001E-3</v>
      </c>
      <c r="AG22" s="543">
        <v>0.02</v>
      </c>
      <c r="AH22" s="544">
        <f>'Wavelength Uc'!Y6</f>
        <v>5.0303735790315177E-2</v>
      </c>
      <c r="AI22" s="542">
        <v>0.21695643531694911</v>
      </c>
      <c r="AJ22" s="448">
        <f t="shared" si="8"/>
        <v>71.461603869518754</v>
      </c>
      <c r="AK22" s="438">
        <v>0.05</v>
      </c>
      <c r="AL22" s="543">
        <f t="shared" si="9"/>
        <v>-0.125</v>
      </c>
      <c r="AM22" s="448">
        <v>0.02</v>
      </c>
      <c r="AN22" s="544">
        <f t="shared" si="10"/>
        <v>0.02</v>
      </c>
      <c r="AO22" s="545">
        <f t="shared" si="26"/>
        <v>3.9525872794759741E-2</v>
      </c>
      <c r="AP22" s="414">
        <f t="shared" si="11"/>
        <v>1.976293639737987E-2</v>
      </c>
      <c r="AQ22" s="414">
        <f t="shared" ref="AQ22:AQ25" si="43">($AR$4*F22)+($AS$4*$AO$7)</f>
        <v>3.0910795827000001E-6</v>
      </c>
      <c r="AR22" s="414">
        <f t="shared" si="12"/>
        <v>1.7846356291584013E-6</v>
      </c>
      <c r="AS22" s="546">
        <f t="shared" si="13"/>
        <v>1.9762936477958085E-2</v>
      </c>
      <c r="AT22" s="547">
        <v>8.5999999999999993E-2</v>
      </c>
      <c r="AU22" s="550">
        <v>0</v>
      </c>
      <c r="AV22" s="550">
        <v>1.5299999999999999E-3</v>
      </c>
      <c r="AW22" s="549">
        <f>'Response calculation'!N7*100/'Response calculation'!G7</f>
        <v>75.766699019921319</v>
      </c>
      <c r="AX22" s="550">
        <f>-'Response calculation'!K7</f>
        <v>0.12291584714604557</v>
      </c>
      <c r="AY22" s="439">
        <v>1E-10</v>
      </c>
      <c r="AZ22" s="440">
        <f t="shared" si="27"/>
        <v>5.0000000000000002E-11</v>
      </c>
      <c r="BA22" s="440">
        <f t="shared" si="14"/>
        <v>2.886751345948129E-11</v>
      </c>
      <c r="BB22" s="546">
        <f>BA22/-'Response calculation'!G7*100</f>
        <v>2.3042106303263153E-7</v>
      </c>
      <c r="BC22" s="529"/>
      <c r="BD22" s="551">
        <v>0.01</v>
      </c>
      <c r="BE22" s="552">
        <f t="shared" si="28"/>
        <v>5.773502691896258E-3</v>
      </c>
      <c r="BF22" s="553">
        <v>1.24E-3</v>
      </c>
      <c r="BG22" s="448">
        <f>'Temp coeff'!E8</f>
        <v>-0.1</v>
      </c>
      <c r="BH22" s="543">
        <f>BG22*$BH$19</f>
        <v>-0.16999999999999993</v>
      </c>
      <c r="BI22" s="442">
        <v>1.6000000000000001E-4</v>
      </c>
      <c r="BJ22" s="554">
        <f t="shared" si="15"/>
        <v>9.2376043070340139E-5</v>
      </c>
      <c r="BK22" s="543">
        <v>0.02</v>
      </c>
      <c r="BL22" s="545">
        <f t="shared" si="16"/>
        <v>0.18700277714707667</v>
      </c>
      <c r="BM22" s="414">
        <f t="shared" si="30"/>
        <v>9.3501388573538333E-2</v>
      </c>
      <c r="BN22" s="414">
        <f t="shared" si="31"/>
        <v>3.019251051E-6</v>
      </c>
      <c r="BO22" s="414">
        <f t="shared" si="32"/>
        <v>1.7431654070459105E-6</v>
      </c>
      <c r="BP22" s="440">
        <f t="shared" si="33"/>
        <v>9.3501388589787418E-2</v>
      </c>
      <c r="BQ22" s="563">
        <f>'Response calculation'!T7</f>
        <v>-8.8176232906394744E-3</v>
      </c>
      <c r="BR22" s="439">
        <v>1E-10</v>
      </c>
      <c r="BS22" s="440">
        <f t="shared" si="34"/>
        <v>5.0000000000000002E-11</v>
      </c>
      <c r="BT22" s="440">
        <f t="shared" si="17"/>
        <v>2.886751345948129E-11</v>
      </c>
      <c r="BU22" s="546">
        <f>BT22/'Response calculation'!R7*100</f>
        <v>-2.2424392572470807E-7</v>
      </c>
      <c r="BV22" s="438">
        <f t="shared" si="35"/>
        <v>75.775965501396357</v>
      </c>
      <c r="BW22" s="564">
        <f t="shared" si="36"/>
        <v>151.55193100279271</v>
      </c>
      <c r="BX22" s="438">
        <f t="shared" si="18"/>
        <v>75.776217263785512</v>
      </c>
      <c r="BY22" s="449">
        <f t="shared" si="37"/>
        <v>151.55243452757102</v>
      </c>
      <c r="BZ22" s="564">
        <f t="shared" si="38"/>
        <v>151.6</v>
      </c>
      <c r="CA22" s="565">
        <f t="shared" si="39"/>
        <v>0.16550595204950139</v>
      </c>
      <c r="CB22" s="566" t="str">
        <f t="shared" si="40"/>
        <v>OK</v>
      </c>
      <c r="CC22" s="878"/>
      <c r="CD22" s="536">
        <f t="shared" si="19"/>
        <v>3.8739937396577391E-2</v>
      </c>
      <c r="CE22" s="561">
        <v>151.6</v>
      </c>
      <c r="CF22" s="446">
        <f>ABS((J22-L22)/(SQRT(SUMSQ(CD22,'Response calculation'!AB7))))</f>
        <v>1.0935272572499713E-3</v>
      </c>
      <c r="CH22" s="721">
        <f t="shared" si="41"/>
        <v>0.33522459193101978</v>
      </c>
    </row>
    <row r="23" spans="1:86" s="468" customFormat="1" ht="10.5" thickBot="1" x14ac:dyDescent="0.4">
      <c r="A23" s="562">
        <v>230</v>
      </c>
      <c r="B23" s="527">
        <v>0.127</v>
      </c>
      <c r="C23" s="528"/>
      <c r="D23" s="528"/>
      <c r="E23" s="528"/>
      <c r="F23" s="414">
        <f>-'Response calculation'!Q8</f>
        <v>2.2015094339999999E-2</v>
      </c>
      <c r="G23" s="414">
        <v>1.42249706E-4</v>
      </c>
      <c r="H23" s="529">
        <f>F23/SQRT(SUMSQ('Response calculation'!J8,'Response calculation'!P8))</f>
        <v>154.76149520839732</v>
      </c>
      <c r="I23" s="529">
        <f t="shared" si="20"/>
        <v>0.64615555610484965</v>
      </c>
      <c r="J23" s="530">
        <f t="shared" si="21"/>
        <v>2.6465759369078398E-2</v>
      </c>
      <c r="K23" s="435">
        <v>2.5999999999999999E-2</v>
      </c>
      <c r="L23" s="531">
        <f t="shared" si="22"/>
        <v>2.5955799999999998E-2</v>
      </c>
      <c r="M23" s="722">
        <f t="shared" si="23"/>
        <v>0.17000000000000456</v>
      </c>
      <c r="N23" s="532">
        <f>'Response calculation'!W8</f>
        <v>4.5877652699999986E-3</v>
      </c>
      <c r="O23" s="532">
        <v>1.55879985E-5</v>
      </c>
      <c r="P23" s="533">
        <f>N23/SQRT(SUMSQ('Response calculation'!S8,'Response calculation'!V8))</f>
        <v>294.19211362963352</v>
      </c>
      <c r="Q23" s="529">
        <f t="shared" si="24"/>
        <v>0.33991393843375667</v>
      </c>
      <c r="R23" s="529">
        <f t="shared" si="1"/>
        <v>0.33991393843375667</v>
      </c>
      <c r="S23" s="534">
        <v>2.02</v>
      </c>
      <c r="T23" s="535">
        <f t="shared" si="2"/>
        <v>1.01</v>
      </c>
      <c r="U23" s="528">
        <f t="shared" si="3"/>
        <v>2.5653999999999998E-3</v>
      </c>
      <c r="V23" s="528">
        <f t="shared" si="4"/>
        <v>1.2826999999999999E-3</v>
      </c>
      <c r="W23" s="528">
        <f t="shared" si="5"/>
        <v>0.20839180605573543</v>
      </c>
      <c r="X23" s="414">
        <f t="shared" si="25"/>
        <v>2.6730416962769183E-4</v>
      </c>
      <c r="Y23" s="529">
        <f t="shared" si="6"/>
        <v>0.21047572411629278</v>
      </c>
      <c r="Z23" s="527">
        <f>'Drift is STD'!B6</f>
        <v>-1.5622815826471178E-2</v>
      </c>
      <c r="AA23" s="447">
        <f>'Drift is STD'!C6</f>
        <v>4.6368100000000002E-2</v>
      </c>
      <c r="AB23" s="447">
        <f t="shared" si="42"/>
        <v>0.14745055800000001</v>
      </c>
      <c r="AC23" s="543">
        <f t="shared" si="7"/>
        <v>4.8929266006735056E-2</v>
      </c>
      <c r="AD23" s="447">
        <v>4.1000000000000002E-2</v>
      </c>
      <c r="AE23" s="448">
        <v>0.01</v>
      </c>
      <c r="AF23" s="547">
        <v>5.0000000000000001E-3</v>
      </c>
      <c r="AG23" s="543">
        <v>0.02</v>
      </c>
      <c r="AH23" s="544">
        <f>'Wavelength Uc'!Y7</f>
        <v>6.3507451568299705E-2</v>
      </c>
      <c r="AI23" s="542">
        <v>0.21695643531694911</v>
      </c>
      <c r="AJ23" s="448">
        <f t="shared" si="8"/>
        <v>9.8548946448416235</v>
      </c>
      <c r="AK23" s="438">
        <v>0.05</v>
      </c>
      <c r="AL23" s="543">
        <f t="shared" si="9"/>
        <v>-0.125</v>
      </c>
      <c r="AM23" s="448">
        <v>0.02</v>
      </c>
      <c r="AN23" s="544">
        <f t="shared" si="10"/>
        <v>0.02</v>
      </c>
      <c r="AO23" s="545">
        <f t="shared" si="26"/>
        <v>5.4508056221211718E-3</v>
      </c>
      <c r="AP23" s="414">
        <f t="shared" si="11"/>
        <v>2.7254028110605859E-3</v>
      </c>
      <c r="AQ23" s="414">
        <f t="shared" si="43"/>
        <v>3.6604528301999999E-6</v>
      </c>
      <c r="AR23" s="414">
        <f t="shared" si="12"/>
        <v>2.1133634268718977E-6</v>
      </c>
      <c r="AS23" s="546">
        <f t="shared" si="13"/>
        <v>2.7254036304448408E-3</v>
      </c>
      <c r="AT23" s="547">
        <v>8.5999999999999993E-2</v>
      </c>
      <c r="AU23" s="550">
        <v>0</v>
      </c>
      <c r="AV23" s="550">
        <v>1.5299999999999999E-3</v>
      </c>
      <c r="AW23" s="549">
        <f>'Response calculation'!N8*100/'Response calculation'!G8</f>
        <v>30.118273212694493</v>
      </c>
      <c r="AX23" s="550">
        <f>-'Response calculation'!K8</f>
        <v>0.45153815544660225</v>
      </c>
      <c r="AY23" s="439">
        <v>1E-10</v>
      </c>
      <c r="AZ23" s="440">
        <f t="shared" si="27"/>
        <v>5.0000000000000002E-11</v>
      </c>
      <c r="BA23" s="440">
        <f t="shared" si="14"/>
        <v>2.886751345948129E-11</v>
      </c>
      <c r="BB23" s="546">
        <f>BA23/-'Response calculation'!G8*100</f>
        <v>9.1633115781793931E-8</v>
      </c>
      <c r="BC23" s="529"/>
      <c r="BD23" s="551">
        <v>5.0000000000000001E-3</v>
      </c>
      <c r="BE23" s="552">
        <f t="shared" si="28"/>
        <v>2.886751345948129E-3</v>
      </c>
      <c r="BF23" s="553">
        <v>1.24E-3</v>
      </c>
      <c r="BG23" s="448">
        <f>'Temp coeff'!E9</f>
        <v>-0.1</v>
      </c>
      <c r="BH23" s="543">
        <f t="shared" si="29"/>
        <v>-0.16999999999999993</v>
      </c>
      <c r="BI23" s="442">
        <v>1.7000000000000001E-4</v>
      </c>
      <c r="BJ23" s="554">
        <f t="shared" si="15"/>
        <v>9.8149545762236387E-5</v>
      </c>
      <c r="BK23" s="543">
        <v>0.02</v>
      </c>
      <c r="BL23" s="545">
        <f t="shared" si="16"/>
        <v>2.6156525658515225E-2</v>
      </c>
      <c r="BM23" s="414">
        <f t="shared" si="30"/>
        <v>1.3078262829257612E-2</v>
      </c>
      <c r="BN23" s="414">
        <f t="shared" si="31"/>
        <v>3.1376329581E-6</v>
      </c>
      <c r="BO23" s="414">
        <f t="shared" si="32"/>
        <v>1.8115132329772768E-6</v>
      </c>
      <c r="BP23" s="440">
        <f t="shared" si="33"/>
        <v>1.3078262954716943E-2</v>
      </c>
      <c r="BQ23" s="563">
        <f>'Response calculation'!T8</f>
        <v>-0.17459048148261397</v>
      </c>
      <c r="BR23" s="439">
        <v>9.9999999999999994E-12</v>
      </c>
      <c r="BS23" s="440">
        <f t="shared" si="34"/>
        <v>4.9999999999999997E-12</v>
      </c>
      <c r="BT23" s="440">
        <f t="shared" si="17"/>
        <v>2.8867513459481288E-12</v>
      </c>
      <c r="BU23" s="546">
        <f>BT23/'Response calculation'!R8*100</f>
        <v>-3.233252219068842E-8</v>
      </c>
      <c r="BV23" s="438">
        <f t="shared" si="35"/>
        <v>30.13989884112689</v>
      </c>
      <c r="BW23" s="564">
        <f t="shared" si="36"/>
        <v>60.279797682253779</v>
      </c>
      <c r="BX23" s="438">
        <f t="shared" si="18"/>
        <v>30.140893565239818</v>
      </c>
      <c r="BY23" s="449">
        <f t="shared" si="37"/>
        <v>60.281787130479636</v>
      </c>
      <c r="BZ23" s="564">
        <f t="shared" si="38"/>
        <v>60.300000000000004</v>
      </c>
      <c r="CA23" s="565">
        <f t="shared" si="39"/>
        <v>1.9647222165311822</v>
      </c>
      <c r="CB23" s="566" t="str">
        <f t="shared" si="40"/>
        <v>OK</v>
      </c>
      <c r="CC23" s="878"/>
      <c r="CD23" s="536">
        <f t="shared" si="19"/>
        <v>1.5958852899554277E-2</v>
      </c>
      <c r="CE23" s="561">
        <v>60.300000000000004</v>
      </c>
      <c r="CF23" s="446">
        <f>ABS((J23-L23)/(SQRT(SUMSQ(CD23,'Response calculation'!AB8))))</f>
        <v>3.1953032250995869E-2</v>
      </c>
      <c r="CH23" s="721">
        <f t="shared" si="41"/>
        <v>1.7913821887630748</v>
      </c>
    </row>
    <row r="24" spans="1:86" s="468" customFormat="1" ht="10.5" thickBot="1" x14ac:dyDescent="0.4">
      <c r="A24" s="562">
        <v>240</v>
      </c>
      <c r="B24" s="527">
        <v>0.13039999999999999</v>
      </c>
      <c r="C24" s="528"/>
      <c r="D24" s="528"/>
      <c r="E24" s="528"/>
      <c r="F24" s="414">
        <f>-'Response calculation'!Q9</f>
        <v>0.10353072898</v>
      </c>
      <c r="G24" s="414">
        <v>7.3211532999999996E-4</v>
      </c>
      <c r="H24" s="529">
        <f>F24/SQRT(SUMSQ('Response calculation'!J9,'Response calculation'!P9))</f>
        <v>141.41309593164013</v>
      </c>
      <c r="I24" s="529">
        <f t="shared" si="20"/>
        <v>0.70714808512742378</v>
      </c>
      <c r="J24" s="530">
        <f t="shared" si="21"/>
        <v>2.7127502542656202E-2</v>
      </c>
      <c r="K24" s="435">
        <v>2.6769999999999999E-2</v>
      </c>
      <c r="L24" s="531">
        <f t="shared" si="22"/>
        <v>2.6724491E-2</v>
      </c>
      <c r="M24" s="722">
        <f t="shared" si="23"/>
        <v>0.16999999999999679</v>
      </c>
      <c r="N24" s="532">
        <f>'Response calculation'!W9</f>
        <v>2.1537807620000002E-2</v>
      </c>
      <c r="O24" s="532">
        <v>6.1994220099999996E-5</v>
      </c>
      <c r="P24" s="533">
        <f>N24/SQRT(SUMSQ('Response calculation'!S9,'Response calculation'!V9))</f>
        <v>347.40701522128512</v>
      </c>
      <c r="Q24" s="529">
        <f t="shared" si="24"/>
        <v>0.28784680682485292</v>
      </c>
      <c r="R24" s="529">
        <f t="shared" si="1"/>
        <v>0.28784680682485292</v>
      </c>
      <c r="S24" s="534">
        <v>2</v>
      </c>
      <c r="T24" s="535">
        <f t="shared" si="2"/>
        <v>1</v>
      </c>
      <c r="U24" s="528">
        <f t="shared" si="3"/>
        <v>2.6079999999999996E-3</v>
      </c>
      <c r="V24" s="528">
        <f t="shared" si="4"/>
        <v>1.3039999999999998E-3</v>
      </c>
      <c r="W24" s="528">
        <f t="shared" si="5"/>
        <v>0.20803299495901997</v>
      </c>
      <c r="X24" s="414">
        <f t="shared" si="25"/>
        <v>2.7127502542656203E-4</v>
      </c>
      <c r="Y24" s="529">
        <f t="shared" si="6"/>
        <v>0.20803299495901997</v>
      </c>
      <c r="Z24" s="527">
        <f>'Drift is STD'!B7</f>
        <v>-1.7968583968583966E-2</v>
      </c>
      <c r="AA24" s="447">
        <f>'Drift is STD'!C7</f>
        <v>4.4546400000000014E-2</v>
      </c>
      <c r="AB24" s="447">
        <f t="shared" si="42"/>
        <v>0.14165755200000005</v>
      </c>
      <c r="AC24" s="543">
        <f t="shared" si="7"/>
        <v>4.8033860586008011E-2</v>
      </c>
      <c r="AD24" s="447">
        <v>4.1000000000000002E-2</v>
      </c>
      <c r="AE24" s="448">
        <v>0.01</v>
      </c>
      <c r="AF24" s="547">
        <v>5.0000000000000001E-3</v>
      </c>
      <c r="AG24" s="543">
        <v>0.02</v>
      </c>
      <c r="AH24" s="544">
        <f>'Wavelength Uc'!Y8</f>
        <v>3.4273787993771287E-2</v>
      </c>
      <c r="AI24" s="542">
        <v>0.21695643531694911</v>
      </c>
      <c r="AJ24" s="448">
        <f t="shared" si="8"/>
        <v>2.0955752698202348</v>
      </c>
      <c r="AK24" s="438">
        <v>0.05</v>
      </c>
      <c r="AL24" s="543">
        <f t="shared" si="9"/>
        <v>-0.125</v>
      </c>
      <c r="AM24" s="448">
        <v>0.02</v>
      </c>
      <c r="AN24" s="544">
        <f t="shared" si="10"/>
        <v>0.02</v>
      </c>
      <c r="AO24" s="545">
        <f t="shared" si="26"/>
        <v>1.1590761620463574E-3</v>
      </c>
      <c r="AP24" s="414">
        <f t="shared" si="11"/>
        <v>5.7953808102317872E-4</v>
      </c>
      <c r="AQ24" s="414">
        <f t="shared" si="43"/>
        <v>6.1059218694000002E-6</v>
      </c>
      <c r="AR24" s="414">
        <f t="shared" si="12"/>
        <v>3.5252556349489134E-6</v>
      </c>
      <c r="AS24" s="546">
        <f t="shared" si="13"/>
        <v>5.7954880276239046E-4</v>
      </c>
      <c r="AT24" s="547">
        <v>8.5999999999999993E-2</v>
      </c>
      <c r="AU24" s="550">
        <v>0</v>
      </c>
      <c r="AV24" s="550">
        <v>1.5299999999999999E-3</v>
      </c>
      <c r="AW24" s="549">
        <f>'Response calculation'!N9*100/'Response calculation'!G9</f>
        <v>8.3921005152348407</v>
      </c>
      <c r="AX24" s="550">
        <f>-'Response calculation'!K9</f>
        <v>0.6478032968825298</v>
      </c>
      <c r="AY24" s="439">
        <v>1.0000000000000001E-9</v>
      </c>
      <c r="AZ24" s="440">
        <f t="shared" si="27"/>
        <v>5.0000000000000003E-10</v>
      </c>
      <c r="BA24" s="440">
        <f t="shared" si="14"/>
        <v>2.8867513459481294E-10</v>
      </c>
      <c r="BB24" s="546">
        <f>BA24/-'Response calculation'!G9*100</f>
        <v>2.5543066270518862E-7</v>
      </c>
      <c r="BC24" s="529"/>
      <c r="BD24" s="551">
        <v>1.9E-2</v>
      </c>
      <c r="BE24" s="552">
        <f t="shared" si="28"/>
        <v>1.096965511460289E-2</v>
      </c>
      <c r="BF24" s="553">
        <v>1.24E-3</v>
      </c>
      <c r="BG24" s="448">
        <f>'Temp coeff'!E10</f>
        <v>-0.1</v>
      </c>
      <c r="BH24" s="543">
        <f t="shared" si="29"/>
        <v>-0.16999999999999993</v>
      </c>
      <c r="BI24" s="442">
        <v>1.7000000000000001E-4</v>
      </c>
      <c r="BJ24" s="554">
        <f t="shared" si="15"/>
        <v>9.8149545762236387E-5</v>
      </c>
      <c r="BK24" s="543">
        <v>0.02</v>
      </c>
      <c r="BL24" s="545">
        <f t="shared" si="16"/>
        <v>5.5715977279213891E-3</v>
      </c>
      <c r="BM24" s="414">
        <f t="shared" si="30"/>
        <v>2.7857988639606946E-3</v>
      </c>
      <c r="BN24" s="414">
        <f t="shared" si="31"/>
        <v>3.6461342286000002E-6</v>
      </c>
      <c r="BO24" s="414">
        <f t="shared" si="32"/>
        <v>2.1050965783837187E-6</v>
      </c>
      <c r="BP24" s="440">
        <f t="shared" si="33"/>
        <v>2.7857996593215928E-3</v>
      </c>
      <c r="BQ24" s="563">
        <f>'Response calculation'!T9</f>
        <v>0.77294363199968397</v>
      </c>
      <c r="BR24" s="439">
        <v>9.9999999999999994E-12</v>
      </c>
      <c r="BS24" s="440">
        <f t="shared" si="34"/>
        <v>4.9999999999999997E-12</v>
      </c>
      <c r="BT24" s="440">
        <f t="shared" si="17"/>
        <v>2.8867513459481288E-12</v>
      </c>
      <c r="BU24" s="546">
        <f>BT24/'Response calculation'!R9*100</f>
        <v>3.5992001615923594E-8</v>
      </c>
      <c r="BV24" s="438">
        <f t="shared" si="35"/>
        <v>8.4807536154026621</v>
      </c>
      <c r="BW24" s="564">
        <f t="shared" si="36"/>
        <v>16.961507230805324</v>
      </c>
      <c r="BX24" s="438">
        <f t="shared" si="18"/>
        <v>8.5176319117851396</v>
      </c>
      <c r="BY24" s="449">
        <f t="shared" si="37"/>
        <v>17.035263823570279</v>
      </c>
      <c r="BZ24" s="564">
        <f t="shared" si="38"/>
        <v>17.100000000000001</v>
      </c>
      <c r="CA24" s="565">
        <f t="shared" si="39"/>
        <v>1.508023268455152</v>
      </c>
      <c r="CB24" s="566" t="str">
        <f t="shared" si="40"/>
        <v>OK</v>
      </c>
      <c r="CC24" s="878"/>
      <c r="CD24" s="536">
        <f t="shared" si="19"/>
        <v>4.6388029347942108E-3</v>
      </c>
      <c r="CE24" s="561">
        <v>17.100000000000001</v>
      </c>
      <c r="CF24" s="446">
        <f>ABS((J24-L24)/(SQRT(SUMSQ(CD24,'Response calculation'!AB9))))</f>
        <v>8.6820068051476892E-2</v>
      </c>
      <c r="CH24" s="721">
        <f t="shared" si="41"/>
        <v>1.3354596288987817</v>
      </c>
    </row>
    <row r="25" spans="1:86" s="468" customFormat="1" ht="10.5" thickBot="1" x14ac:dyDescent="0.4">
      <c r="A25" s="562">
        <v>250</v>
      </c>
      <c r="B25" s="527">
        <v>0.12189999999999999</v>
      </c>
      <c r="C25" s="414"/>
      <c r="D25" s="528"/>
      <c r="E25" s="528"/>
      <c r="F25" s="414">
        <f>-'Response calculation'!Q10</f>
        <v>0.26965288934999998</v>
      </c>
      <c r="G25" s="414">
        <v>1.6791998300000001E-3</v>
      </c>
      <c r="H25" s="529">
        <f>F25/SQRT(SUMSQ('Response calculation'!J10,'Response calculation'!P10))</f>
        <v>160.58414472762246</v>
      </c>
      <c r="I25" s="529">
        <f t="shared" si="20"/>
        <v>0.62272648504381745</v>
      </c>
      <c r="J25" s="530">
        <f t="shared" si="21"/>
        <v>2.518357356251336E-2</v>
      </c>
      <c r="K25" s="435">
        <v>2.4729999999999999E-2</v>
      </c>
      <c r="L25" s="531">
        <f t="shared" si="22"/>
        <v>2.4692163099999997E-2</v>
      </c>
      <c r="M25" s="722">
        <f t="shared" si="23"/>
        <v>0.15300000000000419</v>
      </c>
      <c r="N25" s="532">
        <f>'Response calculation'!W10</f>
        <v>5.57081491E-2</v>
      </c>
      <c r="O25" s="532">
        <v>9.2275371000000002E-5</v>
      </c>
      <c r="P25" s="533">
        <f>N25/SQRT(SUMSQ('Response calculation'!S10,'Response calculation'!V10))</f>
        <v>603.70250825336473</v>
      </c>
      <c r="Q25" s="529">
        <f t="shared" si="24"/>
        <v>0.16564449978735474</v>
      </c>
      <c r="R25" s="529">
        <f t="shared" si="1"/>
        <v>0.16564449978735474</v>
      </c>
      <c r="S25" s="534">
        <v>1.64</v>
      </c>
      <c r="T25" s="535">
        <f t="shared" si="2"/>
        <v>0.82</v>
      </c>
      <c r="U25" s="528">
        <f t="shared" si="3"/>
        <v>1.9991599999999998E-3</v>
      </c>
      <c r="V25" s="528">
        <f t="shared" si="4"/>
        <v>9.9957999999999991E-4</v>
      </c>
      <c r="W25" s="528">
        <f t="shared" si="5"/>
        <v>0.20659207188280032</v>
      </c>
      <c r="X25" s="414">
        <f t="shared" si="25"/>
        <v>2.0650530321260954E-4</v>
      </c>
      <c r="Y25" s="529">
        <f t="shared" si="6"/>
        <v>0.16940549894389625</v>
      </c>
      <c r="Z25" s="527">
        <f>'Drift is STD'!B8</f>
        <v>-2.0859747921694826E-2</v>
      </c>
      <c r="AA25" s="447">
        <f>'Drift is STD'!C8</f>
        <v>4.2762500000000009E-2</v>
      </c>
      <c r="AB25" s="447">
        <f t="shared" si="42"/>
        <v>0.13598475000000004</v>
      </c>
      <c r="AC25" s="543">
        <f t="shared" si="7"/>
        <v>4.7578992103728429E-2</v>
      </c>
      <c r="AD25" s="447">
        <v>4.1000000000000002E-2</v>
      </c>
      <c r="AE25" s="448">
        <v>0.01</v>
      </c>
      <c r="AF25" s="547">
        <v>5.0000000000000001E-3</v>
      </c>
      <c r="AG25" s="543">
        <v>0.02</v>
      </c>
      <c r="AH25" s="544">
        <f>'Wavelength Uc'!Y9</f>
        <v>0.14818102648821996</v>
      </c>
      <c r="AI25" s="542">
        <v>0.21695643531694911</v>
      </c>
      <c r="AJ25" s="448">
        <f t="shared" si="8"/>
        <v>0.80457671282486154</v>
      </c>
      <c r="AK25" s="438">
        <v>0.02</v>
      </c>
      <c r="AL25" s="543">
        <f t="shared" si="9"/>
        <v>-0.05</v>
      </c>
      <c r="AM25" s="448">
        <v>0.02</v>
      </c>
      <c r="AN25" s="544">
        <f t="shared" ref="AN25:AN40" si="44">AM25/$AN$5</f>
        <v>0.02</v>
      </c>
      <c r="AO25" s="545">
        <f t="shared" si="26"/>
        <v>4.4501655550311644E-4</v>
      </c>
      <c r="AP25" s="414">
        <f t="shared" si="11"/>
        <v>2.2250827775155822E-4</v>
      </c>
      <c r="AQ25" s="414">
        <f t="shared" si="43"/>
        <v>1.10895866805E-5</v>
      </c>
      <c r="AR25" s="414">
        <f t="shared" si="12"/>
        <v>6.4025758551883637E-6</v>
      </c>
      <c r="AS25" s="546">
        <f t="shared" si="13"/>
        <v>2.2260037431582637E-4</v>
      </c>
      <c r="AT25" s="547">
        <v>8.5999999999999993E-2</v>
      </c>
      <c r="AU25" s="550">
        <v>0</v>
      </c>
      <c r="AV25" s="550">
        <v>1.5299999999999999E-3</v>
      </c>
      <c r="AW25" s="549">
        <f>'Response calculation'!N10*100/'Response calculation'!G10</f>
        <v>3.3968601826132656</v>
      </c>
      <c r="AX25" s="550">
        <f>-'Response calculation'!K10</f>
        <v>0.6015732905730945</v>
      </c>
      <c r="AY25" s="439">
        <v>1.0000000000000001E-9</v>
      </c>
      <c r="AZ25" s="440">
        <f t="shared" si="27"/>
        <v>5.0000000000000003E-10</v>
      </c>
      <c r="BA25" s="440">
        <f t="shared" si="14"/>
        <v>2.8867513459481294E-10</v>
      </c>
      <c r="BB25" s="546">
        <f>BA25/-'Response calculation'!G10*100</f>
        <v>1.0341785862664872E-7</v>
      </c>
      <c r="BC25" s="529"/>
      <c r="BD25" s="551">
        <v>3.0000000000000001E-3</v>
      </c>
      <c r="BE25" s="552">
        <f t="shared" si="28"/>
        <v>1.7320508075688774E-3</v>
      </c>
      <c r="BF25" s="553">
        <v>1.24E-3</v>
      </c>
      <c r="BG25" s="448">
        <f>'Temp coeff'!E11</f>
        <v>-0.09</v>
      </c>
      <c r="BH25" s="543">
        <f t="shared" si="29"/>
        <v>-0.15299999999999994</v>
      </c>
      <c r="BI25" s="442">
        <v>1.4999999999999999E-4</v>
      </c>
      <c r="BJ25" s="554">
        <f t="shared" si="15"/>
        <v>8.6602540378443864E-5</v>
      </c>
      <c r="BK25" s="543">
        <v>0.02</v>
      </c>
      <c r="BL25" s="545">
        <f t="shared" si="16"/>
        <v>2.154083413982964E-3</v>
      </c>
      <c r="BM25" s="414">
        <f t="shared" si="30"/>
        <v>1.077041706991482E-3</v>
      </c>
      <c r="BN25" s="414">
        <f t="shared" si="31"/>
        <v>4.6712444730000001E-6</v>
      </c>
      <c r="BO25" s="414">
        <f t="shared" si="32"/>
        <v>2.6969442539371016E-6</v>
      </c>
      <c r="BP25" s="440">
        <f t="shared" si="33"/>
        <v>1.0770450836002337E-3</v>
      </c>
      <c r="BQ25" s="563">
        <f>'Response calculation'!T10</f>
        <v>0.21871587718642913</v>
      </c>
      <c r="BR25" s="439">
        <v>1E-10</v>
      </c>
      <c r="BS25" s="440">
        <f t="shared" si="34"/>
        <v>5.0000000000000002E-11</v>
      </c>
      <c r="BT25" s="440">
        <f t="shared" si="17"/>
        <v>2.886751345948129E-11</v>
      </c>
      <c r="BU25" s="546">
        <f>BT25/'Response calculation'!R10*100</f>
        <v>6.8423279798912962E-8</v>
      </c>
      <c r="BV25" s="438">
        <f t="shared" si="35"/>
        <v>3.5576319914419834</v>
      </c>
      <c r="BW25" s="564">
        <f>BV25*2</f>
        <v>7.1152639828839668</v>
      </c>
      <c r="BX25" s="438">
        <f t="shared" si="18"/>
        <v>3.5676878684367832</v>
      </c>
      <c r="BY25" s="449">
        <f t="shared" si="37"/>
        <v>7.1353757368735664</v>
      </c>
      <c r="BZ25" s="564">
        <f t="shared" si="38"/>
        <v>7.1999999999999993</v>
      </c>
      <c r="CA25" s="565">
        <f t="shared" si="39"/>
        <v>1.9901474833258417</v>
      </c>
      <c r="CB25" s="566" t="str">
        <f t="shared" si="40"/>
        <v>OK</v>
      </c>
      <c r="CC25" s="879"/>
      <c r="CD25" s="536">
        <f t="shared" si="19"/>
        <v>1.8132172965009618E-3</v>
      </c>
      <c r="CE25" s="561">
        <v>7.1999999999999993</v>
      </c>
      <c r="CF25" s="446">
        <f>ABS((J25-L25)/(SQRT(SUMSQ(CD25,'Response calculation'!AB10))))</f>
        <v>0.27009313434672677</v>
      </c>
      <c r="CH25" s="721">
        <f t="shared" si="41"/>
        <v>1.8341025576763488</v>
      </c>
    </row>
    <row r="26" spans="1:86" s="584" customFormat="1" x14ac:dyDescent="0.35">
      <c r="A26" s="526">
        <v>260</v>
      </c>
      <c r="B26" s="538">
        <v>0.1103</v>
      </c>
      <c r="C26" s="537"/>
      <c r="D26" s="536"/>
      <c r="E26" s="536"/>
      <c r="F26" s="537">
        <f>-'Response calculation'!Q11</f>
        <v>0.52012508678000002</v>
      </c>
      <c r="G26" s="537">
        <v>2.8950263300000002E-3</v>
      </c>
      <c r="H26" s="452">
        <f>F26/SQRT(SUMSQ('Response calculation'!J11,'Response calculation'!P11))</f>
        <v>179.66160635483541</v>
      </c>
      <c r="I26" s="452">
        <f t="shared" si="20"/>
        <v>0.55660194756634829</v>
      </c>
      <c r="J26" s="567">
        <f t="shared" si="21"/>
        <v>2.2741078225655815E-2</v>
      </c>
      <c r="K26" s="450">
        <v>2.2395999999999999E-2</v>
      </c>
      <c r="L26" s="568">
        <f t="shared" si="22"/>
        <v>2.2363637780000001E-2</v>
      </c>
      <c r="M26" s="722">
        <f t="shared" si="23"/>
        <v>0.14449999999999305</v>
      </c>
      <c r="N26" s="569">
        <f>'Response calculation'!W11</f>
        <v>0.1072366753</v>
      </c>
      <c r="O26" s="570">
        <v>3.8181930300000002E-4</v>
      </c>
      <c r="P26" s="571">
        <f>N26/SQRT(SUMSQ('Response calculation'!S11,'Response calculation'!V11))</f>
        <v>280.85679558219482</v>
      </c>
      <c r="Q26" s="529">
        <f t="shared" si="24"/>
        <v>0.3560533395416251</v>
      </c>
      <c r="R26" s="452">
        <f t="shared" si="1"/>
        <v>0.3560533395416251</v>
      </c>
      <c r="S26" s="572">
        <v>1.66</v>
      </c>
      <c r="T26" s="573">
        <f t="shared" si="2"/>
        <v>0.83</v>
      </c>
      <c r="U26" s="536">
        <f t="shared" si="3"/>
        <v>1.8309799999999998E-3</v>
      </c>
      <c r="V26" s="536">
        <f t="shared" si="4"/>
        <v>9.1548999999999992E-4</v>
      </c>
      <c r="W26" s="536">
        <f t="shared" si="5"/>
        <v>0.2061747799243501</v>
      </c>
      <c r="X26" s="537">
        <f t="shared" si="25"/>
        <v>1.8875094927294324E-4</v>
      </c>
      <c r="Y26" s="452">
        <f t="shared" si="6"/>
        <v>0.17112506733721056</v>
      </c>
      <c r="Z26" s="538">
        <f>'Drift is STD'!B9</f>
        <v>-2.4468700849323687E-2</v>
      </c>
      <c r="AA26" s="437">
        <f>'Drift is STD'!C9</f>
        <v>4.1016400000000001E-2</v>
      </c>
      <c r="AB26" s="437">
        <f t="shared" si="42"/>
        <v>0.13043215200000002</v>
      </c>
      <c r="AC26" s="539">
        <f t="shared" si="7"/>
        <v>4.7760468906970478E-2</v>
      </c>
      <c r="AD26" s="437">
        <v>4.1000000000000002E-2</v>
      </c>
      <c r="AE26" s="441">
        <v>0.01</v>
      </c>
      <c r="AF26" s="540">
        <v>5.0000000000000001E-3</v>
      </c>
      <c r="AG26" s="539">
        <v>0.02</v>
      </c>
      <c r="AH26" s="541">
        <f>'Wavelength Uc'!Y10</f>
        <v>0.17062719613036165</v>
      </c>
      <c r="AI26" s="574">
        <v>0.21695643531694911</v>
      </c>
      <c r="AJ26" s="441">
        <f t="shared" si="8"/>
        <v>0.41712357436955599</v>
      </c>
      <c r="AK26" s="445">
        <v>0.02</v>
      </c>
      <c r="AL26" s="539">
        <f t="shared" si="9"/>
        <v>-0.05</v>
      </c>
      <c r="AM26" s="441">
        <v>0.02</v>
      </c>
      <c r="AN26" s="541">
        <f t="shared" si="44"/>
        <v>0.02</v>
      </c>
      <c r="AO26" s="575">
        <f t="shared" ref="AO26:AO34" si="45">$AP$8*100/F26</f>
        <v>1.1535686611743555E-3</v>
      </c>
      <c r="AP26" s="537">
        <f t="shared" si="11"/>
        <v>5.7678433058717775E-4</v>
      </c>
      <c r="AQ26" s="537">
        <f t="shared" ref="AQ26:AQ34" si="46">($AR$5*F26)+($AS$5*$AO$8)</f>
        <v>1.6402501735600004E-5</v>
      </c>
      <c r="AR26" s="537">
        <f t="shared" si="12"/>
        <v>9.4699887924319664E-6</v>
      </c>
      <c r="AS26" s="557">
        <f t="shared" si="13"/>
        <v>5.7686206730779891E-4</v>
      </c>
      <c r="AT26" s="540">
        <v>8.5999999999999993E-2</v>
      </c>
      <c r="AU26" s="548">
        <v>0</v>
      </c>
      <c r="AV26" s="548">
        <v>1.5299999999999999E-3</v>
      </c>
      <c r="AW26" s="576">
        <f>'Response calculation'!N11*100/'Response calculation'!G11</f>
        <v>1.7898550641310489</v>
      </c>
      <c r="AX26" s="548">
        <f>-'Response calculation'!K11</f>
        <v>0.54663957322773304</v>
      </c>
      <c r="AY26" s="443">
        <v>1.0000000000000001E-9</v>
      </c>
      <c r="AZ26" s="444">
        <f t="shared" si="27"/>
        <v>5.0000000000000003E-10</v>
      </c>
      <c r="BA26" s="444">
        <f t="shared" si="14"/>
        <v>2.8867513459481294E-10</v>
      </c>
      <c r="BB26" s="557">
        <f>BA26/-'Response calculation'!G11*100</f>
        <v>5.4507708873365217E-8</v>
      </c>
      <c r="BC26" s="452"/>
      <c r="BD26" s="577">
        <v>9.0000000000000011E-3</v>
      </c>
      <c r="BE26" s="578">
        <f t="shared" si="28"/>
        <v>5.1961524227066326E-3</v>
      </c>
      <c r="BF26" s="579">
        <v>1.24E-3</v>
      </c>
      <c r="BG26" s="441">
        <f>'Temp coeff'!E12</f>
        <v>-8.5000000000000006E-2</v>
      </c>
      <c r="BH26" s="539">
        <f t="shared" si="29"/>
        <v>-0.14449999999999996</v>
      </c>
      <c r="BI26" s="451">
        <v>1.3999999999999999E-4</v>
      </c>
      <c r="BJ26" s="580">
        <f t="shared" si="15"/>
        <v>8.0829037686547603E-5</v>
      </c>
      <c r="BK26" s="539">
        <v>0.02</v>
      </c>
      <c r="BL26" s="555">
        <f t="shared" si="16"/>
        <v>1.1190201455266488E-3</v>
      </c>
      <c r="BM26" s="537">
        <f t="shared" si="30"/>
        <v>5.5951007276332438E-4</v>
      </c>
      <c r="BN26" s="537">
        <f t="shared" si="31"/>
        <v>6.2171002590000004E-6</v>
      </c>
      <c r="BO26" s="537">
        <f t="shared" si="32"/>
        <v>3.5894445081125423E-6</v>
      </c>
      <c r="BP26" s="444">
        <f t="shared" si="33"/>
        <v>5.5952158638920932E-4</v>
      </c>
      <c r="BQ26" s="556">
        <f>'Response calculation'!T11</f>
        <v>0.40741628335824143</v>
      </c>
      <c r="BR26" s="443">
        <v>1E-10</v>
      </c>
      <c r="BS26" s="444">
        <f t="shared" si="34"/>
        <v>5.0000000000000002E-11</v>
      </c>
      <c r="BT26" s="444">
        <f t="shared" si="17"/>
        <v>2.886751345948129E-11</v>
      </c>
      <c r="BU26" s="557">
        <f>BT26/'Response calculation'!R11*100</f>
        <v>3.0802777520799881E-8</v>
      </c>
      <c r="BV26" s="445">
        <f t="shared" si="35"/>
        <v>2.0693635361045115</v>
      </c>
      <c r="BW26" s="581">
        <f t="shared" si="36"/>
        <v>4.138727072209023</v>
      </c>
      <c r="BX26" s="445">
        <f t="shared" si="18"/>
        <v>2.1141340023049984</v>
      </c>
      <c r="BY26" s="452">
        <f t="shared" si="37"/>
        <v>4.2282680046099967</v>
      </c>
      <c r="BZ26" s="582">
        <f t="shared" si="38"/>
        <v>4.3</v>
      </c>
      <c r="CA26" s="559">
        <f t="shared" si="39"/>
        <v>1.6877417232779652</v>
      </c>
      <c r="CB26" s="560" t="str">
        <f t="shared" si="40"/>
        <v>OK</v>
      </c>
      <c r="CC26" s="859" t="s">
        <v>211</v>
      </c>
      <c r="CD26" s="536">
        <f t="shared" si="19"/>
        <v>9.7786636370319991E-4</v>
      </c>
      <c r="CE26" s="583">
        <v>4.3</v>
      </c>
      <c r="CF26" s="452">
        <f>ABS((J26-L26)/(SQRT(SUMSQ(CD26,'Response calculation'!AB11))))</f>
        <v>0.38405979833994097</v>
      </c>
      <c r="CH26" s="721">
        <f t="shared" si="41"/>
        <v>1.5408029364878355</v>
      </c>
    </row>
    <row r="27" spans="1:86" s="468" customFormat="1" x14ac:dyDescent="0.35">
      <c r="A27" s="562">
        <v>270</v>
      </c>
      <c r="B27" s="527">
        <v>0.10009999999999999</v>
      </c>
      <c r="C27" s="414"/>
      <c r="D27" s="528"/>
      <c r="E27" s="528"/>
      <c r="F27" s="414">
        <f>-'Response calculation'!Q12</f>
        <v>0.85870207390000008</v>
      </c>
      <c r="G27" s="414">
        <v>4.66913643E-3</v>
      </c>
      <c r="H27" s="529">
        <f>F27/SQRT(SUMSQ('Response calculation'!J12,'Response calculation'!P12))</f>
        <v>183.91025391335825</v>
      </c>
      <c r="I27" s="529">
        <f t="shared" si="20"/>
        <v>0.54374347200407269</v>
      </c>
      <c r="J27" s="530">
        <f t="shared" si="21"/>
        <v>2.0640490566456983E-2</v>
      </c>
      <c r="K27" s="435">
        <v>2.0250000000000001E-2</v>
      </c>
      <c r="L27" s="531">
        <f t="shared" si="22"/>
        <v>2.0222460000000001E-2</v>
      </c>
      <c r="M27" s="722">
        <f t="shared" si="23"/>
        <v>0.13599999999999757</v>
      </c>
      <c r="N27" s="532">
        <f>'Response calculation'!W12</f>
        <v>0.1770632573</v>
      </c>
      <c r="O27" s="585">
        <v>5.8599843999999999E-4</v>
      </c>
      <c r="P27" s="533">
        <f>N27/SQRT(SUMSQ('Response calculation'!S12,'Response calculation'!V12))</f>
        <v>302.15639708722546</v>
      </c>
      <c r="Q27" s="529">
        <f t="shared" si="24"/>
        <v>0.3309544360602511</v>
      </c>
      <c r="R27" s="529">
        <f t="shared" si="1"/>
        <v>0.3309544360602511</v>
      </c>
      <c r="S27" s="534">
        <v>1.64</v>
      </c>
      <c r="T27" s="535">
        <f t="shared" si="2"/>
        <v>0.82</v>
      </c>
      <c r="U27" s="528">
        <f t="shared" si="3"/>
        <v>1.6416399999999998E-3</v>
      </c>
      <c r="V27" s="528">
        <f t="shared" si="4"/>
        <v>8.2081999999999988E-4</v>
      </c>
      <c r="W27" s="528">
        <f t="shared" si="5"/>
        <v>0.20619870695761222</v>
      </c>
      <c r="X27" s="414">
        <f t="shared" si="25"/>
        <v>1.6925202264494725E-4</v>
      </c>
      <c r="Y27" s="529">
        <f t="shared" si="6"/>
        <v>0.16908293970524202</v>
      </c>
      <c r="Z27" s="527">
        <f>'Drift is STD'!B10</f>
        <v>-2.90354609929078E-2</v>
      </c>
      <c r="AA27" s="447">
        <f>'Drift is STD'!C10</f>
        <v>3.9308099999999999E-2</v>
      </c>
      <c r="AB27" s="447">
        <f t="shared" si="42"/>
        <v>0.124999758</v>
      </c>
      <c r="AC27" s="543">
        <f t="shared" si="7"/>
        <v>4.8869056883478632E-2</v>
      </c>
      <c r="AD27" s="447">
        <v>4.1000000000000002E-2</v>
      </c>
      <c r="AE27" s="448">
        <v>0.01</v>
      </c>
      <c r="AF27" s="547">
        <v>5.0000000000000001E-3</v>
      </c>
      <c r="AG27" s="543">
        <v>0.02</v>
      </c>
      <c r="AH27" s="544">
        <f>'Wavelength Uc'!Y11</f>
        <v>5.7581167452432698E-2</v>
      </c>
      <c r="AI27" s="542">
        <v>0.21695643531694911</v>
      </c>
      <c r="AJ27" s="448">
        <f t="shared" si="8"/>
        <v>0.25265623772350959</v>
      </c>
      <c r="AK27" s="438">
        <v>0.02</v>
      </c>
      <c r="AL27" s="543">
        <f t="shared" si="9"/>
        <v>-0.05</v>
      </c>
      <c r="AM27" s="448">
        <v>0.02</v>
      </c>
      <c r="AN27" s="544">
        <f t="shared" si="44"/>
        <v>0.02</v>
      </c>
      <c r="AO27" s="586">
        <f t="shared" si="45"/>
        <v>6.9872895179460453E-4</v>
      </c>
      <c r="AP27" s="414">
        <f t="shared" si="11"/>
        <v>3.4936447589730226E-4</v>
      </c>
      <c r="AQ27" s="414">
        <f t="shared" si="46"/>
        <v>2.3174041478000002E-5</v>
      </c>
      <c r="AR27" s="414">
        <f t="shared" si="12"/>
        <v>1.3379539085534855E-5</v>
      </c>
      <c r="AS27" s="546">
        <f t="shared" si="13"/>
        <v>3.4962057874950386E-4</v>
      </c>
      <c r="AT27" s="547">
        <v>8.5999999999999993E-2</v>
      </c>
      <c r="AU27" s="550">
        <v>0</v>
      </c>
      <c r="AV27" s="550">
        <v>1.5299999999999999E-3</v>
      </c>
      <c r="AW27" s="587">
        <f>'Response calculation'!N12*100/'Response calculation'!G12</f>
        <v>1.0916626431427356</v>
      </c>
      <c r="AX27" s="550">
        <f>-'Response calculation'!K12</f>
        <v>0.53780762294678341</v>
      </c>
      <c r="AY27" s="439">
        <v>1.0000000000000001E-9</v>
      </c>
      <c r="AZ27" s="440">
        <f t="shared" si="27"/>
        <v>5.0000000000000003E-10</v>
      </c>
      <c r="BA27" s="440">
        <f t="shared" si="14"/>
        <v>2.8867513459481294E-10</v>
      </c>
      <c r="BB27" s="546">
        <f>BA27/-'Response calculation'!G12*100</f>
        <v>3.3250621451701527E-8</v>
      </c>
      <c r="BC27" s="529"/>
      <c r="BD27" s="551">
        <v>1.4999999999999999E-2</v>
      </c>
      <c r="BE27" s="552">
        <f t="shared" si="28"/>
        <v>8.6602540378443865E-3</v>
      </c>
      <c r="BF27" s="553">
        <v>1.24E-3</v>
      </c>
      <c r="BG27" s="448">
        <f>'Temp coeff'!E13</f>
        <v>-0.08</v>
      </c>
      <c r="BH27" s="543">
        <f t="shared" si="29"/>
        <v>-0.13599999999999995</v>
      </c>
      <c r="BI27" s="442">
        <v>1.2E-4</v>
      </c>
      <c r="BJ27" s="554">
        <f t="shared" si="15"/>
        <v>6.9282032302755094E-5</v>
      </c>
      <c r="BK27" s="543">
        <v>0.02</v>
      </c>
      <c r="BL27" s="545">
        <f t="shared" si="16"/>
        <v>6.7772389274801839E-4</v>
      </c>
      <c r="BM27" s="414">
        <f t="shared" si="30"/>
        <v>3.3886194637400919E-4</v>
      </c>
      <c r="BN27" s="414">
        <f t="shared" si="31"/>
        <v>8.3118977189999999E-6</v>
      </c>
      <c r="BO27" s="414">
        <f t="shared" si="32"/>
        <v>4.7988763855412864E-6</v>
      </c>
      <c r="BP27" s="440">
        <f t="shared" si="33"/>
        <v>3.3889592490165117E-4</v>
      </c>
      <c r="BQ27" s="563">
        <f>'Response calculation'!T12</f>
        <v>0.35831539366896348</v>
      </c>
      <c r="BR27" s="439">
        <v>1.0000000000000001E-9</v>
      </c>
      <c r="BS27" s="440">
        <f t="shared" si="34"/>
        <v>5.0000000000000003E-10</v>
      </c>
      <c r="BT27" s="440">
        <f t="shared" si="17"/>
        <v>2.8867513459481294E-10</v>
      </c>
      <c r="BU27" s="546">
        <f>BT27/'Response calculation'!R12*100</f>
        <v>1.7651368576131606E-7</v>
      </c>
      <c r="BV27" s="438">
        <f t="shared" si="35"/>
        <v>1.4895108926284852</v>
      </c>
      <c r="BW27" s="588">
        <f t="shared" si="36"/>
        <v>2.9790217852569705</v>
      </c>
      <c r="BX27" s="438">
        <f t="shared" si="18"/>
        <v>1.5381824592191686</v>
      </c>
      <c r="BY27" s="529">
        <f t="shared" si="37"/>
        <v>3.0763649184383373</v>
      </c>
      <c r="BZ27" s="589">
        <f t="shared" si="38"/>
        <v>3.1</v>
      </c>
      <c r="CA27" s="565">
        <f t="shared" si="39"/>
        <v>2.0671598136773754</v>
      </c>
      <c r="CB27" s="566" t="str">
        <f t="shared" si="40"/>
        <v>OK</v>
      </c>
      <c r="CC27" s="860"/>
      <c r="CD27" s="528">
        <f t="shared" si="19"/>
        <v>6.3985520756016647E-4</v>
      </c>
      <c r="CE27" s="561">
        <v>3.1</v>
      </c>
      <c r="CF27" s="529">
        <f>ABS((J27-L27)/(SQRT(SUMSQ(CD27,'Response calculation'!AB12))))</f>
        <v>0.6454850997810786</v>
      </c>
      <c r="CH27" s="721">
        <f t="shared" si="41"/>
        <v>1.9283484763307768</v>
      </c>
    </row>
    <row r="28" spans="1:86" s="468" customFormat="1" x14ac:dyDescent="0.35">
      <c r="A28" s="562">
        <v>280</v>
      </c>
      <c r="B28" s="527">
        <v>0.10249999999999999</v>
      </c>
      <c r="C28" s="414"/>
      <c r="D28" s="528"/>
      <c r="E28" s="528"/>
      <c r="F28" s="414">
        <f>-'Response calculation'!Q13</f>
        <v>1.2699138996700001</v>
      </c>
      <c r="G28" s="414">
        <v>1.3755716600000001E-2</v>
      </c>
      <c r="H28" s="529">
        <f>F28/SQRT(SUMSQ('Response calculation'!J13,'Response calculation'!P13))</f>
        <v>92.318992574430823</v>
      </c>
      <c r="I28" s="529">
        <f t="shared" si="20"/>
        <v>1.0832007283807443</v>
      </c>
      <c r="J28" s="530">
        <f t="shared" si="21"/>
        <v>2.1976890632902254E-2</v>
      </c>
      <c r="K28" s="435">
        <v>2.146E-2</v>
      </c>
      <c r="L28" s="531">
        <f t="shared" si="22"/>
        <v>2.1419869800000001E-2</v>
      </c>
      <c r="M28" s="722">
        <f t="shared" si="23"/>
        <v>0.18699999999999317</v>
      </c>
      <c r="N28" s="532">
        <f>'Response calculation'!W13</f>
        <v>0.27228057449999998</v>
      </c>
      <c r="O28" s="585">
        <v>1.4241108300000001E-3</v>
      </c>
      <c r="P28" s="533">
        <f>N28/SQRT(SUMSQ('Response calculation'!S13,'Response calculation'!V13))</f>
        <v>191.19337772142495</v>
      </c>
      <c r="Q28" s="529">
        <f t="shared" si="24"/>
        <v>0.5230306676505464</v>
      </c>
      <c r="R28" s="529">
        <f t="shared" si="1"/>
        <v>0.5230306676505464</v>
      </c>
      <c r="S28" s="534">
        <v>1.63</v>
      </c>
      <c r="T28" s="535">
        <f t="shared" si="2"/>
        <v>0.81499999999999995</v>
      </c>
      <c r="U28" s="528">
        <f t="shared" si="3"/>
        <v>1.6707499999999997E-3</v>
      </c>
      <c r="V28" s="528">
        <f t="shared" si="4"/>
        <v>8.3537499999999985E-4</v>
      </c>
      <c r="W28" s="528">
        <f t="shared" si="5"/>
        <v>0.21440868910148542</v>
      </c>
      <c r="X28" s="414">
        <f t="shared" si="25"/>
        <v>1.7911165865815335E-4</v>
      </c>
      <c r="Y28" s="529">
        <f t="shared" si="6"/>
        <v>0.1747430816177106</v>
      </c>
      <c r="Z28" s="527">
        <f>'Drift is STD'!B11</f>
        <v>-3.489726334679228E-2</v>
      </c>
      <c r="AA28" s="447">
        <f>'Drift is STD'!C11</f>
        <v>3.7637600000000007E-2</v>
      </c>
      <c r="AB28" s="447">
        <f>AA28*$AB$5</f>
        <v>0.11968756800000002</v>
      </c>
      <c r="AC28" s="543">
        <f t="shared" si="7"/>
        <v>5.1326483640079731E-2</v>
      </c>
      <c r="AD28" s="447">
        <v>4.1000000000000002E-2</v>
      </c>
      <c r="AE28" s="448">
        <v>0.01</v>
      </c>
      <c r="AF28" s="547">
        <v>5.0000000000000001E-3</v>
      </c>
      <c r="AG28" s="543">
        <v>0.02</v>
      </c>
      <c r="AH28" s="544">
        <f>'Wavelength Uc'!Y12</f>
        <v>0.23649785162344769</v>
      </c>
      <c r="AI28" s="542">
        <v>0.21695643531694911</v>
      </c>
      <c r="AJ28" s="448">
        <f t="shared" si="8"/>
        <v>0.17084342125346247</v>
      </c>
      <c r="AK28" s="438">
        <v>0.02</v>
      </c>
      <c r="AL28" s="543">
        <f t="shared" si="9"/>
        <v>-0.05</v>
      </c>
      <c r="AM28" s="448">
        <v>0.02</v>
      </c>
      <c r="AN28" s="544">
        <f t="shared" si="44"/>
        <v>0.02</v>
      </c>
      <c r="AO28" s="586">
        <f t="shared" si="45"/>
        <v>4.7247297644030517E-4</v>
      </c>
      <c r="AP28" s="414">
        <f t="shared" si="11"/>
        <v>2.3623648822015259E-4</v>
      </c>
      <c r="AQ28" s="414">
        <f t="shared" si="46"/>
        <v>3.1398277993400001E-5</v>
      </c>
      <c r="AR28" s="414">
        <f t="shared" si="12"/>
        <v>1.8127804251580194E-5</v>
      </c>
      <c r="AS28" s="546">
        <f t="shared" si="13"/>
        <v>2.3693099344233946E-4</v>
      </c>
      <c r="AT28" s="547">
        <v>8.5999999999999993E-2</v>
      </c>
      <c r="AU28" s="550">
        <v>0</v>
      </c>
      <c r="AV28" s="550">
        <v>1.5299999999999999E-3</v>
      </c>
      <c r="AW28" s="587">
        <f>'Response calculation'!N13*100/'Response calculation'!G13</f>
        <v>0.7406391787345834</v>
      </c>
      <c r="AX28" s="550">
        <f>-'Response calculation'!K13</f>
        <v>1.0751781185395948</v>
      </c>
      <c r="AY28" s="439">
        <v>1E-8</v>
      </c>
      <c r="AZ28" s="440">
        <f t="shared" si="27"/>
        <v>5.0000000000000001E-9</v>
      </c>
      <c r="BA28" s="440">
        <f t="shared" si="14"/>
        <v>2.8867513459481292E-9</v>
      </c>
      <c r="BB28" s="546">
        <f>BA28/-'Response calculation'!G13*100</f>
        <v>2.2563505567046592E-7</v>
      </c>
      <c r="BC28" s="529"/>
      <c r="BD28" s="551">
        <v>1.3999999999999999E-2</v>
      </c>
      <c r="BE28" s="552">
        <f t="shared" si="28"/>
        <v>8.0829037686547603E-3</v>
      </c>
      <c r="BF28" s="553">
        <v>1.24E-3</v>
      </c>
      <c r="BG28" s="448">
        <f>'Temp coeff'!E14</f>
        <v>-0.11</v>
      </c>
      <c r="BH28" s="543">
        <f t="shared" si="29"/>
        <v>-0.18699999999999992</v>
      </c>
      <c r="BI28" s="442">
        <v>1.9000000000000001E-4</v>
      </c>
      <c r="BJ28" s="554">
        <f t="shared" si="15"/>
        <v>1.0969655114602891E-4</v>
      </c>
      <c r="BK28" s="543">
        <v>0.02</v>
      </c>
      <c r="BL28" s="545">
        <f t="shared" si="16"/>
        <v>4.4072185546236976E-4</v>
      </c>
      <c r="BM28" s="414">
        <f t="shared" si="30"/>
        <v>2.2036092773118488E-4</v>
      </c>
      <c r="BN28" s="414">
        <f t="shared" si="31"/>
        <v>1.1168417235E-5</v>
      </c>
      <c r="BO28" s="414">
        <f t="shared" si="32"/>
        <v>6.4480886970493068E-6</v>
      </c>
      <c r="BP28" s="440">
        <f t="shared" si="33"/>
        <v>2.2045524788127295E-4</v>
      </c>
      <c r="BQ28" s="563">
        <f>'Response calculation'!T13</f>
        <v>0.55035822981838844</v>
      </c>
      <c r="BR28" s="439">
        <v>1.0000000000000001E-9</v>
      </c>
      <c r="BS28" s="440">
        <f t="shared" si="34"/>
        <v>5.0000000000000003E-10</v>
      </c>
      <c r="BT28" s="440">
        <f t="shared" si="17"/>
        <v>2.8867513459481294E-10</v>
      </c>
      <c r="BU28" s="546">
        <f>BT28/'Response calculation'!R13*100</f>
        <v>1.1156065435453945E-7</v>
      </c>
      <c r="BV28" s="438">
        <f t="shared" si="35"/>
        <v>1.5769969921563345</v>
      </c>
      <c r="BW28" s="588">
        <f t="shared" si="36"/>
        <v>3.153993984312669</v>
      </c>
      <c r="BX28" s="438">
        <f t="shared" si="18"/>
        <v>1.6808478890030922</v>
      </c>
      <c r="BY28" s="529">
        <f t="shared" si="37"/>
        <v>3.3616957780061845</v>
      </c>
      <c r="BZ28" s="589">
        <f t="shared" si="38"/>
        <v>3.4</v>
      </c>
      <c r="CA28" s="565">
        <f t="shared" si="39"/>
        <v>2.6004865487196027</v>
      </c>
      <c r="CB28" s="566" t="str">
        <f t="shared" si="40"/>
        <v>OK</v>
      </c>
      <c r="CC28" s="860"/>
      <c r="CD28" s="528">
        <f t="shared" si="19"/>
        <v>7.472142815186767E-4</v>
      </c>
      <c r="CE28" s="561">
        <v>3.4</v>
      </c>
      <c r="CF28" s="590">
        <f>ABS((J28-L28)/(SQRT(SUMSQ(CD28,'Response calculation'!AB13))))</f>
        <v>0.73443097144912939</v>
      </c>
      <c r="CH28" s="721">
        <f t="shared" si="41"/>
        <v>2.4086236388735038</v>
      </c>
    </row>
    <row r="29" spans="1:86" s="468" customFormat="1" x14ac:dyDescent="0.35">
      <c r="A29" s="562">
        <v>290</v>
      </c>
      <c r="B29" s="527">
        <v>0.1147</v>
      </c>
      <c r="C29" s="414"/>
      <c r="D29" s="528"/>
      <c r="E29" s="528"/>
      <c r="F29" s="414">
        <f>-'Response calculation'!Q14</f>
        <v>1.8524965345700002</v>
      </c>
      <c r="G29" s="414">
        <v>1.86336174E-2</v>
      </c>
      <c r="H29" s="529">
        <f>F29/SQRT(SUMSQ('Response calculation'!J14,'Response calculation'!P14))</f>
        <v>99.416903034041596</v>
      </c>
      <c r="I29" s="529">
        <f t="shared" si="20"/>
        <v>1.0058651692837257</v>
      </c>
      <c r="J29" s="530">
        <f t="shared" si="21"/>
        <v>2.6723344120522758E-2</v>
      </c>
      <c r="K29" s="435">
        <v>2.6179999999999998E-2</v>
      </c>
      <c r="L29" s="531">
        <f t="shared" si="22"/>
        <v>2.6122142199999997E-2</v>
      </c>
      <c r="M29" s="722">
        <f t="shared" si="23"/>
        <v>0.22100000000000652</v>
      </c>
      <c r="N29" s="532">
        <f>'Response calculation'!W14</f>
        <v>0.43160333369999998</v>
      </c>
      <c r="O29" s="585">
        <v>1.4889963100000001E-3</v>
      </c>
      <c r="P29" s="533">
        <f>N29/SQRT(SUMSQ('Response calculation'!S14,'Response calculation'!V14))</f>
        <v>289.8619109601031</v>
      </c>
      <c r="Q29" s="529">
        <f t="shared" si="24"/>
        <v>0.34499186067176696</v>
      </c>
      <c r="R29" s="529">
        <f t="shared" si="1"/>
        <v>0.3449918606717669</v>
      </c>
      <c r="S29" s="534">
        <v>1.64</v>
      </c>
      <c r="T29" s="535">
        <f t="shared" si="2"/>
        <v>0.82</v>
      </c>
      <c r="U29" s="528">
        <f t="shared" si="3"/>
        <v>1.8810799999999996E-3</v>
      </c>
      <c r="V29" s="528">
        <f t="shared" si="4"/>
        <v>9.405399999999998E-4</v>
      </c>
      <c r="W29" s="528">
        <f t="shared" si="5"/>
        <v>0.23298469154771367</v>
      </c>
      <c r="X29" s="414">
        <f t="shared" si="25"/>
        <v>2.1913142178828658E-4</v>
      </c>
      <c r="Y29" s="529">
        <f t="shared" si="6"/>
        <v>0.19104744706912519</v>
      </c>
      <c r="Z29" s="527">
        <f>'Drift is STD'!B12</f>
        <v>-4.2529250956806992E-2</v>
      </c>
      <c r="AA29" s="447">
        <f>'Drift is STD'!C12</f>
        <v>3.6004900000000006E-2</v>
      </c>
      <c r="AB29" s="447">
        <f t="shared" si="42"/>
        <v>0.11449558200000003</v>
      </c>
      <c r="AC29" s="543">
        <f t="shared" si="7"/>
        <v>5.5723334528338025E-2</v>
      </c>
      <c r="AD29" s="447">
        <v>4.1000000000000002E-2</v>
      </c>
      <c r="AE29" s="448">
        <v>0.01</v>
      </c>
      <c r="AF29" s="547">
        <v>5.0000000000000001E-3</v>
      </c>
      <c r="AG29" s="543">
        <v>0.02</v>
      </c>
      <c r="AH29" s="544">
        <f>'Wavelength Uc'!Y13</f>
        <v>0.29071416967378799</v>
      </c>
      <c r="AI29" s="542">
        <v>0.21695643531694911</v>
      </c>
      <c r="AJ29" s="448">
        <f t="shared" si="8"/>
        <v>0.117115703737232</v>
      </c>
      <c r="AK29" s="438">
        <v>0.02</v>
      </c>
      <c r="AL29" s="543">
        <f t="shared" si="9"/>
        <v>-0.05</v>
      </c>
      <c r="AM29" s="448">
        <v>0.02</v>
      </c>
      <c r="AN29" s="544">
        <f t="shared" si="44"/>
        <v>0.02</v>
      </c>
      <c r="AO29" s="586">
        <f t="shared" si="45"/>
        <v>3.2388724556468417E-4</v>
      </c>
      <c r="AP29" s="414">
        <f t="shared" si="11"/>
        <v>1.6194362278234209E-4</v>
      </c>
      <c r="AQ29" s="414">
        <f t="shared" si="46"/>
        <v>4.3049930691400006E-5</v>
      </c>
      <c r="AR29" s="414">
        <f t="shared" si="12"/>
        <v>2.4854889073274528E-5</v>
      </c>
      <c r="AS29" s="546">
        <f t="shared" si="13"/>
        <v>1.6383986837981252E-4</v>
      </c>
      <c r="AT29" s="547">
        <v>8.5999999999999993E-2</v>
      </c>
      <c r="AU29" s="550">
        <v>0</v>
      </c>
      <c r="AV29" s="550">
        <v>1.5299999999999999E-3</v>
      </c>
      <c r="AW29" s="587">
        <f>'Response calculation'!N14*100/'Response calculation'!G14</f>
        <v>0.50884813553017794</v>
      </c>
      <c r="AX29" s="550">
        <f>-'Response calculation'!K14</f>
        <v>1.000746842939789</v>
      </c>
      <c r="AY29" s="439">
        <v>1E-8</v>
      </c>
      <c r="AZ29" s="440">
        <f t="shared" si="27"/>
        <v>5.0000000000000001E-9</v>
      </c>
      <c r="BA29" s="440">
        <f t="shared" si="14"/>
        <v>2.8867513459481292E-9</v>
      </c>
      <c r="BB29" s="546">
        <f>BA29/-'Response calculation'!G14*100</f>
        <v>1.550373839815868E-7</v>
      </c>
      <c r="BC29" s="529"/>
      <c r="BD29" s="551">
        <v>2.1000000000000001E-2</v>
      </c>
      <c r="BE29" s="552">
        <f t="shared" si="28"/>
        <v>1.2124355652982142E-2</v>
      </c>
      <c r="BF29" s="553">
        <v>1.24E-3</v>
      </c>
      <c r="BG29" s="448">
        <f>'Temp coeff'!E15</f>
        <v>-0.13</v>
      </c>
      <c r="BH29" s="543">
        <f t="shared" si="29"/>
        <v>-0.22099999999999992</v>
      </c>
      <c r="BI29" s="442">
        <v>2.2000000000000001E-4</v>
      </c>
      <c r="BJ29" s="554">
        <f t="shared" si="15"/>
        <v>1.2701705922171769E-4</v>
      </c>
      <c r="BK29" s="543">
        <v>0.02</v>
      </c>
      <c r="BL29" s="545">
        <f t="shared" si="16"/>
        <v>2.7803307025290474E-4</v>
      </c>
      <c r="BM29" s="414">
        <f t="shared" si="30"/>
        <v>1.3901653512645237E-4</v>
      </c>
      <c r="BN29" s="414">
        <f t="shared" si="31"/>
        <v>1.5948100011000001E-5</v>
      </c>
      <c r="BO29" s="414">
        <f t="shared" si="32"/>
        <v>9.2076398344139247E-6</v>
      </c>
      <c r="BP29" s="440">
        <f t="shared" si="33"/>
        <v>1.3932113145493922E-4</v>
      </c>
      <c r="BQ29" s="563">
        <f>'Response calculation'!T14</f>
        <v>0.35614831895448107</v>
      </c>
      <c r="BR29" s="439">
        <v>1.0000000000000001E-9</v>
      </c>
      <c r="BS29" s="440">
        <f t="shared" si="34"/>
        <v>5.0000000000000003E-10</v>
      </c>
      <c r="BT29" s="440">
        <f t="shared" si="17"/>
        <v>2.8867513459481294E-10</v>
      </c>
      <c r="BU29" s="546">
        <f>BT29/'Response calculation'!R14*100</f>
        <v>6.9047292608738025E-8</v>
      </c>
      <c r="BV29" s="438">
        <f t="shared" si="35"/>
        <v>1.4422256930576205</v>
      </c>
      <c r="BW29" s="588">
        <f t="shared" si="36"/>
        <v>2.884451386115241</v>
      </c>
      <c r="BX29" s="438">
        <f t="shared" si="18"/>
        <v>1.5020806063435319</v>
      </c>
      <c r="BY29" s="529">
        <f t="shared" si="37"/>
        <v>3.0041612126870638</v>
      </c>
      <c r="BZ29" s="589">
        <f t="shared" si="38"/>
        <v>3.1</v>
      </c>
      <c r="CA29" s="565">
        <f t="shared" si="39"/>
        <v>2.3015031306381961</v>
      </c>
      <c r="CB29" s="566" t="str">
        <f t="shared" si="40"/>
        <v>OK</v>
      </c>
      <c r="CC29" s="860"/>
      <c r="CD29" s="528">
        <f t="shared" si="19"/>
        <v>8.2842366773620553E-4</v>
      </c>
      <c r="CE29" s="561">
        <v>3</v>
      </c>
      <c r="CF29" s="590">
        <f>ABS((J29-L29)/(SQRT(SUMSQ(CD29,'Response calculation'!AB14))))</f>
        <v>0.71694414348366831</v>
      </c>
      <c r="CH29" s="721">
        <f t="shared" si="41"/>
        <v>2.0754168087194791</v>
      </c>
    </row>
    <row r="30" spans="1:86" s="468" customFormat="1" x14ac:dyDescent="0.35">
      <c r="A30" s="562">
        <v>300</v>
      </c>
      <c r="B30" s="527">
        <v>0.1295</v>
      </c>
      <c r="C30" s="414">
        <f>_xll.SRS1Splines.Functions25.Cubic_Spline('Temp coeff'!$A$6:$A$23,'Temp coeff'!$B$6:$B$23,A30)</f>
        <v>-9.2999999999999997E-5</v>
      </c>
      <c r="D30" s="528">
        <f t="shared" ref="D30:D40" si="47">B30*(1+(C30*2))</f>
        <v>0.129475913</v>
      </c>
      <c r="E30" s="591">
        <f t="shared" ref="E30:E40" si="48">ABS(B30-D30)/D30*100</f>
        <v>1.8603460243609919E-2</v>
      </c>
      <c r="F30" s="414">
        <f>-'Response calculation'!Q15</f>
        <v>2.5413829528799998</v>
      </c>
      <c r="G30" s="414">
        <v>2.5379778499999998E-2</v>
      </c>
      <c r="H30" s="529">
        <f>F30/SQRT(SUMSQ('Response calculation'!J15,'Response calculation'!P15))</f>
        <v>100.13416595282023</v>
      </c>
      <c r="I30" s="529">
        <f t="shared" si="20"/>
        <v>0.99866013811026855</v>
      </c>
      <c r="J30" s="530">
        <f t="shared" si="21"/>
        <v>3.1143733750537701E-2</v>
      </c>
      <c r="K30" s="435">
        <v>3.0630000000000001E-2</v>
      </c>
      <c r="L30" s="531">
        <f t="shared" si="22"/>
        <v>3.0562307699999999E-2</v>
      </c>
      <c r="M30" s="722">
        <f t="shared" si="23"/>
        <v>0.22100000000000547</v>
      </c>
      <c r="N30" s="532">
        <f>'Response calculation'!W15</f>
        <v>0.61118265670000005</v>
      </c>
      <c r="O30" s="585">
        <v>1.9460508400000001E-3</v>
      </c>
      <c r="P30" s="533">
        <f>N30/SQRT(SUMSQ('Response calculation'!S15,'Response calculation'!V15))</f>
        <v>314.0630396702781</v>
      </c>
      <c r="Q30" s="529">
        <f t="shared" si="24"/>
        <v>0.31840741306263193</v>
      </c>
      <c r="R30" s="529">
        <f t="shared" si="1"/>
        <v>0.31840741306263193</v>
      </c>
      <c r="S30" s="534">
        <v>1.63</v>
      </c>
      <c r="T30" s="535">
        <f t="shared" si="2"/>
        <v>0.81499999999999995</v>
      </c>
      <c r="U30" s="528">
        <f t="shared" si="3"/>
        <v>2.1108500000000001E-3</v>
      </c>
      <c r="V30" s="528">
        <f t="shared" si="4"/>
        <v>1.055425E-3</v>
      </c>
      <c r="W30" s="528">
        <f t="shared" si="5"/>
        <v>0.24049215251380462</v>
      </c>
      <c r="X30" s="414">
        <f t="shared" si="25"/>
        <v>2.5382143006688227E-4</v>
      </c>
      <c r="Y30" s="529">
        <f t="shared" si="6"/>
        <v>0.19600110429875081</v>
      </c>
      <c r="Z30" s="527">
        <f>'Drift is STD'!B13</f>
        <v>-5.2593644354293437E-2</v>
      </c>
      <c r="AA30" s="447">
        <f>'Drift is STD'!C13</f>
        <v>3.4409999999999996E-2</v>
      </c>
      <c r="AB30" s="447">
        <f t="shared" si="42"/>
        <v>0.10942379999999999</v>
      </c>
      <c r="AC30" s="543">
        <f t="shared" si="7"/>
        <v>6.2850135453043382E-2</v>
      </c>
      <c r="AD30" s="447">
        <v>4.1000000000000002E-2</v>
      </c>
      <c r="AE30" s="448">
        <v>0.01</v>
      </c>
      <c r="AF30" s="547">
        <v>5.0000000000000001E-3</v>
      </c>
      <c r="AG30" s="543">
        <v>0.02</v>
      </c>
      <c r="AH30" s="544">
        <f>'Wavelength Uc'!Y14</f>
        <v>0.15971273127700894</v>
      </c>
      <c r="AI30" s="542">
        <v>0.21695643531694911</v>
      </c>
      <c r="AJ30" s="448">
        <f t="shared" si="8"/>
        <v>8.5369438348945059E-2</v>
      </c>
      <c r="AK30" s="448">
        <v>0.02</v>
      </c>
      <c r="AL30" s="543">
        <f t="shared" si="9"/>
        <v>-0.05</v>
      </c>
      <c r="AM30" s="448">
        <v>0.02</v>
      </c>
      <c r="AN30" s="544">
        <f t="shared" si="44"/>
        <v>0.02</v>
      </c>
      <c r="AO30" s="586">
        <f t="shared" si="45"/>
        <v>2.3609192755466284E-4</v>
      </c>
      <c r="AP30" s="414">
        <f t="shared" si="11"/>
        <v>1.1804596377733142E-4</v>
      </c>
      <c r="AQ30" s="414">
        <f t="shared" si="46"/>
        <v>5.6827659057600001E-5</v>
      </c>
      <c r="AR30" s="414">
        <f t="shared" si="12"/>
        <v>3.2809464254321635E-5</v>
      </c>
      <c r="AS30" s="546">
        <f t="shared" si="13"/>
        <v>1.2252065339678306E-4</v>
      </c>
      <c r="AT30" s="547">
        <v>8.5999999999999993E-2</v>
      </c>
      <c r="AU30" s="550">
        <v>0</v>
      </c>
      <c r="AV30" s="550">
        <v>1.5299999999999999E-3</v>
      </c>
      <c r="AW30" s="587">
        <f>'Response calculation'!N15*100/'Response calculation'!G15</f>
        <v>0.37136855269719005</v>
      </c>
      <c r="AX30" s="550">
        <f>-'Response calculation'!K15</f>
        <v>0.99495142812901127</v>
      </c>
      <c r="AY30" s="439">
        <v>1E-8</v>
      </c>
      <c r="AZ30" s="440">
        <f t="shared" si="27"/>
        <v>5.0000000000000001E-9</v>
      </c>
      <c r="BA30" s="440">
        <f t="shared" si="14"/>
        <v>2.8867513459481292E-9</v>
      </c>
      <c r="BB30" s="546">
        <f>BA30/-'Response calculation'!G15*100</f>
        <v>1.1316794487802314E-7</v>
      </c>
      <c r="BC30" s="529"/>
      <c r="BD30" s="551">
        <v>2E-3</v>
      </c>
      <c r="BE30" s="552">
        <f t="shared" si="28"/>
        <v>1.1547005383792516E-3</v>
      </c>
      <c r="BF30" s="553">
        <v>1.24E-3</v>
      </c>
      <c r="BG30" s="448">
        <f>'Temp coeff'!E16</f>
        <v>-0.13</v>
      </c>
      <c r="BH30" s="543">
        <f t="shared" si="29"/>
        <v>-0.22099999999999992</v>
      </c>
      <c r="BI30" s="442">
        <v>2.1000000000000001E-4</v>
      </c>
      <c r="BJ30" s="554">
        <f t="shared" si="15"/>
        <v>1.2124355652982142E-4</v>
      </c>
      <c r="BK30" s="543">
        <v>0.02</v>
      </c>
      <c r="BL30" s="586">
        <f t="shared" ref="BL30:BL40" si="49">$BM$8*100/N30</f>
        <v>9.817032493029509E-4</v>
      </c>
      <c r="BM30" s="414">
        <f t="shared" si="30"/>
        <v>4.9085162465147545E-4</v>
      </c>
      <c r="BN30" s="414">
        <f>($BO$5*N30)+($BP$5*$BL$8)</f>
        <v>1.8223653134E-5</v>
      </c>
      <c r="BO30" s="414">
        <f t="shared" si="32"/>
        <v>1.0521431042533269E-5</v>
      </c>
      <c r="BP30" s="440">
        <f t="shared" si="33"/>
        <v>4.9096437542267329E-4</v>
      </c>
      <c r="BQ30" s="563">
        <f>'Response calculation'!T15</f>
        <v>0.32561064786732929</v>
      </c>
      <c r="BR30" s="439">
        <v>1.0000000000000001E-9</v>
      </c>
      <c r="BS30" s="440">
        <f t="shared" si="34"/>
        <v>5.0000000000000003E-10</v>
      </c>
      <c r="BT30" s="440">
        <f t="shared" si="17"/>
        <v>2.8867513459481294E-10</v>
      </c>
      <c r="BU30" s="546">
        <f>BT30/'Response calculation'!R15*100</f>
        <v>4.83007410015072E-8</v>
      </c>
      <c r="BV30" s="438">
        <f t="shared" si="35"/>
        <v>1.371532242808587</v>
      </c>
      <c r="BW30" s="588">
        <f t="shared" si="36"/>
        <v>2.743064485617174</v>
      </c>
      <c r="BX30" s="438">
        <f t="shared" si="18"/>
        <v>1.4270133544390844</v>
      </c>
      <c r="BY30" s="529">
        <f t="shared" si="37"/>
        <v>2.8540267088781688</v>
      </c>
      <c r="BZ30" s="589">
        <f t="shared" si="38"/>
        <v>2.9</v>
      </c>
      <c r="CA30" s="565">
        <f t="shared" si="39"/>
        <v>1.9024284954035127</v>
      </c>
      <c r="CB30" s="566" t="str">
        <f t="shared" si="40"/>
        <v>OK</v>
      </c>
      <c r="CC30" s="860"/>
      <c r="CD30" s="528">
        <f t="shared" si="19"/>
        <v>9.0316827876559327E-4</v>
      </c>
      <c r="CE30" s="561">
        <v>2.9</v>
      </c>
      <c r="CF30" s="529">
        <f>ABS((J30-L30)/(SQRT(SUMSQ(CD30,'Response calculation'!AB15))))</f>
        <v>0.63904049691584408</v>
      </c>
      <c r="CH30" s="721">
        <f t="shared" si="41"/>
        <v>1.6772241284286658</v>
      </c>
    </row>
    <row r="31" spans="1:86" s="468" customFormat="1" x14ac:dyDescent="0.35">
      <c r="A31" s="562">
        <v>310</v>
      </c>
      <c r="B31" s="527">
        <v>0.13750000000000001</v>
      </c>
      <c r="C31" s="414">
        <f>_xll.SRS1Splines.Functions25.Cubic_Spline('Temp coeff'!$A$6:$A$23,'Temp coeff'!$B$6:$B$23,A31)</f>
        <v>-5.97648672529379E-5</v>
      </c>
      <c r="D31" s="528">
        <f t="shared" si="47"/>
        <v>0.13748356466150544</v>
      </c>
      <c r="E31" s="591">
        <f t="shared" si="48"/>
        <v>1.1954402357139774E-2</v>
      </c>
      <c r="F31" s="414">
        <f>-'Response calculation'!Q16</f>
        <v>3.1295386332199997</v>
      </c>
      <c r="G31" s="414">
        <v>3.8240138700000002E-2</v>
      </c>
      <c r="H31" s="529">
        <f>F31/SQRT(SUMSQ('Response calculation'!J16,'Response calculation'!P16))</f>
        <v>81.839102558372147</v>
      </c>
      <c r="I31" s="529">
        <f t="shared" si="20"/>
        <v>1.221909782413297</v>
      </c>
      <c r="J31" s="592">
        <f t="shared" si="21"/>
        <v>3.3290262388950088E-2</v>
      </c>
      <c r="K31" s="435">
        <v>3.2731999999999997E-2</v>
      </c>
      <c r="L31" s="531">
        <f t="shared" si="22"/>
        <v>3.2670791159999997E-2</v>
      </c>
      <c r="M31" s="722">
        <f t="shared" si="23"/>
        <v>0.18700000000000067</v>
      </c>
      <c r="N31" s="532">
        <f>'Response calculation'!W16</f>
        <v>0.75769572550000008</v>
      </c>
      <c r="O31" s="585">
        <v>3.17202928E-3</v>
      </c>
      <c r="P31" s="533">
        <f>N31/SQRT(SUMSQ('Response calculation'!S16,'Response calculation'!V16))</f>
        <v>238.86782151023883</v>
      </c>
      <c r="Q31" s="529">
        <f t="shared" si="24"/>
        <v>0.41864157075553854</v>
      </c>
      <c r="R31" s="529">
        <f t="shared" si="1"/>
        <v>0.41864157075553854</v>
      </c>
      <c r="S31" s="534">
        <v>1.63</v>
      </c>
      <c r="T31" s="535">
        <f t="shared" si="2"/>
        <v>0.81499999999999995</v>
      </c>
      <c r="U31" s="528">
        <f t="shared" si="3"/>
        <v>2.2412499999999998E-3</v>
      </c>
      <c r="V31" s="528">
        <f t="shared" si="4"/>
        <v>1.1206249999999999E-3</v>
      </c>
      <c r="W31" s="528">
        <f t="shared" si="5"/>
        <v>0.24211099919236426</v>
      </c>
      <c r="X31" s="414">
        <f t="shared" si="25"/>
        <v>2.7131563846994315E-4</v>
      </c>
      <c r="Y31" s="529">
        <f t="shared" si="6"/>
        <v>0.19732046434177683</v>
      </c>
      <c r="Z31" s="527">
        <f>'Drift is STD'!B14</f>
        <v>-6.5976251060220523E-2</v>
      </c>
      <c r="AA31" s="447">
        <f>'Drift is STD'!C14</f>
        <v>3.2852900000000004E-2</v>
      </c>
      <c r="AB31" s="447">
        <f t="shared" si="42"/>
        <v>0.10447222200000002</v>
      </c>
      <c r="AC31" s="543">
        <f t="shared" si="7"/>
        <v>7.3703315680987175E-2</v>
      </c>
      <c r="AD31" s="447">
        <v>4.1000000000000002E-2</v>
      </c>
      <c r="AE31" s="448">
        <v>0.01</v>
      </c>
      <c r="AF31" s="547">
        <v>5.0000000000000001E-3</v>
      </c>
      <c r="AG31" s="543">
        <v>0.02</v>
      </c>
      <c r="AH31" s="544">
        <f>'Wavelength Uc'!Y15</f>
        <v>5.6636186723050652E-2</v>
      </c>
      <c r="AI31" s="542">
        <v>0.21695643531694911</v>
      </c>
      <c r="AJ31" s="448">
        <f t="shared" si="8"/>
        <v>6.93253737192953E-2</v>
      </c>
      <c r="AK31" s="448">
        <v>0.02</v>
      </c>
      <c r="AL31" s="543">
        <f t="shared" si="9"/>
        <v>-0.05</v>
      </c>
      <c r="AM31" s="448">
        <v>0.02</v>
      </c>
      <c r="AN31" s="544">
        <f t="shared" si="44"/>
        <v>0.02</v>
      </c>
      <c r="AO31" s="586">
        <f t="shared" si="45"/>
        <v>1.9172155078419874E-4</v>
      </c>
      <c r="AP31" s="414">
        <f t="shared" si="11"/>
        <v>9.5860775392099371E-5</v>
      </c>
      <c r="AQ31" s="414">
        <f t="shared" si="46"/>
        <v>6.8590772664399997E-5</v>
      </c>
      <c r="AR31" s="414">
        <f t="shared" si="12"/>
        <v>3.9600901061715768E-5</v>
      </c>
      <c r="AS31" s="546">
        <f t="shared" si="13"/>
        <v>1.0371846327281525E-4</v>
      </c>
      <c r="AT31" s="547">
        <v>8.5999999999999993E-2</v>
      </c>
      <c r="AU31" s="550">
        <v>0</v>
      </c>
      <c r="AV31" s="550">
        <v>1.5299999999999999E-3</v>
      </c>
      <c r="AW31" s="587">
        <f>'Response calculation'!N16*100/'Response calculation'!G16</f>
        <v>0.30172625230851063</v>
      </c>
      <c r="AX31" s="550">
        <f>-'Response calculation'!K16</f>
        <v>1.2182229597017673</v>
      </c>
      <c r="AY31" s="439">
        <v>1E-8</v>
      </c>
      <c r="AZ31" s="440">
        <f t="shared" si="27"/>
        <v>5.0000000000000001E-9</v>
      </c>
      <c r="BA31" s="440">
        <f t="shared" si="14"/>
        <v>2.8867513459481292E-9</v>
      </c>
      <c r="BB31" s="546">
        <f>BA31/-'Response calculation'!G16*100</f>
        <v>9.196375557560386E-8</v>
      </c>
      <c r="BC31" s="529"/>
      <c r="BD31" s="551">
        <v>1E-3</v>
      </c>
      <c r="BE31" s="552">
        <f t="shared" si="28"/>
        <v>5.773502691896258E-4</v>
      </c>
      <c r="BF31" s="553">
        <v>1.24E-3</v>
      </c>
      <c r="BG31" s="448">
        <f>'Temp coeff'!E17</f>
        <v>-0.11</v>
      </c>
      <c r="BH31" s="543">
        <f t="shared" si="29"/>
        <v>-0.18699999999999992</v>
      </c>
      <c r="BI31" s="442">
        <v>1.8000000000000001E-4</v>
      </c>
      <c r="BJ31" s="554">
        <f t="shared" si="15"/>
        <v>1.0392304845413265E-4</v>
      </c>
      <c r="BK31" s="543">
        <v>0.02</v>
      </c>
      <c r="BL31" s="586">
        <f t="shared" si="49"/>
        <v>7.9187460059123693E-4</v>
      </c>
      <c r="BM31" s="414">
        <f t="shared" si="30"/>
        <v>3.9593730029561846E-4</v>
      </c>
      <c r="BN31" s="414">
        <f t="shared" ref="BN31:BN40" si="50">($BO$5*N31)+($BP$5*$BL$8)</f>
        <v>2.1153914510000004E-5</v>
      </c>
      <c r="BO31" s="414">
        <f t="shared" si="32"/>
        <v>1.2213218236762834E-5</v>
      </c>
      <c r="BP31" s="440">
        <f t="shared" si="33"/>
        <v>3.9612562207597926E-4</v>
      </c>
      <c r="BQ31" s="563">
        <f>'Response calculation'!T16</f>
        <v>0.42624758634493037</v>
      </c>
      <c r="BR31" s="439">
        <v>1.0000000000000001E-9</v>
      </c>
      <c r="BS31" s="440">
        <f t="shared" si="34"/>
        <v>5.0000000000000003E-10</v>
      </c>
      <c r="BT31" s="440">
        <f t="shared" si="17"/>
        <v>2.8867513459481294E-10</v>
      </c>
      <c r="BU31" s="546">
        <f>BT31/'Response calculation'!R16*100</f>
        <v>3.8791281068766469E-8</v>
      </c>
      <c r="BV31" s="438">
        <f t="shared" si="35"/>
        <v>1.5190606287270227</v>
      </c>
      <c r="BW31" s="588">
        <f t="shared" si="36"/>
        <v>3.0381212574540455</v>
      </c>
      <c r="BX31" s="438">
        <f t="shared" si="18"/>
        <v>1.5889000085789728</v>
      </c>
      <c r="BY31" s="529">
        <f t="shared" si="37"/>
        <v>3.1778000171579457</v>
      </c>
      <c r="BZ31" s="589">
        <f t="shared" si="38"/>
        <v>3.2</v>
      </c>
      <c r="CA31" s="565">
        <f t="shared" si="39"/>
        <v>1.8961010950617319</v>
      </c>
      <c r="CB31" s="566" t="str">
        <f t="shared" si="40"/>
        <v>OK</v>
      </c>
      <c r="CC31" s="860"/>
      <c r="CD31" s="593">
        <f t="shared" si="19"/>
        <v>1.0652883964464028E-3</v>
      </c>
      <c r="CE31" s="561">
        <v>3.2</v>
      </c>
      <c r="CF31" s="529">
        <f>ABS((J31-L31)/(SQRT(SUMSQ(CD31,'Response calculation'!AB16))))</f>
        <v>0.57920709725660746</v>
      </c>
      <c r="CH31" s="721">
        <f t="shared" si="41"/>
        <v>1.7055553860139658</v>
      </c>
    </row>
    <row r="32" spans="1:86" s="468" customFormat="1" x14ac:dyDescent="0.35">
      <c r="A32" s="562">
        <v>320</v>
      </c>
      <c r="B32" s="527">
        <v>0.14219999999999999</v>
      </c>
      <c r="C32" s="414">
        <f>_xll.SRS1Splines.Functions25.Cubic_Spline('Temp coeff'!$A$6:$A$23,'Temp coeff'!$B$6:$B$23,A32)</f>
        <v>-2.1999999999999999E-5</v>
      </c>
      <c r="D32" s="528">
        <f t="shared" si="47"/>
        <v>0.1421937432</v>
      </c>
      <c r="E32" s="591">
        <f t="shared" si="48"/>
        <v>4.400193608513822E-3</v>
      </c>
      <c r="F32" s="414">
        <f>-'Response calculation'!Q17</f>
        <v>3.5999564613599997</v>
      </c>
      <c r="G32" s="414">
        <v>3.6750655799999997E-2</v>
      </c>
      <c r="H32" s="529">
        <f>F32/SQRT(SUMSQ('Response calculation'!J17,'Response calculation'!P17))</f>
        <v>97.956250920603125</v>
      </c>
      <c r="I32" s="529">
        <f t="shared" si="20"/>
        <v>1.0208638964863346</v>
      </c>
      <c r="J32" s="530">
        <f t="shared" si="21"/>
        <v>3.4161428735796563E-2</v>
      </c>
      <c r="K32" s="435">
        <v>3.3631000000000001E-2</v>
      </c>
      <c r="L32" s="531">
        <f t="shared" si="22"/>
        <v>3.3573827300000005E-2</v>
      </c>
      <c r="M32" s="722">
        <f t="shared" si="23"/>
        <v>0.16999999999998999</v>
      </c>
      <c r="N32" s="532">
        <f>'Response calculation'!W17</f>
        <v>0.86483583760000005</v>
      </c>
      <c r="O32" s="585">
        <v>2.9151968600000001E-3</v>
      </c>
      <c r="P32" s="533">
        <f>N32/SQRT(SUMSQ('Response calculation'!S17,'Response calculation'!V17))</f>
        <v>296.66464181965762</v>
      </c>
      <c r="Q32" s="529">
        <f t="shared" si="24"/>
        <v>0.33708095237311758</v>
      </c>
      <c r="R32" s="529">
        <f t="shared" si="1"/>
        <v>0.33708095237311758</v>
      </c>
      <c r="S32" s="534">
        <v>1.63</v>
      </c>
      <c r="T32" s="535">
        <f t="shared" si="2"/>
        <v>0.81499999999999995</v>
      </c>
      <c r="U32" s="528">
        <f t="shared" si="3"/>
        <v>2.3178599999999997E-3</v>
      </c>
      <c r="V32" s="528">
        <f t="shared" si="4"/>
        <v>1.1589299999999999E-3</v>
      </c>
      <c r="W32" s="528">
        <f t="shared" si="5"/>
        <v>0.24023508253021494</v>
      </c>
      <c r="X32" s="414">
        <f t="shared" si="25"/>
        <v>2.7841564419674197E-4</v>
      </c>
      <c r="Y32" s="529">
        <f t="shared" si="6"/>
        <v>0.19579159226212517</v>
      </c>
      <c r="Z32" s="527">
        <f>'Drift is STD'!B15</f>
        <v>-8.3730893433799775E-2</v>
      </c>
      <c r="AA32" s="447">
        <f>'Drift is STD'!C15</f>
        <v>3.1333600000000003E-2</v>
      </c>
      <c r="AB32" s="447">
        <f t="shared" si="42"/>
        <v>9.9640848000000018E-2</v>
      </c>
      <c r="AC32" s="543">
        <f t="shared" si="7"/>
        <v>8.9401661081784906E-2</v>
      </c>
      <c r="AD32" s="447">
        <v>4.1000000000000002E-2</v>
      </c>
      <c r="AE32" s="448">
        <v>0.01</v>
      </c>
      <c r="AF32" s="547">
        <v>5.0000000000000001E-3</v>
      </c>
      <c r="AG32" s="543">
        <v>0.02</v>
      </c>
      <c r="AH32" s="544">
        <f>'Wavelength Uc'!Y16</f>
        <v>3.1184524420187931E-2</v>
      </c>
      <c r="AI32" s="542">
        <v>0.21695643531694911</v>
      </c>
      <c r="AJ32" s="448">
        <f t="shared" si="8"/>
        <v>6.0266405342854289E-2</v>
      </c>
      <c r="AK32" s="448">
        <v>0.02</v>
      </c>
      <c r="AL32" s="543">
        <f t="shared" si="9"/>
        <v>-0.05</v>
      </c>
      <c r="AM32" s="448">
        <v>0.02</v>
      </c>
      <c r="AN32" s="544">
        <f t="shared" si="44"/>
        <v>0.02</v>
      </c>
      <c r="AO32" s="586">
        <f t="shared" si="45"/>
        <v>1.6666868236882252E-4</v>
      </c>
      <c r="AP32" s="414">
        <f t="shared" si="11"/>
        <v>8.3334341184411261E-5</v>
      </c>
      <c r="AQ32" s="414">
        <f t="shared" si="46"/>
        <v>7.7999129227199996E-5</v>
      </c>
      <c r="AR32" s="414">
        <f t="shared" si="12"/>
        <v>4.5032818255880328E-5</v>
      </c>
      <c r="AS32" s="546">
        <f t="shared" si="13"/>
        <v>9.4723635596967101E-5</v>
      </c>
      <c r="AT32" s="547">
        <v>8.5999999999999993E-2</v>
      </c>
      <c r="AU32" s="550">
        <v>0</v>
      </c>
      <c r="AV32" s="550">
        <v>1.5299999999999999E-3</v>
      </c>
      <c r="AW32" s="587">
        <f>'Response calculation'!N17*100/'Response calculation'!G17</f>
        <v>0.2623665817437546</v>
      </c>
      <c r="AX32" s="550">
        <f>-'Response calculation'!K17</f>
        <v>1.0181854906867902</v>
      </c>
      <c r="AY32" s="439">
        <v>1E-8</v>
      </c>
      <c r="AZ32" s="440">
        <f t="shared" si="27"/>
        <v>5.0000000000000001E-9</v>
      </c>
      <c r="BA32" s="440">
        <f t="shared" si="14"/>
        <v>2.8867513459481292E-9</v>
      </c>
      <c r="BB32" s="546">
        <f>BA32/-'Response calculation'!G17*100</f>
        <v>7.9978119347327354E-8</v>
      </c>
      <c r="BC32" s="529"/>
      <c r="BD32" s="551">
        <v>1E-3</v>
      </c>
      <c r="BE32" s="552">
        <f t="shared" si="28"/>
        <v>5.773502691896258E-4</v>
      </c>
      <c r="BF32" s="553">
        <v>1.24E-3</v>
      </c>
      <c r="BG32" s="448">
        <f>'Temp coeff'!E18</f>
        <v>-0.1</v>
      </c>
      <c r="BH32" s="543">
        <f t="shared" si="29"/>
        <v>-0.16999999999999993</v>
      </c>
      <c r="BI32" s="442">
        <v>1.6000000000000001E-4</v>
      </c>
      <c r="BJ32" s="554">
        <f t="shared" si="15"/>
        <v>9.2376043070340139E-5</v>
      </c>
      <c r="BK32" s="543">
        <v>0.02</v>
      </c>
      <c r="BL32" s="586">
        <f t="shared" si="49"/>
        <v>6.9377328495666402E-4</v>
      </c>
      <c r="BM32" s="414">
        <f t="shared" si="30"/>
        <v>3.4688664247833201E-4</v>
      </c>
      <c r="BN32" s="414">
        <f t="shared" si="50"/>
        <v>2.3296716752000002E-5</v>
      </c>
      <c r="BO32" s="414">
        <f t="shared" si="32"/>
        <v>1.3450365688001666E-5</v>
      </c>
      <c r="BP32" s="440">
        <f t="shared" si="33"/>
        <v>3.4714731032665528E-4</v>
      </c>
      <c r="BQ32" s="563">
        <f>'Response calculation'!T17</f>
        <v>0.34243436771995445</v>
      </c>
      <c r="BR32" s="439">
        <v>1.0000000000000001E-9</v>
      </c>
      <c r="BS32" s="440">
        <f t="shared" si="34"/>
        <v>5.0000000000000003E-10</v>
      </c>
      <c r="BT32" s="440">
        <f t="shared" si="17"/>
        <v>2.8867513459481294E-10</v>
      </c>
      <c r="BU32" s="546">
        <f>BT32/'Response calculation'!R17*100</f>
        <v>3.3909300791249997E-8</v>
      </c>
      <c r="BV32" s="438">
        <f t="shared" si="35"/>
        <v>1.3558401428363553</v>
      </c>
      <c r="BW32" s="588">
        <f t="shared" si="36"/>
        <v>2.7116802856727107</v>
      </c>
      <c r="BX32" s="438">
        <f t="shared" si="18"/>
        <v>1.4088526498893332</v>
      </c>
      <c r="BY32" s="529">
        <f t="shared" si="37"/>
        <v>2.8177052997786665</v>
      </c>
      <c r="BZ32" s="589">
        <f t="shared" si="38"/>
        <v>2.9</v>
      </c>
      <c r="CA32" s="565">
        <f t="shared" si="39"/>
        <v>1.7501770964210523</v>
      </c>
      <c r="CB32" s="566" t="str">
        <f t="shared" si="40"/>
        <v>OK</v>
      </c>
      <c r="CC32" s="860"/>
      <c r="CD32" s="528">
        <f t="shared" si="19"/>
        <v>9.906814333381002E-4</v>
      </c>
      <c r="CE32" s="561">
        <v>2.8000000000000003</v>
      </c>
      <c r="CF32" s="529">
        <f>ABS((J32-L32)/(SQRT(SUMSQ(CD32,'Response calculation'!AB17))))</f>
        <v>0.59036320866150171</v>
      </c>
      <c r="CH32" s="721">
        <f t="shared" si="41"/>
        <v>1.5772017953571467</v>
      </c>
    </row>
    <row r="33" spans="1:86" s="468" customFormat="1" x14ac:dyDescent="0.35">
      <c r="A33" s="562">
        <v>330</v>
      </c>
      <c r="B33" s="527">
        <v>0.14549999999999999</v>
      </c>
      <c r="C33" s="414">
        <f>_xll.SRS1Splines.Functions25.Cubic_Spline('Temp coeff'!$A$6:$A$23,'Temp coeff'!$B$6:$B$23,A33)</f>
        <v>2.07946017588136E-5</v>
      </c>
      <c r="D33" s="528">
        <f t="shared" si="47"/>
        <v>0.14550605122911181</v>
      </c>
      <c r="E33" s="591">
        <f t="shared" si="48"/>
        <v>4.1587473927744666E-3</v>
      </c>
      <c r="F33" s="414">
        <f>-'Response calculation'!Q18</f>
        <v>4.0233954981100002</v>
      </c>
      <c r="G33" s="414">
        <v>4.15534761E-2</v>
      </c>
      <c r="H33" s="529">
        <f>F33/SQRT(SUMSQ('Response calculation'!J18,'Response calculation'!P18))</f>
        <v>96.824522881694023</v>
      </c>
      <c r="I33" s="529">
        <f t="shared" si="20"/>
        <v>1.0327962072396264</v>
      </c>
      <c r="J33" s="592">
        <f t="shared" si="21"/>
        <v>3.4929580482832692E-2</v>
      </c>
      <c r="K33" s="435">
        <v>3.4394000000000001E-2</v>
      </c>
      <c r="L33" s="531">
        <f t="shared" si="22"/>
        <v>3.434137718E-2</v>
      </c>
      <c r="M33" s="722">
        <f t="shared" si="23"/>
        <v>0.1530000000000018</v>
      </c>
      <c r="N33" s="532">
        <f>'Response calculation'!W18</f>
        <v>0.96587984099999991</v>
      </c>
      <c r="O33" s="585">
        <v>3.56519167E-3</v>
      </c>
      <c r="P33" s="533">
        <f>N33/SQRT(SUMSQ('Response calculation'!S18,'Response calculation'!V18))</f>
        <v>270.91946771964098</v>
      </c>
      <c r="Q33" s="529">
        <f t="shared" si="24"/>
        <v>0.36911337838403058</v>
      </c>
      <c r="R33" s="529">
        <f t="shared" si="1"/>
        <v>0.36911337838403058</v>
      </c>
      <c r="S33" s="534">
        <v>1.63</v>
      </c>
      <c r="T33" s="535">
        <f t="shared" si="2"/>
        <v>0.81499999999999995</v>
      </c>
      <c r="U33" s="528">
        <f t="shared" si="3"/>
        <v>2.3716499999999995E-3</v>
      </c>
      <c r="V33" s="528">
        <f t="shared" si="4"/>
        <v>1.1858249999999997E-3</v>
      </c>
      <c r="W33" s="528">
        <f t="shared" si="5"/>
        <v>0.24006584524283639</v>
      </c>
      <c r="X33" s="414">
        <f t="shared" si="25"/>
        <v>2.8467608093508642E-4</v>
      </c>
      <c r="Y33" s="529">
        <f t="shared" si="6"/>
        <v>0.19565366387291164</v>
      </c>
      <c r="Z33" s="527">
        <f>'Drift is STD'!B16</f>
        <v>-0.10670233196159122</v>
      </c>
      <c r="AA33" s="447">
        <f>'Drift is STD'!C16</f>
        <v>2.9852100000000006E-2</v>
      </c>
      <c r="AB33" s="447">
        <f t="shared" si="42"/>
        <v>9.4929678000000031E-2</v>
      </c>
      <c r="AC33" s="543">
        <f t="shared" si="7"/>
        <v>0.11079952852089044</v>
      </c>
      <c r="AD33" s="447">
        <v>4.1000000000000002E-2</v>
      </c>
      <c r="AE33" s="448">
        <v>0.01</v>
      </c>
      <c r="AF33" s="547">
        <v>5.0000000000000001E-3</v>
      </c>
      <c r="AG33" s="543">
        <v>0.02</v>
      </c>
      <c r="AH33" s="544">
        <f>'Wavelength Uc'!Y17</f>
        <v>3.5247737315514845E-2</v>
      </c>
      <c r="AI33" s="542">
        <v>0.21695643531694911</v>
      </c>
      <c r="AJ33" s="448">
        <f t="shared" si="8"/>
        <v>5.3923715781574275E-2</v>
      </c>
      <c r="AK33" s="448">
        <v>0.02</v>
      </c>
      <c r="AL33" s="543">
        <f t="shared" si="9"/>
        <v>-0.05</v>
      </c>
      <c r="AM33" s="448">
        <v>0.02</v>
      </c>
      <c r="AN33" s="544">
        <f t="shared" si="44"/>
        <v>0.02</v>
      </c>
      <c r="AO33" s="586">
        <f t="shared" si="45"/>
        <v>1.4912777038246711E-4</v>
      </c>
      <c r="AP33" s="414">
        <f t="shared" si="11"/>
        <v>7.4563885191233556E-5</v>
      </c>
      <c r="AQ33" s="414">
        <f t="shared" si="46"/>
        <v>8.6467909962200003E-5</v>
      </c>
      <c r="AR33" s="414">
        <f t="shared" si="12"/>
        <v>4.9922271092940496E-5</v>
      </c>
      <c r="AS33" s="546">
        <f t="shared" si="13"/>
        <v>8.9732971230693689E-5</v>
      </c>
      <c r="AT33" s="547">
        <v>8.5999999999999993E-2</v>
      </c>
      <c r="AU33" s="550">
        <v>0</v>
      </c>
      <c r="AV33" s="550">
        <v>1.5299999999999999E-3</v>
      </c>
      <c r="AW33" s="587">
        <f>'Response calculation'!N18*100/'Response calculation'!G18</f>
        <v>0.23479667664413215</v>
      </c>
      <c r="AX33" s="550">
        <f>-'Response calculation'!K18</f>
        <v>1.0303712359016433</v>
      </c>
      <c r="AY33" s="439">
        <v>1E-8</v>
      </c>
      <c r="AZ33" s="440">
        <f t="shared" si="27"/>
        <v>5.0000000000000001E-9</v>
      </c>
      <c r="BA33" s="440">
        <f t="shared" si="14"/>
        <v>2.8867513459481292E-9</v>
      </c>
      <c r="BB33" s="546">
        <f>BA33/-'Response calculation'!G18*100</f>
        <v>7.1580667400899007E-8</v>
      </c>
      <c r="BC33" s="529"/>
      <c r="BD33" s="551">
        <v>1E-3</v>
      </c>
      <c r="BE33" s="552">
        <f t="shared" si="28"/>
        <v>5.773502691896258E-4</v>
      </c>
      <c r="BF33" s="553">
        <v>1.24E-3</v>
      </c>
      <c r="BG33" s="448">
        <f>'Temp coeff'!E19</f>
        <v>-0.09</v>
      </c>
      <c r="BH33" s="543">
        <f t="shared" si="29"/>
        <v>-0.15299999999999994</v>
      </c>
      <c r="BI33" s="442">
        <v>1.4999999999999999E-4</v>
      </c>
      <c r="BJ33" s="554">
        <f t="shared" si="15"/>
        <v>8.6602540378443864E-5</v>
      </c>
      <c r="BK33" s="543">
        <v>0.02</v>
      </c>
      <c r="BL33" s="586">
        <f t="shared" si="49"/>
        <v>6.2119528178453836E-4</v>
      </c>
      <c r="BM33" s="414">
        <f t="shared" si="30"/>
        <v>3.1059764089226918E-4</v>
      </c>
      <c r="BN33" s="414">
        <f t="shared" si="50"/>
        <v>2.5317596820000001E-5</v>
      </c>
      <c r="BO33" s="414">
        <f t="shared" si="32"/>
        <v>1.4617121339261415E-5</v>
      </c>
      <c r="BP33" s="440">
        <f t="shared" si="33"/>
        <v>3.1094140085245915E-4</v>
      </c>
      <c r="BQ33" s="563">
        <f>'Response calculation'!T18</f>
        <v>0.37435376953417465</v>
      </c>
      <c r="BR33" s="439">
        <v>1.0000000000000001E-9</v>
      </c>
      <c r="BS33" s="440">
        <f t="shared" si="34"/>
        <v>5.0000000000000003E-10</v>
      </c>
      <c r="BT33" s="440">
        <f t="shared" si="17"/>
        <v>2.8867513459481294E-10</v>
      </c>
      <c r="BU33" s="546">
        <f>BT33/'Response calculation'!R18*100</f>
        <v>3.031158905584267E-8</v>
      </c>
      <c r="BV33" s="438">
        <f t="shared" si="35"/>
        <v>1.3616580868266352</v>
      </c>
      <c r="BW33" s="588">
        <f t="shared" si="36"/>
        <v>2.7233161736532705</v>
      </c>
      <c r="BX33" s="438">
        <f t="shared" si="18"/>
        <v>1.4205859584350069</v>
      </c>
      <c r="BY33" s="529">
        <f t="shared" si="37"/>
        <v>2.8411719168700138</v>
      </c>
      <c r="BZ33" s="589">
        <f t="shared" si="38"/>
        <v>2.9</v>
      </c>
      <c r="CA33" s="565">
        <f t="shared" si="39"/>
        <v>1.7128122141101969</v>
      </c>
      <c r="CB33" s="566" t="str">
        <f t="shared" si="40"/>
        <v>OK</v>
      </c>
      <c r="CC33" s="860"/>
      <c r="CD33" s="593">
        <f t="shared" si="19"/>
        <v>1.012957834002148E-3</v>
      </c>
      <c r="CE33" s="561">
        <v>2.9</v>
      </c>
      <c r="CF33" s="529">
        <f>ABS((J33-L33)/(SQRT(SUMSQ(CD33,'Response calculation'!AB18))))</f>
        <v>0.5784505374975597</v>
      </c>
      <c r="CH33" s="721">
        <f t="shared" si="41"/>
        <v>1.5571916114226063</v>
      </c>
    </row>
    <row r="34" spans="1:86" s="468" customFormat="1" x14ac:dyDescent="0.35">
      <c r="A34" s="562">
        <v>340</v>
      </c>
      <c r="B34" s="527">
        <v>0.14779999999999999</v>
      </c>
      <c r="C34" s="414">
        <f>_xll.SRS1Splines.Functions25.Cubic_Spline('Temp coeff'!$A$6:$A$23,'Temp coeff'!$B$6:$B$23,A34)</f>
        <v>5.3000000000000001E-5</v>
      </c>
      <c r="D34" s="528">
        <f t="shared" si="47"/>
        <v>0.14781566679999997</v>
      </c>
      <c r="E34" s="591">
        <f t="shared" si="48"/>
        <v>1.0598876519075746E-2</v>
      </c>
      <c r="F34" s="414">
        <f>-'Response calculation'!Q19</f>
        <v>4.4139859697999997</v>
      </c>
      <c r="G34" s="414">
        <v>4.44887224E-2</v>
      </c>
      <c r="H34" s="529">
        <f>F34/SQRT(SUMSQ('Response calculation'!J19,'Response calculation'!P19))</f>
        <v>99.215840129855124</v>
      </c>
      <c r="I34" s="529">
        <f t="shared" si="20"/>
        <v>1.0079035753677896</v>
      </c>
      <c r="J34" s="592">
        <f t="shared" si="21"/>
        <v>3.5788897656210218E-2</v>
      </c>
      <c r="K34" s="435">
        <v>3.5340000000000003E-2</v>
      </c>
      <c r="L34" s="531">
        <f t="shared" si="22"/>
        <v>3.5285929800000004E-2</v>
      </c>
      <c r="M34" s="722">
        <f t="shared" si="23"/>
        <v>0.15299999999999719</v>
      </c>
      <c r="N34" s="532">
        <f>'Response calculation'!W19</f>
        <v>1.0688206504</v>
      </c>
      <c r="O34" s="585">
        <v>6.0864214799999997E-3</v>
      </c>
      <c r="P34" s="533">
        <f>N34/SQRT(SUMSQ('Response calculation'!S19,'Response calculation'!V19))</f>
        <v>175.60739876222686</v>
      </c>
      <c r="Q34" s="529">
        <f t="shared" si="24"/>
        <v>0.56945208860704333</v>
      </c>
      <c r="R34" s="529">
        <f t="shared" si="1"/>
        <v>0.56945208860704333</v>
      </c>
      <c r="S34" s="534">
        <v>1.63</v>
      </c>
      <c r="T34" s="535">
        <f t="shared" si="2"/>
        <v>0.81499999999999995</v>
      </c>
      <c r="U34" s="528">
        <f t="shared" si="3"/>
        <v>2.4091399999999997E-3</v>
      </c>
      <c r="V34" s="528">
        <f t="shared" si="4"/>
        <v>1.2045699999999999E-3</v>
      </c>
      <c r="W34" s="528">
        <f t="shared" si="5"/>
        <v>0.24214409780927076</v>
      </c>
      <c r="X34" s="414">
        <f t="shared" si="25"/>
        <v>2.9167951589811328E-4</v>
      </c>
      <c r="Y34" s="529">
        <f t="shared" si="6"/>
        <v>0.19734743971455571</v>
      </c>
      <c r="Z34" s="527">
        <f>'Drift is STD'!B17</f>
        <v>-0.1343454231433506</v>
      </c>
      <c r="AA34" s="447">
        <f>'Drift is STD'!C17</f>
        <v>2.8408400000000014E-2</v>
      </c>
      <c r="AB34" s="447">
        <f t="shared" si="42"/>
        <v>9.0338712000000043E-2</v>
      </c>
      <c r="AC34" s="543">
        <f t="shared" si="7"/>
        <v>0.13731616769385141</v>
      </c>
      <c r="AD34" s="447">
        <v>4.1000000000000002E-2</v>
      </c>
      <c r="AE34" s="448">
        <v>0.01</v>
      </c>
      <c r="AF34" s="547">
        <v>5.0000000000000001E-3</v>
      </c>
      <c r="AG34" s="543">
        <v>0.02</v>
      </c>
      <c r="AH34" s="544">
        <f>'Wavelength Uc'!Y18</f>
        <v>3.7258370240166136E-2</v>
      </c>
      <c r="AI34" s="542">
        <v>0.21695643531694911</v>
      </c>
      <c r="AJ34" s="448">
        <f t="shared" si="8"/>
        <v>4.9152044614853986E-2</v>
      </c>
      <c r="AK34" s="448">
        <v>0.02</v>
      </c>
      <c r="AL34" s="543">
        <f t="shared" si="9"/>
        <v>-0.05</v>
      </c>
      <c r="AM34" s="448">
        <v>0.02</v>
      </c>
      <c r="AN34" s="544">
        <f t="shared" si="44"/>
        <v>0.02</v>
      </c>
      <c r="AO34" s="586">
        <f t="shared" si="45"/>
        <v>1.3593156029609817E-4</v>
      </c>
      <c r="AP34" s="414">
        <f t="shared" si="11"/>
        <v>6.7965780148049085E-5</v>
      </c>
      <c r="AQ34" s="414">
        <f t="shared" si="46"/>
        <v>9.4279719396000002E-5</v>
      </c>
      <c r="AR34" s="414">
        <f t="shared" si="12"/>
        <v>5.4432421372402984E-5</v>
      </c>
      <c r="AS34" s="546">
        <f t="shared" si="13"/>
        <v>8.7076034404397264E-5</v>
      </c>
      <c r="AT34" s="547">
        <v>8.5999999999999993E-2</v>
      </c>
      <c r="AU34" s="550">
        <v>0</v>
      </c>
      <c r="AV34" s="550">
        <v>1.5299999999999999E-3</v>
      </c>
      <c r="AW34" s="587">
        <f>'Response calculation'!N19*100/'Response calculation'!G19</f>
        <v>0.21402825626233962</v>
      </c>
      <c r="AX34" s="550">
        <f>-'Response calculation'!K19</f>
        <v>1.0057463767884469</v>
      </c>
      <c r="AY34" s="439">
        <v>1E-8</v>
      </c>
      <c r="AZ34" s="440">
        <f t="shared" si="27"/>
        <v>5.0000000000000001E-9</v>
      </c>
      <c r="BA34" s="440">
        <f t="shared" si="14"/>
        <v>2.8867513459481292E-9</v>
      </c>
      <c r="BB34" s="546">
        <f>BA34/-'Response calculation'!G19*100</f>
        <v>6.5260127741418435E-8</v>
      </c>
      <c r="BC34" s="529"/>
      <c r="BD34" s="551">
        <v>2E-3</v>
      </c>
      <c r="BE34" s="552">
        <f t="shared" si="28"/>
        <v>1.1547005383792516E-3</v>
      </c>
      <c r="BF34" s="553">
        <v>1.24E-3</v>
      </c>
      <c r="BG34" s="448">
        <f>'Temp coeff'!E20</f>
        <v>-0.09</v>
      </c>
      <c r="BH34" s="543">
        <f t="shared" si="29"/>
        <v>-0.15299999999999994</v>
      </c>
      <c r="BI34" s="442">
        <v>1.4999999999999999E-4</v>
      </c>
      <c r="BJ34" s="554">
        <f t="shared" si="15"/>
        <v>8.6602540378443864E-5</v>
      </c>
      <c r="BK34" s="543">
        <v>0.02</v>
      </c>
      <c r="BL34" s="586">
        <f t="shared" si="49"/>
        <v>5.6136639928827485E-4</v>
      </c>
      <c r="BM34" s="414">
        <f t="shared" si="30"/>
        <v>2.8068319964413743E-4</v>
      </c>
      <c r="BN34" s="414">
        <f t="shared" si="50"/>
        <v>2.7376413008000002E-5</v>
      </c>
      <c r="BO34" s="414">
        <f t="shared" si="32"/>
        <v>1.5805779419615175E-5</v>
      </c>
      <c r="BP34" s="440">
        <f t="shared" si="33"/>
        <v>2.811278734411304E-4</v>
      </c>
      <c r="BQ34" s="563">
        <f>'Response calculation'!T19</f>
        <v>0.5767485856376805</v>
      </c>
      <c r="BR34" s="439">
        <v>9.9999999999999995E-8</v>
      </c>
      <c r="BS34" s="440">
        <f t="shared" si="34"/>
        <v>4.9999999999999998E-8</v>
      </c>
      <c r="BT34" s="440">
        <f t="shared" si="17"/>
        <v>2.8867513459481289E-8</v>
      </c>
      <c r="BU34" s="546">
        <f>BT34/'Response calculation'!R19*100</f>
        <v>2.7354821898782694E-6</v>
      </c>
      <c r="BV34" s="438">
        <f t="shared" si="35"/>
        <v>1.3421539510326461</v>
      </c>
      <c r="BW34" s="588">
        <f t="shared" si="36"/>
        <v>2.6843079020652922</v>
      </c>
      <c r="BX34" s="438">
        <f t="shared" si="18"/>
        <v>1.4689547701618677</v>
      </c>
      <c r="BY34" s="529">
        <f t="shared" si="37"/>
        <v>2.9379095403237354</v>
      </c>
      <c r="BZ34" s="589">
        <f t="shared" si="38"/>
        <v>3</v>
      </c>
      <c r="CA34" s="565">
        <f t="shared" si="39"/>
        <v>1.4254062711710485</v>
      </c>
      <c r="CB34" s="566" t="str">
        <f t="shared" si="40"/>
        <v>OK</v>
      </c>
      <c r="CC34" s="860"/>
      <c r="CD34" s="593">
        <f t="shared" si="19"/>
        <v>1.0736669296863065E-3</v>
      </c>
      <c r="CE34" s="561">
        <v>3</v>
      </c>
      <c r="CF34" s="529">
        <f>ABS((J34-L34)/(SQRT(SUMSQ(CD34,'Response calculation'!AB19))))</f>
        <v>0.46682078123072429</v>
      </c>
      <c r="CH34" s="721">
        <f t="shared" si="41"/>
        <v>1.2702253995761594</v>
      </c>
    </row>
    <row r="35" spans="1:86" s="468" customFormat="1" x14ac:dyDescent="0.35">
      <c r="A35" s="562">
        <v>350</v>
      </c>
      <c r="B35" s="527">
        <v>0.14810000000000001</v>
      </c>
      <c r="C35" s="414">
        <f>_xll.SRS1Splines.Functions25.Cubic_Spline('Temp coeff'!$A$6:$A$23,'Temp coeff'!$B$6:$B$23,A35)</f>
        <v>5.8586460217683303E-5</v>
      </c>
      <c r="D35" s="528">
        <f t="shared" si="47"/>
        <v>0.1481173533095165</v>
      </c>
      <c r="E35" s="591">
        <f t="shared" si="48"/>
        <v>1.171591925507256E-2</v>
      </c>
      <c r="F35" s="414">
        <f>-'Response calculation'!Q20</f>
        <v>4.6851362005099997</v>
      </c>
      <c r="G35" s="414">
        <v>4.8847433000000003E-2</v>
      </c>
      <c r="H35" s="529">
        <f>F35/SQRT(SUMSQ('Response calculation'!J20,'Response calculation'!P20))</f>
        <v>95.91366244799859</v>
      </c>
      <c r="I35" s="529">
        <f t="shared" si="20"/>
        <v>1.0426043323516803</v>
      </c>
      <c r="J35" s="592">
        <f t="shared" si="21"/>
        <v>3.6379979095336919E-2</v>
      </c>
      <c r="K35" s="435">
        <v>3.5982E-2</v>
      </c>
      <c r="L35" s="531">
        <f t="shared" si="22"/>
        <v>3.5933064479999999E-2</v>
      </c>
      <c r="M35" s="722">
        <f t="shared" si="23"/>
        <v>0.13600000000000373</v>
      </c>
      <c r="N35" s="532">
        <f>'Response calculation'!W20</f>
        <v>1.1508788456000001</v>
      </c>
      <c r="O35" s="585">
        <v>5.9385790500000001E-3</v>
      </c>
      <c r="P35" s="533">
        <f>N35/SQRT(SUMSQ('Response calculation'!S20,'Response calculation'!V20))</f>
        <v>193.79700608258875</v>
      </c>
      <c r="Q35" s="529">
        <f t="shared" si="24"/>
        <v>0.51600384351337136</v>
      </c>
      <c r="R35" s="529">
        <f t="shared" si="1"/>
        <v>0.51600384351337136</v>
      </c>
      <c r="S35" s="534">
        <v>1.63</v>
      </c>
      <c r="T35" s="535">
        <f t="shared" si="2"/>
        <v>0.81499999999999995</v>
      </c>
      <c r="U35" s="528">
        <f t="shared" si="3"/>
        <v>2.4140300000000002E-3</v>
      </c>
      <c r="V35" s="528">
        <f t="shared" si="4"/>
        <v>1.2070150000000001E-3</v>
      </c>
      <c r="W35" s="528">
        <f t="shared" si="5"/>
        <v>0.24564469341888531</v>
      </c>
      <c r="X35" s="414">
        <f t="shared" si="25"/>
        <v>2.9649682962699589E-4</v>
      </c>
      <c r="Y35" s="529">
        <f t="shared" si="6"/>
        <v>0.20020042513639155</v>
      </c>
      <c r="Z35" s="527">
        <f>'Drift is STD'!B18</f>
        <v>-0.16239248434237996</v>
      </c>
      <c r="AA35" s="447">
        <f>'Drift is STD'!C18</f>
        <v>2.7002500000000013E-2</v>
      </c>
      <c r="AB35" s="447">
        <f t="shared" si="42"/>
        <v>8.586795000000004E-2</v>
      </c>
      <c r="AC35" s="543">
        <f t="shared" si="7"/>
        <v>0.16462215518313481</v>
      </c>
      <c r="AD35" s="447">
        <v>4.1000000000000002E-2</v>
      </c>
      <c r="AE35" s="448">
        <v>0.01</v>
      </c>
      <c r="AF35" s="547">
        <v>5.0000000000000001E-3</v>
      </c>
      <c r="AG35" s="543">
        <v>0.02</v>
      </c>
      <c r="AH35" s="544">
        <f>'Wavelength Uc'!Y19</f>
        <v>1.6218642227621014E-2</v>
      </c>
      <c r="AI35" s="542">
        <v>0.21695643531694911</v>
      </c>
      <c r="AJ35" s="448">
        <f t="shared" si="8"/>
        <v>4.6307391297041131E-2</v>
      </c>
      <c r="AK35" s="448">
        <v>0.02</v>
      </c>
      <c r="AL35" s="543">
        <f t="shared" si="9"/>
        <v>-0.05</v>
      </c>
      <c r="AM35" s="448">
        <v>0.02</v>
      </c>
      <c r="AN35" s="544">
        <f t="shared" si="44"/>
        <v>0.02</v>
      </c>
      <c r="AO35" s="594">
        <f t="shared" ref="AO35:AO40" si="51">$AP$9*100/F35</f>
        <v>8.5376386700659434E-4</v>
      </c>
      <c r="AP35" s="414">
        <f t="shared" si="11"/>
        <v>4.2688193350329717E-4</v>
      </c>
      <c r="AQ35" s="414">
        <f>($AR$6*F35)+($AS$6*$AO$9)</f>
        <v>1.1027704300764999E-4</v>
      </c>
      <c r="AR35" s="414">
        <f t="shared" si="12"/>
        <v>6.366848046590266E-5</v>
      </c>
      <c r="AS35" s="546">
        <f t="shared" si="13"/>
        <v>4.3160382361182861E-4</v>
      </c>
      <c r="AT35" s="547">
        <v>8.5999999999999993E-2</v>
      </c>
      <c r="AU35" s="550">
        <v>0</v>
      </c>
      <c r="AV35" s="550">
        <v>1.5299999999999999E-3</v>
      </c>
      <c r="AW35" s="587">
        <f>'Response calculation'!N20*100/'Response calculation'!G20</f>
        <v>0.20166791650237076</v>
      </c>
      <c r="AX35" s="550">
        <f>-'Response calculation'!K20</f>
        <v>1.0405017338513542</v>
      </c>
      <c r="AY35" s="439">
        <v>1E-8</v>
      </c>
      <c r="AZ35" s="440">
        <f t="shared" si="27"/>
        <v>5.0000000000000001E-9</v>
      </c>
      <c r="BA35" s="440">
        <f t="shared" si="14"/>
        <v>2.8867513459481292E-9</v>
      </c>
      <c r="BB35" s="546">
        <f>BA35/-'Response calculation'!G20*100</f>
        <v>6.1490841917051387E-8</v>
      </c>
      <c r="BC35" s="529"/>
      <c r="BD35" s="551">
        <v>5.0000000000000001E-3</v>
      </c>
      <c r="BE35" s="552">
        <f t="shared" si="28"/>
        <v>2.886751345948129E-3</v>
      </c>
      <c r="BF35" s="553">
        <v>1.24E-3</v>
      </c>
      <c r="BG35" s="448">
        <f>'Temp coeff'!E21</f>
        <v>-0.08</v>
      </c>
      <c r="BH35" s="543">
        <f t="shared" si="29"/>
        <v>-0.13599999999999995</v>
      </c>
      <c r="BI35" s="442">
        <v>1.2999999999999999E-4</v>
      </c>
      <c r="BJ35" s="554">
        <f t="shared" si="15"/>
        <v>7.5055534994651342E-5</v>
      </c>
      <c r="BK35" s="543">
        <v>0.02</v>
      </c>
      <c r="BL35" s="586">
        <f t="shared" si="49"/>
        <v>5.2134071478844113E-4</v>
      </c>
      <c r="BM35" s="414">
        <f t="shared" si="30"/>
        <v>2.6067035739422056E-4</v>
      </c>
      <c r="BN35" s="414">
        <f t="shared" si="50"/>
        <v>2.9017576912000004E-5</v>
      </c>
      <c r="BO35" s="414">
        <f t="shared" si="32"/>
        <v>1.6753305841373874E-5</v>
      </c>
      <c r="BP35" s="440">
        <f t="shared" si="33"/>
        <v>2.612081707769596E-4</v>
      </c>
      <c r="BQ35" s="563">
        <f>'Response calculation'!T20</f>
        <v>0.52213873037439318</v>
      </c>
      <c r="BR35" s="439">
        <v>1E-8</v>
      </c>
      <c r="BS35" s="440">
        <f t="shared" si="34"/>
        <v>5.0000000000000001E-9</v>
      </c>
      <c r="BT35" s="440">
        <f t="shared" si="17"/>
        <v>2.8867513459481292E-9</v>
      </c>
      <c r="BU35" s="546">
        <f>BT35/'Response calculation'!R20*100</f>
        <v>2.5381234635243708E-7</v>
      </c>
      <c r="BV35" s="438">
        <f t="shared" si="35"/>
        <v>1.3691153811984698</v>
      </c>
      <c r="BW35" s="588">
        <f t="shared" si="36"/>
        <v>2.7382307623969395</v>
      </c>
      <c r="BX35" s="438">
        <f t="shared" si="18"/>
        <v>1.4717376551504191</v>
      </c>
      <c r="BY35" s="529">
        <f t="shared" si="37"/>
        <v>2.9434753103008382</v>
      </c>
      <c r="BZ35" s="589">
        <f t="shared" si="38"/>
        <v>3</v>
      </c>
      <c r="CA35" s="565">
        <f t="shared" si="39"/>
        <v>1.2437420014250897</v>
      </c>
      <c r="CB35" s="566" t="str">
        <f t="shared" si="40"/>
        <v>OK</v>
      </c>
      <c r="CC35" s="860"/>
      <c r="CD35" s="593">
        <f t="shared" si="19"/>
        <v>1.0913993728601074E-3</v>
      </c>
      <c r="CE35" s="561">
        <v>3</v>
      </c>
      <c r="CF35" s="529">
        <f>ABS((J35-L35)/(SQRT(SUMSQ(CD35,'Response calculation'!AB20))))</f>
        <v>0.40804055136703754</v>
      </c>
      <c r="CH35" s="721">
        <f t="shared" si="41"/>
        <v>1.1060505123031477</v>
      </c>
    </row>
    <row r="36" spans="1:86" s="468" customFormat="1" x14ac:dyDescent="0.35">
      <c r="A36" s="562">
        <v>360</v>
      </c>
      <c r="B36" s="527">
        <v>0.1447</v>
      </c>
      <c r="C36" s="414">
        <f>_xll.SRS1Splines.Functions25.Cubic_Spline('Temp coeff'!$A$6:$A$23,'Temp coeff'!$B$6:$B$23,A36)</f>
        <v>3.6000000000000001E-5</v>
      </c>
      <c r="D36" s="528">
        <f t="shared" si="47"/>
        <v>0.14471041840000001</v>
      </c>
      <c r="E36" s="591">
        <f t="shared" si="48"/>
        <v>7.1994816373341149E-3</v>
      </c>
      <c r="F36" s="414">
        <f>-'Response calculation'!Q21</f>
        <v>4.7681285584599999</v>
      </c>
      <c r="G36" s="414">
        <v>4.9975203500000002E-2</v>
      </c>
      <c r="H36" s="529">
        <f>F36/SQRT(SUMSQ('Response calculation'!J21,'Response calculation'!P21))</f>
        <v>95.409887791846742</v>
      </c>
      <c r="I36" s="529">
        <f t="shared" si="20"/>
        <v>1.0481093974050928</v>
      </c>
      <c r="J36" s="592">
        <f t="shared" si="21"/>
        <v>3.6439405887486523E-2</v>
      </c>
      <c r="K36" s="435">
        <v>3.585E-2</v>
      </c>
      <c r="L36" s="531">
        <f t="shared" si="22"/>
        <v>3.581038575E-2</v>
      </c>
      <c r="M36" s="722">
        <f t="shared" si="23"/>
        <v>0.1105000000000005</v>
      </c>
      <c r="N36" s="532">
        <f>'Response calculation'!W21</f>
        <v>1.2007447951999999</v>
      </c>
      <c r="O36" s="585">
        <v>5.8361452499999999E-3</v>
      </c>
      <c r="P36" s="533">
        <f>N36/SQRT(SUMSQ('Response calculation'!S21,'Response calculation'!V21))</f>
        <v>205.74278677158244</v>
      </c>
      <c r="Q36" s="529">
        <f t="shared" si="24"/>
        <v>0.48604377129887388</v>
      </c>
      <c r="R36" s="529">
        <f t="shared" si="1"/>
        <v>0.48604377129887394</v>
      </c>
      <c r="S36" s="534">
        <v>1.63</v>
      </c>
      <c r="T36" s="535">
        <f t="shared" si="2"/>
        <v>0.81499999999999995</v>
      </c>
      <c r="U36" s="528">
        <f t="shared" si="3"/>
        <v>2.3586099999999997E-3</v>
      </c>
      <c r="V36" s="528">
        <f t="shared" si="4"/>
        <v>1.1793049999999998E-3</v>
      </c>
      <c r="W36" s="528">
        <f t="shared" si="5"/>
        <v>0.25182726943667261</v>
      </c>
      <c r="X36" s="414">
        <f t="shared" si="25"/>
        <v>2.9698115798301516E-4</v>
      </c>
      <c r="Y36" s="529">
        <f t="shared" si="6"/>
        <v>0.20523922459088817</v>
      </c>
      <c r="Z36" s="527">
        <f>'Drift is STD'!B19</f>
        <v>-0.18131934731934732</v>
      </c>
      <c r="AA36" s="447">
        <f>'Drift is STD'!C19</f>
        <v>2.5634400000000002E-2</v>
      </c>
      <c r="AB36" s="447">
        <f t="shared" si="42"/>
        <v>8.1517392000000008E-2</v>
      </c>
      <c r="AC36" s="543">
        <f t="shared" si="7"/>
        <v>0.18312244039350858</v>
      </c>
      <c r="AD36" s="447">
        <v>4.1000000000000002E-2</v>
      </c>
      <c r="AE36" s="448">
        <v>0.01</v>
      </c>
      <c r="AF36" s="547">
        <v>5.0000000000000001E-3</v>
      </c>
      <c r="AG36" s="543">
        <v>0.02</v>
      </c>
      <c r="AH36" s="544">
        <f>'Wavelength Uc'!Y20</f>
        <v>9.0396589540210404E-2</v>
      </c>
      <c r="AI36" s="542">
        <v>0.21695643531694911</v>
      </c>
      <c r="AJ36" s="448">
        <f t="shared" si="8"/>
        <v>4.5501381235203364E-2</v>
      </c>
      <c r="AK36" s="448">
        <v>0.02</v>
      </c>
      <c r="AL36" s="543">
        <f t="shared" si="9"/>
        <v>-0.05</v>
      </c>
      <c r="AM36" s="448">
        <v>0.02</v>
      </c>
      <c r="AN36" s="544">
        <f t="shared" si="44"/>
        <v>0.02</v>
      </c>
      <c r="AO36" s="594">
        <f t="shared" si="51"/>
        <v>8.3890355533784342E-4</v>
      </c>
      <c r="AP36" s="414">
        <f t="shared" si="11"/>
        <v>4.1945177766892171E-4</v>
      </c>
      <c r="AQ36" s="414">
        <f t="shared" ref="AQ36:AQ40" si="52">($AR$6*F36)+($AS$6*$AO$9)</f>
        <v>1.1152192837689999E-4</v>
      </c>
      <c r="AR36" s="414">
        <f t="shared" si="12"/>
        <v>6.4387215368949378E-5</v>
      </c>
      <c r="AS36" s="546">
        <f t="shared" si="13"/>
        <v>4.2436482805787053E-4</v>
      </c>
      <c r="AT36" s="547">
        <v>8.5999999999999993E-2</v>
      </c>
      <c r="AU36" s="550">
        <v>0</v>
      </c>
      <c r="AV36" s="550">
        <v>1.5299999999999999E-3</v>
      </c>
      <c r="AW36" s="587">
        <f>'Response calculation'!N21*100/'Response calculation'!G21</f>
        <v>0.19815472786804045</v>
      </c>
      <c r="AX36" s="550">
        <f>-'Response calculation'!K21</f>
        <v>1.046032519047934</v>
      </c>
      <c r="AY36" s="439">
        <v>1E-8</v>
      </c>
      <c r="AZ36" s="440">
        <f t="shared" si="27"/>
        <v>5.0000000000000001E-9</v>
      </c>
      <c r="BA36" s="440">
        <f t="shared" si="14"/>
        <v>2.8867513459481292E-9</v>
      </c>
      <c r="BB36" s="546">
        <f>BA36/-'Response calculation'!G21*100</f>
        <v>6.0422681065563545E-8</v>
      </c>
      <c r="BC36" s="529"/>
      <c r="BD36" s="551">
        <v>1.2999999999999999E-2</v>
      </c>
      <c r="BE36" s="552">
        <f t="shared" si="28"/>
        <v>7.5055534994651349E-3</v>
      </c>
      <c r="BF36" s="553">
        <v>1.24E-3</v>
      </c>
      <c r="BG36" s="448">
        <f>'Temp coeff'!E22</f>
        <v>-6.5000000000000002E-2</v>
      </c>
      <c r="BH36" s="543">
        <f t="shared" si="29"/>
        <v>-0.11049999999999996</v>
      </c>
      <c r="BI36" s="442">
        <v>1E-4</v>
      </c>
      <c r="BJ36" s="554">
        <f t="shared" si="15"/>
        <v>5.7735026918962585E-5</v>
      </c>
      <c r="BK36" s="543">
        <v>0.02</v>
      </c>
      <c r="BL36" s="586">
        <f t="shared" si="49"/>
        <v>4.996898611582673E-4</v>
      </c>
      <c r="BM36" s="414">
        <f t="shared" si="30"/>
        <v>2.4984493057913365E-4</v>
      </c>
      <c r="BN36" s="414">
        <f t="shared" si="50"/>
        <v>3.0014895903999998E-5</v>
      </c>
      <c r="BO36" s="414">
        <f t="shared" si="32"/>
        <v>1.7329108229872997E-5</v>
      </c>
      <c r="BP36" s="440">
        <f t="shared" si="33"/>
        <v>2.504451782888518E-4</v>
      </c>
      <c r="BQ36" s="563">
        <f>'Response calculation'!T21</f>
        <v>0.491580135077401</v>
      </c>
      <c r="BR36" s="439">
        <v>1E-8</v>
      </c>
      <c r="BS36" s="440">
        <f t="shared" si="34"/>
        <v>5.0000000000000001E-9</v>
      </c>
      <c r="BT36" s="440">
        <f t="shared" si="17"/>
        <v>2.8867513459481292E-9</v>
      </c>
      <c r="BU36" s="546">
        <f>BT36/'Response calculation'!R21*100</f>
        <v>2.4315186750639055E-7</v>
      </c>
      <c r="BV36" s="438">
        <f t="shared" si="35"/>
        <v>1.3780255129965291</v>
      </c>
      <c r="BW36" s="588">
        <f t="shared" si="36"/>
        <v>2.7560510259930582</v>
      </c>
      <c r="BX36" s="438">
        <f t="shared" si="18"/>
        <v>1.4674036699768662</v>
      </c>
      <c r="BY36" s="529">
        <f t="shared" si="37"/>
        <v>2.9348073399537324</v>
      </c>
      <c r="BZ36" s="589">
        <f t="shared" si="38"/>
        <v>3</v>
      </c>
      <c r="CA36" s="565">
        <f t="shared" si="39"/>
        <v>1.7565299125171339</v>
      </c>
      <c r="CB36" s="566" t="str">
        <f t="shared" si="40"/>
        <v>OK</v>
      </c>
      <c r="CC36" s="860"/>
      <c r="CD36" s="593">
        <f t="shared" si="19"/>
        <v>1.0931821766245956E-3</v>
      </c>
      <c r="CE36" s="561">
        <v>2.9</v>
      </c>
      <c r="CF36" s="529">
        <f>ABS((J36-L36)/(SQRT(SUMSQ(CD36,'Response calculation'!AB21))))</f>
        <v>0.57301040395548131</v>
      </c>
      <c r="CH36" s="721">
        <f t="shared" si="41"/>
        <v>1.644088946963802</v>
      </c>
    </row>
    <row r="37" spans="1:86" s="468" customFormat="1" x14ac:dyDescent="0.35">
      <c r="A37" s="562">
        <v>370</v>
      </c>
      <c r="B37" s="527">
        <v>0.1449</v>
      </c>
      <c r="C37" s="414">
        <f>_xll.SRS1Splines.Functions25.Cubic_Spline('Temp coeff'!$A$6:$A$23,'Temp coeff'!$B$6:$B$23,A37)</f>
        <v>-1.10154426295468E-5</v>
      </c>
      <c r="D37" s="528">
        <f t="shared" si="47"/>
        <v>0.14489680772472596</v>
      </c>
      <c r="E37" s="591">
        <f t="shared" si="48"/>
        <v>2.2031370629665096E-3</v>
      </c>
      <c r="F37" s="414">
        <f>-'Response calculation'!Q22</f>
        <v>4.9339207912100003</v>
      </c>
      <c r="G37" s="414">
        <v>5.3121661399999999E-2</v>
      </c>
      <c r="H37" s="529">
        <f>F37/SQRT(SUMSQ('Response calculation'!J22,'Response calculation'!P22))</f>
        <v>92.879640075134802</v>
      </c>
      <c r="I37" s="529">
        <f t="shared" si="20"/>
        <v>1.0766622256406808</v>
      </c>
      <c r="J37" s="592">
        <f t="shared" si="21"/>
        <v>4.2312001807285289E-2</v>
      </c>
      <c r="K37" s="435">
        <v>4.1169999999999998E-2</v>
      </c>
      <c r="L37" s="531">
        <f t="shared" si="22"/>
        <v>4.1065016499999996E-2</v>
      </c>
      <c r="M37" s="722">
        <f t="shared" si="23"/>
        <v>0.2550000000000065</v>
      </c>
      <c r="N37" s="532">
        <f>'Response calculation'!W22</f>
        <v>1.4407457932000001</v>
      </c>
      <c r="O37" s="585">
        <v>9.0547845199999994E-3</v>
      </c>
      <c r="P37" s="533">
        <f>N37/SQRT(SUMSQ('Response calculation'!S22,'Response calculation'!V22))</f>
        <v>159.11430991345696</v>
      </c>
      <c r="Q37" s="529">
        <f t="shared" si="24"/>
        <v>0.62847898504157473</v>
      </c>
      <c r="R37" s="529">
        <f t="shared" si="1"/>
        <v>0.62847898504157473</v>
      </c>
      <c r="S37" s="534">
        <v>1.33</v>
      </c>
      <c r="T37" s="535">
        <f t="shared" si="2"/>
        <v>0.66500000000000004</v>
      </c>
      <c r="U37" s="528">
        <f t="shared" si="3"/>
        <v>1.92717E-3</v>
      </c>
      <c r="V37" s="528">
        <f t="shared" si="4"/>
        <v>9.6358499999999998E-4</v>
      </c>
      <c r="W37" s="528">
        <f t="shared" si="5"/>
        <v>0.29200829404613726</v>
      </c>
      <c r="X37" s="414">
        <f t="shared" si="25"/>
        <v>2.8137481201844715E-4</v>
      </c>
      <c r="Y37" s="529">
        <f t="shared" si="6"/>
        <v>0.19418551554068125</v>
      </c>
      <c r="Z37" s="527">
        <f>'Drift is STD'!B20</f>
        <v>-0.18131934731934732</v>
      </c>
      <c r="AA37" s="447">
        <f>'Drift is STD'!C20</f>
        <v>2.4304100000000009E-2</v>
      </c>
      <c r="AB37" s="447">
        <f t="shared" si="42"/>
        <v>7.728703800000003E-2</v>
      </c>
      <c r="AC37" s="543">
        <f t="shared" si="7"/>
        <v>0.18294096039193655</v>
      </c>
      <c r="AD37" s="447">
        <v>4.1000000000000002E-2</v>
      </c>
      <c r="AE37" s="448">
        <v>0.01</v>
      </c>
      <c r="AF37" s="547">
        <v>5.0000000000000001E-3</v>
      </c>
      <c r="AG37" s="543">
        <v>0.02</v>
      </c>
      <c r="AH37" s="544">
        <f>'Wavelength Uc'!Y21</f>
        <v>0.46637634273336609</v>
      </c>
      <c r="AI37" s="542">
        <v>0.21695643531694911</v>
      </c>
      <c r="AJ37" s="448">
        <f t="shared" si="8"/>
        <v>4.3972419602573809E-2</v>
      </c>
      <c r="AK37" s="448">
        <v>0.02</v>
      </c>
      <c r="AL37" s="543">
        <f t="shared" si="9"/>
        <v>-0.05</v>
      </c>
      <c r="AM37" s="448">
        <v>0.02</v>
      </c>
      <c r="AN37" s="544">
        <f t="shared" si="44"/>
        <v>0.02</v>
      </c>
      <c r="AO37" s="594">
        <f t="shared" si="51"/>
        <v>8.1071427152340557E-4</v>
      </c>
      <c r="AP37" s="414">
        <f t="shared" si="11"/>
        <v>4.0535713576170278E-4</v>
      </c>
      <c r="AQ37" s="414">
        <f t="shared" si="52"/>
        <v>1.1400881186815E-4</v>
      </c>
      <c r="AR37" s="414">
        <f t="shared" si="12"/>
        <v>6.5823018222065807E-5</v>
      </c>
      <c r="AS37" s="546">
        <f t="shared" si="13"/>
        <v>4.1066662542845378E-4</v>
      </c>
      <c r="AT37" s="547">
        <v>8.5999999999999993E-2</v>
      </c>
      <c r="AU37" s="550">
        <v>0</v>
      </c>
      <c r="AV37" s="550">
        <v>1.5299999999999999E-3</v>
      </c>
      <c r="AW37" s="587">
        <f>'Response calculation'!N22*100/'Response calculation'!G22</f>
        <v>0.19148792540971271</v>
      </c>
      <c r="AX37" s="550">
        <f>-'Response calculation'!K22</f>
        <v>1.0746005474408782</v>
      </c>
      <c r="AY37" s="439">
        <v>1E-8</v>
      </c>
      <c r="AZ37" s="440">
        <f t="shared" si="27"/>
        <v>5.0000000000000001E-9</v>
      </c>
      <c r="BA37" s="440">
        <f t="shared" si="14"/>
        <v>2.8867513459481292E-9</v>
      </c>
      <c r="BB37" s="546">
        <f>BA37/-'Response calculation'!G22*100</f>
        <v>5.8396226603740059E-8</v>
      </c>
      <c r="BC37" s="529"/>
      <c r="BD37" s="551">
        <v>1.2999999999999999E-2</v>
      </c>
      <c r="BE37" s="552">
        <f t="shared" si="28"/>
        <v>7.5055534994651349E-3</v>
      </c>
      <c r="BF37" s="553">
        <v>1.24E-3</v>
      </c>
      <c r="BG37" s="448">
        <f>'Temp coeff'!E23</f>
        <v>-0.15</v>
      </c>
      <c r="BH37" s="543">
        <f t="shared" si="29"/>
        <v>-0.25499999999999989</v>
      </c>
      <c r="BI37" s="442">
        <v>2.4000000000000001E-4</v>
      </c>
      <c r="BJ37" s="554">
        <f t="shared" si="15"/>
        <v>1.3856406460551019E-4</v>
      </c>
      <c r="BK37" s="543">
        <v>0.02</v>
      </c>
      <c r="BL37" s="586">
        <f t="shared" si="49"/>
        <v>4.1645098172895362E-4</v>
      </c>
      <c r="BM37" s="414">
        <f t="shared" si="30"/>
        <v>2.0822549086447681E-4</v>
      </c>
      <c r="BN37" s="414">
        <f t="shared" si="50"/>
        <v>3.4814915864000005E-5</v>
      </c>
      <c r="BO37" s="414">
        <f t="shared" si="32"/>
        <v>2.0100401045894577E-5</v>
      </c>
      <c r="BP37" s="440">
        <f t="shared" si="33"/>
        <v>2.0919340612925188E-4</v>
      </c>
      <c r="BQ37" s="563">
        <f>'Response calculation'!T22</f>
        <v>0.63443401624814721</v>
      </c>
      <c r="BR37" s="439">
        <v>1E-8</v>
      </c>
      <c r="BS37" s="440">
        <f t="shared" si="34"/>
        <v>5.0000000000000001E-9</v>
      </c>
      <c r="BT37" s="440">
        <f t="shared" si="17"/>
        <v>2.8867513459481292E-9</v>
      </c>
      <c r="BU37" s="546">
        <f>BT37/'Response calculation'!R22*100</f>
        <v>2.0226359294076455E-7</v>
      </c>
      <c r="BV37" s="438">
        <f t="shared" si="35"/>
        <v>1.3943485412768728</v>
      </c>
      <c r="BW37" s="588">
        <f t="shared" si="36"/>
        <v>2.7886970825537456</v>
      </c>
      <c r="BX37" s="438">
        <f t="shared" si="18"/>
        <v>1.553125014101876</v>
      </c>
      <c r="BY37" s="529">
        <f t="shared" si="37"/>
        <v>3.106250028203752</v>
      </c>
      <c r="BZ37" s="589">
        <f t="shared" si="38"/>
        <v>3.2</v>
      </c>
      <c r="CA37" s="565">
        <f t="shared" si="39"/>
        <v>3.0366122153763011</v>
      </c>
      <c r="CB37" s="566" t="str">
        <f t="shared" si="40"/>
        <v>OK</v>
      </c>
      <c r="CC37" s="860"/>
      <c r="CD37" s="593">
        <f t="shared" si="19"/>
        <v>1.3539840578331293E-3</v>
      </c>
      <c r="CE37" s="561">
        <v>3.1</v>
      </c>
      <c r="CF37" s="590">
        <f>ABS((J37-L37)/(SQRT(SUMSQ(CD37,'Response calculation'!AB22))))</f>
        <v>0.90445050365433699</v>
      </c>
      <c r="CH37" s="721">
        <f t="shared" si="41"/>
        <v>2.7738688542270848</v>
      </c>
    </row>
    <row r="38" spans="1:86" s="468" customFormat="1" x14ac:dyDescent="0.35">
      <c r="A38" s="562">
        <v>380</v>
      </c>
      <c r="B38" s="527">
        <v>0.15670000000000001</v>
      </c>
      <c r="C38" s="414">
        <f>_xll.SRS1Splines.Functions25.Cubic_Spline('Temp coeff'!$A$6:$A$23,'Temp coeff'!$B$6:$B$23,A38)</f>
        <v>-7.2000000000000002E-5</v>
      </c>
      <c r="D38" s="528">
        <f t="shared" si="47"/>
        <v>0.15667743519999999</v>
      </c>
      <c r="E38" s="591">
        <f t="shared" si="48"/>
        <v>1.4402073898649941E-2</v>
      </c>
      <c r="F38" s="414">
        <f>-'Response calculation'!Q23</f>
        <v>5.4700131829899998</v>
      </c>
      <c r="G38" s="414">
        <v>5.72370824E-2</v>
      </c>
      <c r="H38" s="529">
        <f>F38/SQRT(SUMSQ('Response calculation'!J23,'Response calculation'!P23))</f>
        <v>95.567645192416293</v>
      </c>
      <c r="I38" s="529">
        <f t="shared" si="20"/>
        <v>1.0463792405751924</v>
      </c>
      <c r="J38" s="592">
        <f t="shared" si="21"/>
        <v>6.1620711042923673E-2</v>
      </c>
      <c r="K38" s="435">
        <v>6.0400000000000002E-2</v>
      </c>
      <c r="L38" s="531">
        <f t="shared" si="22"/>
        <v>6.0194640000000001E-2</v>
      </c>
      <c r="M38" s="722">
        <f>ABS(L38-K38)/K38*100</f>
        <v>0.34000000000000269</v>
      </c>
      <c r="N38" s="532">
        <f>'Response calculation'!W23</f>
        <v>2.1510280902999996</v>
      </c>
      <c r="O38" s="585">
        <v>1.4545376699999999E-2</v>
      </c>
      <c r="P38" s="533">
        <f>N38/SQRT(SUMSQ('Response calculation'!S23,'Response calculation'!V23))</f>
        <v>147.88397261088778</v>
      </c>
      <c r="Q38" s="529">
        <f t="shared" si="24"/>
        <v>0.67620579995588792</v>
      </c>
      <c r="R38" s="529">
        <f t="shared" si="1"/>
        <v>0.67620579995588803</v>
      </c>
      <c r="S38" s="534">
        <v>0.79</v>
      </c>
      <c r="T38" s="535">
        <f t="shared" si="2"/>
        <v>0.39500000000000002</v>
      </c>
      <c r="U38" s="528">
        <f t="shared" si="3"/>
        <v>1.2379300000000002E-3</v>
      </c>
      <c r="V38" s="528">
        <f t="shared" si="4"/>
        <v>6.1896500000000008E-4</v>
      </c>
      <c r="W38" s="528">
        <f t="shared" si="5"/>
        <v>0.39324001941878539</v>
      </c>
      <c r="X38" s="414">
        <f t="shared" si="25"/>
        <v>2.4340180861954854E-4</v>
      </c>
      <c r="Y38" s="529">
        <f t="shared" si="6"/>
        <v>0.15532980767042026</v>
      </c>
      <c r="Z38" s="527">
        <f>'Drift is STD'!B21</f>
        <v>-0.16239248434237996</v>
      </c>
      <c r="AA38" s="447">
        <f>'Drift is STD'!C21</f>
        <v>2.3011600000000007E-2</v>
      </c>
      <c r="AB38" s="447">
        <f t="shared" si="42"/>
        <v>7.3176888000000023E-2</v>
      </c>
      <c r="AC38" s="543">
        <f t="shared" si="7"/>
        <v>0.16401479416641085</v>
      </c>
      <c r="AD38" s="447">
        <v>4.1000000000000002E-2</v>
      </c>
      <c r="AE38" s="448">
        <v>0.01</v>
      </c>
      <c r="AF38" s="547">
        <v>5.0000000000000001E-3</v>
      </c>
      <c r="AG38" s="543">
        <v>0.02</v>
      </c>
      <c r="AH38" s="544">
        <f>'Wavelength Uc'!Y22</f>
        <v>0.52947915482249996</v>
      </c>
      <c r="AI38" s="542">
        <v>0.21695643531694911</v>
      </c>
      <c r="AJ38" s="448">
        <f t="shared" si="8"/>
        <v>3.9662872475630329E-2</v>
      </c>
      <c r="AK38" s="448">
        <v>0.02</v>
      </c>
      <c r="AL38" s="543">
        <f t="shared" si="9"/>
        <v>-0.05</v>
      </c>
      <c r="AM38" s="448">
        <v>0.02</v>
      </c>
      <c r="AN38" s="544">
        <f t="shared" si="44"/>
        <v>0.02</v>
      </c>
      <c r="AO38" s="594">
        <f t="shared" si="51"/>
        <v>7.3125966358522263E-4</v>
      </c>
      <c r="AP38" s="414">
        <f t="shared" si="11"/>
        <v>3.6562983179261132E-4</v>
      </c>
      <c r="AQ38" s="414">
        <f t="shared" si="52"/>
        <v>1.2205019774484999E-4</v>
      </c>
      <c r="AR38" s="414">
        <f t="shared" si="12"/>
        <v>7.0465714522636205E-5</v>
      </c>
      <c r="AS38" s="546">
        <f t="shared" si="13"/>
        <v>3.7235814858799438E-4</v>
      </c>
      <c r="AT38" s="547">
        <v>8.5999999999999993E-2</v>
      </c>
      <c r="AU38" s="550">
        <v>0</v>
      </c>
      <c r="AV38" s="550">
        <v>1.5299999999999999E-3</v>
      </c>
      <c r="AW38" s="587">
        <f>'Response calculation'!N23*100/'Response calculation'!G23</f>
        <v>0.17274830691062301</v>
      </c>
      <c r="AX38" s="550">
        <f>-'Response calculation'!K23</f>
        <v>1.0445716380887453</v>
      </c>
      <c r="AY38" s="439">
        <v>1E-8</v>
      </c>
      <c r="AZ38" s="440">
        <f t="shared" si="27"/>
        <v>5.0000000000000001E-9</v>
      </c>
      <c r="BA38" s="440">
        <f t="shared" si="14"/>
        <v>2.8867513459481292E-9</v>
      </c>
      <c r="BB38" s="546">
        <f>BA38/-'Response calculation'!G23*100</f>
        <v>5.26829540527371E-8</v>
      </c>
      <c r="BC38" s="529"/>
      <c r="BD38" s="551">
        <v>4.0000000000000001E-3</v>
      </c>
      <c r="BE38" s="552">
        <f t="shared" si="28"/>
        <v>2.3094010767585032E-3</v>
      </c>
      <c r="BF38" s="553">
        <v>1.24E-3</v>
      </c>
      <c r="BG38" s="448">
        <f>'Temp coeff'!E24</f>
        <v>-0.2</v>
      </c>
      <c r="BH38" s="543">
        <f t="shared" si="29"/>
        <v>-0.33999999999999986</v>
      </c>
      <c r="BI38" s="442">
        <v>3.2000000000000003E-4</v>
      </c>
      <c r="BJ38" s="554">
        <f>BI38/$BJ$5</f>
        <v>1.8475208614068028E-4</v>
      </c>
      <c r="BK38" s="543">
        <v>0.02</v>
      </c>
      <c r="BL38" s="586">
        <f t="shared" si="49"/>
        <v>2.7893638521304443E-4</v>
      </c>
      <c r="BM38" s="414">
        <f t="shared" si="30"/>
        <v>1.3946819260652222E-4</v>
      </c>
      <c r="BN38" s="414">
        <f t="shared" si="50"/>
        <v>4.9020561805999998E-5</v>
      </c>
      <c r="BO38" s="414">
        <f t="shared" si="32"/>
        <v>2.8302034554520789E-5</v>
      </c>
      <c r="BP38" s="440">
        <f t="shared" si="33"/>
        <v>1.423108636361092E-4</v>
      </c>
      <c r="BQ38" s="563">
        <f>'Response calculation'!T23</f>
        <v>0.68048392836131211</v>
      </c>
      <c r="BR38" s="439">
        <v>1E-8</v>
      </c>
      <c r="BS38" s="440">
        <f t="shared" si="34"/>
        <v>5.0000000000000001E-9</v>
      </c>
      <c r="BT38" s="440">
        <f t="shared" si="17"/>
        <v>2.8867513459481292E-9</v>
      </c>
      <c r="BU38" s="546">
        <f>BT38/'Response calculation'!R23*100</f>
        <v>1.3505239063991295E-7</v>
      </c>
      <c r="BV38" s="438">
        <f t="shared" si="35"/>
        <v>1.2821156293848543</v>
      </c>
      <c r="BW38" s="588">
        <f t="shared" si="36"/>
        <v>2.5642312587697087</v>
      </c>
      <c r="BX38" s="438">
        <f t="shared" si="18"/>
        <v>1.4909345355145649</v>
      </c>
      <c r="BY38" s="529">
        <f t="shared" si="37"/>
        <v>2.9818690710291298</v>
      </c>
      <c r="BZ38" s="589">
        <f t="shared" si="38"/>
        <v>3</v>
      </c>
      <c r="CA38" s="565">
        <f t="shared" si="39"/>
        <v>2.369099712073488</v>
      </c>
      <c r="CB38" s="566" t="str">
        <f t="shared" si="40"/>
        <v>OK</v>
      </c>
      <c r="CC38" s="860"/>
      <c r="CD38" s="593">
        <f t="shared" si="19"/>
        <v>1.8486213312877101E-3</v>
      </c>
      <c r="CE38" s="561">
        <v>3</v>
      </c>
      <c r="CF38" s="590">
        <f>ABS((J38-L38)/(SQRT(SUMSQ(CD38,'Response calculation'!AB23))))</f>
        <v>0.75225339995314966</v>
      </c>
      <c r="CH38" s="721">
        <f t="shared" si="41"/>
        <v>2.0210447730524352</v>
      </c>
    </row>
    <row r="39" spans="1:86" s="468" customFormat="1" x14ac:dyDescent="0.35">
      <c r="A39" s="562">
        <v>390</v>
      </c>
      <c r="B39" s="527">
        <v>0.1691</v>
      </c>
      <c r="C39" s="414">
        <f>_xll.SRS1Splines.Functions25.Cubic_Spline('Temp coeff'!$A$6:$A$23,'Temp coeff'!$B$6:$B$23,A39)</f>
        <v>-1.3389968969949599E-4</v>
      </c>
      <c r="D39" s="528">
        <f t="shared" si="47"/>
        <v>0.16905471512494363</v>
      </c>
      <c r="E39" s="591">
        <f t="shared" si="48"/>
        <v>2.6787111511736572E-2</v>
      </c>
      <c r="F39" s="414">
        <f>-'Response calculation'!Q24</f>
        <v>6.03138656401</v>
      </c>
      <c r="G39" s="414">
        <v>6.8256838700000003E-2</v>
      </c>
      <c r="H39" s="529">
        <f>F39/SQRT(SUMSQ('Response calculation'!J24,'Response calculation'!P24))</f>
        <v>88.36311025620337</v>
      </c>
      <c r="I39" s="529">
        <f t="shared" si="20"/>
        <v>1.1316939807806243</v>
      </c>
      <c r="J39" s="592">
        <f t="shared" si="21"/>
        <v>8.1511045267942603E-2</v>
      </c>
      <c r="K39" s="435">
        <v>8.0509999999999998E-2</v>
      </c>
      <c r="L39" s="531">
        <f t="shared" si="22"/>
        <v>8.0304699499999993E-2</v>
      </c>
      <c r="M39" s="722">
        <f t="shared" si="23"/>
        <v>0.2550000000000065</v>
      </c>
      <c r="N39" s="532">
        <f>'Response calculation'!W24</f>
        <v>2.9073011427999997</v>
      </c>
      <c r="O39" s="585">
        <v>1.2979930900000001E-2</v>
      </c>
      <c r="P39" s="533">
        <f>N39/SQRT(SUMSQ('Response calculation'!S24,'Response calculation'!V24))</f>
        <v>223.98433095833971</v>
      </c>
      <c r="Q39" s="529">
        <f t="shared" si="24"/>
        <v>0.44645980177336447</v>
      </c>
      <c r="R39" s="529">
        <f t="shared" si="1"/>
        <v>0.44645980177336442</v>
      </c>
      <c r="S39" s="534">
        <v>0.65</v>
      </c>
      <c r="T39" s="535">
        <f t="shared" si="2"/>
        <v>0.32500000000000001</v>
      </c>
      <c r="U39" s="528">
        <f t="shared" si="3"/>
        <v>1.0991499999999999E-3</v>
      </c>
      <c r="V39" s="528">
        <f t="shared" si="4"/>
        <v>5.4957499999999996E-4</v>
      </c>
      <c r="W39" s="528">
        <f t="shared" si="5"/>
        <v>0.4820286532699149</v>
      </c>
      <c r="X39" s="414">
        <f t="shared" si="25"/>
        <v>2.6491089712081344E-4</v>
      </c>
      <c r="Y39" s="529">
        <f t="shared" si="6"/>
        <v>0.15665931231272232</v>
      </c>
      <c r="Z39" s="527">
        <f>'Drift is STD'!B22</f>
        <v>-0.1343454231433506</v>
      </c>
      <c r="AA39" s="447">
        <f>'Drift is STD'!C22</f>
        <v>2.175690000000001E-2</v>
      </c>
      <c r="AB39" s="447">
        <f t="shared" si="42"/>
        <v>6.9186942000000029E-2</v>
      </c>
      <c r="AC39" s="543">
        <f t="shared" si="7"/>
        <v>0.13609575826298159</v>
      </c>
      <c r="AD39" s="447">
        <v>4.1000000000000002E-2</v>
      </c>
      <c r="AE39" s="448">
        <v>0.01</v>
      </c>
      <c r="AF39" s="547">
        <v>5.0000000000000001E-3</v>
      </c>
      <c r="AG39" s="543">
        <v>0.02</v>
      </c>
      <c r="AH39" s="544">
        <f>'Wavelength Uc'!Y23</f>
        <v>0.32072637560174122</v>
      </c>
      <c r="AI39" s="542">
        <v>0.21695643531694911</v>
      </c>
      <c r="AJ39" s="448">
        <f t="shared" si="8"/>
        <v>3.5971236964242009E-2</v>
      </c>
      <c r="AK39" s="448">
        <v>0.02</v>
      </c>
      <c r="AL39" s="543">
        <f t="shared" si="9"/>
        <v>-0.05</v>
      </c>
      <c r="AM39" s="448">
        <v>0.02</v>
      </c>
      <c r="AN39" s="544">
        <f t="shared" si="44"/>
        <v>0.02</v>
      </c>
      <c r="AO39" s="594">
        <f t="shared" si="51"/>
        <v>6.6319741862816005E-4</v>
      </c>
      <c r="AP39" s="414">
        <f t="shared" si="11"/>
        <v>3.3159870931408003E-4</v>
      </c>
      <c r="AQ39" s="414">
        <f t="shared" si="52"/>
        <v>1.3047079846014998E-4</v>
      </c>
      <c r="AR39" s="414">
        <f t="shared" si="12"/>
        <v>7.5327350612353013E-5</v>
      </c>
      <c r="AS39" s="546">
        <f t="shared" si="13"/>
        <v>3.4004692877460328E-4</v>
      </c>
      <c r="AT39" s="547">
        <v>8.5999999999999993E-2</v>
      </c>
      <c r="AU39" s="550">
        <v>0</v>
      </c>
      <c r="AV39" s="550">
        <v>1.5299999999999999E-3</v>
      </c>
      <c r="AW39" s="587">
        <f>'Response calculation'!N24*100/'Response calculation'!G24</f>
        <v>0.156680166331124</v>
      </c>
      <c r="AX39" s="550">
        <f>-'Response calculation'!K24</f>
        <v>1.1299208407275865</v>
      </c>
      <c r="AY39" s="439">
        <v>1E-8</v>
      </c>
      <c r="AZ39" s="440">
        <f t="shared" si="27"/>
        <v>5.0000000000000001E-9</v>
      </c>
      <c r="BA39" s="440">
        <f t="shared" si="14"/>
        <v>2.8867513459481292E-9</v>
      </c>
      <c r="BB39" s="546">
        <f>BA39/-'Response calculation'!G24*100</f>
        <v>4.7787160523524232E-8</v>
      </c>
      <c r="BC39" s="529"/>
      <c r="BD39" s="551">
        <v>2E-3</v>
      </c>
      <c r="BE39" s="552">
        <f t="shared" si="28"/>
        <v>1.1547005383792516E-3</v>
      </c>
      <c r="BF39" s="553">
        <v>1.24E-3</v>
      </c>
      <c r="BG39" s="448">
        <f>'Temp coeff'!E25</f>
        <v>-0.15</v>
      </c>
      <c r="BH39" s="543">
        <f t="shared" si="29"/>
        <v>-0.25499999999999989</v>
      </c>
      <c r="BI39" s="442">
        <v>2.5000000000000001E-4</v>
      </c>
      <c r="BJ39" s="554">
        <f t="shared" si="15"/>
        <v>1.4433756729740645E-4</v>
      </c>
      <c r="BK39" s="543">
        <v>0.02</v>
      </c>
      <c r="BL39" s="586">
        <f t="shared" si="49"/>
        <v>2.0637696974938914E-4</v>
      </c>
      <c r="BM39" s="414">
        <f t="shared" si="30"/>
        <v>1.0318848487469457E-4</v>
      </c>
      <c r="BN39" s="414">
        <f t="shared" si="50"/>
        <v>6.4146022856000003E-5</v>
      </c>
      <c r="BO39" s="414">
        <f t="shared" si="32"/>
        <v>3.703472356335549E-5</v>
      </c>
      <c r="BP39" s="440">
        <f t="shared" si="33"/>
        <v>1.0963318001476209E-4</v>
      </c>
      <c r="BQ39" s="563">
        <f>'Response calculation'!T24</f>
        <v>0.44854618926727002</v>
      </c>
      <c r="BR39" s="439">
        <v>1E-8</v>
      </c>
      <c r="BS39" s="440">
        <f t="shared" si="34"/>
        <v>5.0000000000000001E-9</v>
      </c>
      <c r="BT39" s="440">
        <f t="shared" si="17"/>
        <v>2.8867513459481292E-9</v>
      </c>
      <c r="BU39" s="546">
        <f>BT39/'Response calculation'!R24*100</f>
        <v>9.9757180955963028E-8</v>
      </c>
      <c r="BV39" s="438">
        <f t="shared" si="35"/>
        <v>1.2601018989007369</v>
      </c>
      <c r="BW39" s="588">
        <f t="shared" si="36"/>
        <v>2.5202037978014737</v>
      </c>
      <c r="BX39" s="438">
        <f t="shared" si="18"/>
        <v>1.3617923422113751</v>
      </c>
      <c r="BY39" s="529">
        <f t="shared" si="37"/>
        <v>2.7235846844227503</v>
      </c>
      <c r="BZ39" s="589">
        <f t="shared" si="38"/>
        <v>2.8000000000000003</v>
      </c>
      <c r="CA39" s="565">
        <f t="shared" si="39"/>
        <v>1.5022106744109165</v>
      </c>
      <c r="CB39" s="566" t="str">
        <f t="shared" si="40"/>
        <v>OK</v>
      </c>
      <c r="CC39" s="860"/>
      <c r="CD39" s="593">
        <f t="shared" si="19"/>
        <v>2.2823092675023932E-3</v>
      </c>
      <c r="CE39" s="561">
        <v>2.7</v>
      </c>
      <c r="CF39" s="529">
        <f>ABS((J39-L39)/(SQRT(SUMSQ(CD39,'Response calculation'!AB24))))</f>
        <v>0.52210846399942035</v>
      </c>
      <c r="CH39" s="721">
        <f t="shared" si="41"/>
        <v>1.2433800371911621</v>
      </c>
    </row>
    <row r="40" spans="1:86" s="468" customFormat="1" ht="10.5" thickBot="1" x14ac:dyDescent="0.4">
      <c r="A40" s="595">
        <v>400</v>
      </c>
      <c r="B40" s="596">
        <v>0.17979999999999999</v>
      </c>
      <c r="C40" s="597">
        <f>_xll.SRS1Splines.Functions25.Cubic_Spline('Temp coeff'!$A$6:$A$23,'Temp coeff'!$B$6:$B$23,A40)</f>
        <v>-1.8000000000000001E-4</v>
      </c>
      <c r="D40" s="598">
        <f t="shared" si="47"/>
        <v>0.17973527199999997</v>
      </c>
      <c r="E40" s="599">
        <f t="shared" si="48"/>
        <v>3.6012964667287949E-2</v>
      </c>
      <c r="F40" s="597">
        <f>-'Response calculation'!Q25</f>
        <v>6.6075974875299996</v>
      </c>
      <c r="G40" s="597">
        <v>7.0878873699999997E-2</v>
      </c>
      <c r="H40" s="600">
        <f>F40/SQRT(SUMSQ('Response calculation'!J25,'Response calculation'!P25))</f>
        <v>93.223793530141052</v>
      </c>
      <c r="I40" s="529">
        <f t="shared" si="20"/>
        <v>1.0726875212138633</v>
      </c>
      <c r="J40" s="601">
        <f t="shared" si="21"/>
        <v>9.6898550917958445E-2</v>
      </c>
      <c r="K40" s="455">
        <v>9.5990000000000006E-2</v>
      </c>
      <c r="L40" s="602">
        <f t="shared" si="22"/>
        <v>9.5802339550000004E-2</v>
      </c>
      <c r="M40" s="722">
        <f t="shared" si="23"/>
        <v>0.19550000000000184</v>
      </c>
      <c r="N40" s="603">
        <f>'Response calculation'!W25</f>
        <v>3.5609934459999999</v>
      </c>
      <c r="O40" s="604">
        <v>1.7099475699999998E-2</v>
      </c>
      <c r="P40" s="605">
        <f>N40/SQRT(SUMSQ('Response calculation'!S25,'Response calculation'!V25))</f>
        <v>208.25161580561564</v>
      </c>
      <c r="Q40" s="529">
        <f t="shared" si="24"/>
        <v>0.48018835106346119</v>
      </c>
      <c r="R40" s="529">
        <f t="shared" si="1"/>
        <v>0.48018835106346114</v>
      </c>
      <c r="S40" s="606">
        <v>0.49</v>
      </c>
      <c r="T40" s="607">
        <f t="shared" si="2"/>
        <v>0.245</v>
      </c>
      <c r="U40" s="598">
        <f t="shared" si="3"/>
        <v>8.8101999999999983E-4</v>
      </c>
      <c r="V40" s="598">
        <f t="shared" si="4"/>
        <v>4.4050999999999991E-4</v>
      </c>
      <c r="W40" s="598">
        <f t="shared" si="5"/>
        <v>0.53892408741912379</v>
      </c>
      <c r="X40" s="597">
        <f t="shared" si="25"/>
        <v>2.3740144974899817E-4</v>
      </c>
      <c r="Y40" s="600">
        <f t="shared" si="6"/>
        <v>0.13203640141768533</v>
      </c>
      <c r="Z40" s="596">
        <f>'Drift is STD'!B23</f>
        <v>-0.10670233196159122</v>
      </c>
      <c r="AA40" s="456">
        <f>'Drift is STD'!C23</f>
        <v>2.0540000000000003E-2</v>
      </c>
      <c r="AB40" s="456">
        <f t="shared" si="42"/>
        <v>6.5317200000000006E-2</v>
      </c>
      <c r="AC40" s="608">
        <f t="shared" si="7"/>
        <v>0.10866130519205819</v>
      </c>
      <c r="AD40" s="456">
        <v>4.1000000000000002E-2</v>
      </c>
      <c r="AE40" s="457">
        <v>0.01</v>
      </c>
      <c r="AF40" s="609">
        <v>5.0000000000000001E-3</v>
      </c>
      <c r="AG40" s="608">
        <v>0.02</v>
      </c>
      <c r="AH40" s="610">
        <f>'Wavelength Uc'!Y24</f>
        <v>0.22241856202039012</v>
      </c>
      <c r="AI40" s="542">
        <v>0.21695643531694911</v>
      </c>
      <c r="AJ40" s="448">
        <f t="shared" si="8"/>
        <v>3.2834390370538452E-2</v>
      </c>
      <c r="AK40" s="457">
        <v>0.02</v>
      </c>
      <c r="AL40" s="608">
        <f t="shared" si="9"/>
        <v>-0.05</v>
      </c>
      <c r="AM40" s="457">
        <v>0.02</v>
      </c>
      <c r="AN40" s="610">
        <f t="shared" si="44"/>
        <v>0.02</v>
      </c>
      <c r="AO40" s="611">
        <f t="shared" si="51"/>
        <v>6.0536375097739934E-4</v>
      </c>
      <c r="AP40" s="597">
        <f t="shared" si="11"/>
        <v>3.0268187548869967E-4</v>
      </c>
      <c r="AQ40" s="414">
        <f t="shared" si="52"/>
        <v>1.3911396231294998E-4</v>
      </c>
      <c r="AR40" s="597">
        <f t="shared" si="12"/>
        <v>8.0317483589417124E-5</v>
      </c>
      <c r="AS40" s="612">
        <f t="shared" si="13"/>
        <v>3.1315685513731451E-4</v>
      </c>
      <c r="AT40" s="609">
        <v>8.5999999999999993E-2</v>
      </c>
      <c r="AU40" s="613">
        <v>0</v>
      </c>
      <c r="AV40" s="613">
        <v>1.5299999999999999E-3</v>
      </c>
      <c r="AW40" s="614">
        <f>'Response calculation'!N25*100/'Response calculation'!G25</f>
        <v>0.14302922849223132</v>
      </c>
      <c r="AX40" s="613">
        <f>-'Response calculation'!K25</f>
        <v>1.0711532645164255</v>
      </c>
      <c r="AY40" s="458">
        <v>1E-8</v>
      </c>
      <c r="AZ40" s="459">
        <f t="shared" si="27"/>
        <v>5.0000000000000001E-9</v>
      </c>
      <c r="BA40" s="459">
        <f t="shared" si="14"/>
        <v>2.8867513459481292E-9</v>
      </c>
      <c r="BB40" s="612">
        <f>BA40/-'Response calculation'!G25*100</f>
        <v>4.3625878440835383E-8</v>
      </c>
      <c r="BC40" s="529"/>
      <c r="BD40" s="615">
        <v>1E-3</v>
      </c>
      <c r="BE40" s="616">
        <f t="shared" si="28"/>
        <v>5.773502691896258E-4</v>
      </c>
      <c r="BF40" s="617">
        <v>1.24E-3</v>
      </c>
      <c r="BG40" s="457">
        <f>'Temp coeff'!E26</f>
        <v>-0.115</v>
      </c>
      <c r="BH40" s="608">
        <f t="shared" si="29"/>
        <v>-0.19549999999999992</v>
      </c>
      <c r="BI40" s="460">
        <v>1.9000000000000001E-4</v>
      </c>
      <c r="BJ40" s="618">
        <f t="shared" si="15"/>
        <v>1.0969655114602891E-4</v>
      </c>
      <c r="BK40" s="608">
        <v>0.02</v>
      </c>
      <c r="BL40" s="619">
        <f t="shared" si="49"/>
        <v>1.6849230673928066E-4</v>
      </c>
      <c r="BM40" s="597">
        <f t="shared" si="30"/>
        <v>8.4246153369640331E-5</v>
      </c>
      <c r="BN40" s="414">
        <f t="shared" si="50"/>
        <v>7.7219868920000006E-5</v>
      </c>
      <c r="BO40" s="414">
        <f t="shared" si="32"/>
        <v>4.458291210774962E-5</v>
      </c>
      <c r="BP40" s="459">
        <f t="shared" si="33"/>
        <v>9.5315530788997273E-5</v>
      </c>
      <c r="BQ40" s="620">
        <f>'Response calculation'!T25</f>
        <v>0.48201877558470607</v>
      </c>
      <c r="BR40" s="458">
        <v>1E-8</v>
      </c>
      <c r="BS40" s="459">
        <f t="shared" si="34"/>
        <v>5.0000000000000001E-9</v>
      </c>
      <c r="BT40" s="459">
        <f t="shared" si="17"/>
        <v>2.8867513459481292E-9</v>
      </c>
      <c r="BU40" s="612">
        <f>BT40/'Response calculation'!R25*100</f>
        <v>8.1374913102828041E-8</v>
      </c>
      <c r="BV40" s="461">
        <f t="shared" si="35"/>
        <v>1.1613369476845181</v>
      </c>
      <c r="BW40" s="621">
        <f t="shared" si="36"/>
        <v>2.3226738953690362</v>
      </c>
      <c r="BX40" s="461">
        <f t="shared" si="18"/>
        <v>1.2726616785796201</v>
      </c>
      <c r="BY40" s="600">
        <f t="shared" si="37"/>
        <v>2.5453233571592402</v>
      </c>
      <c r="BZ40" s="622">
        <f t="shared" si="38"/>
        <v>2.6</v>
      </c>
      <c r="CA40" s="623">
        <f t="shared" si="39"/>
        <v>1.1442427952256007</v>
      </c>
      <c r="CB40" s="624" t="str">
        <f t="shared" si="40"/>
        <v>OK</v>
      </c>
      <c r="CC40" s="861"/>
      <c r="CD40" s="593">
        <f t="shared" si="19"/>
        <v>2.5193623238669196E-3</v>
      </c>
      <c r="CE40" s="561">
        <v>2.6</v>
      </c>
      <c r="CF40" s="529">
        <f>ABS((J40-L40)/(SQRT(SUMSQ(CD40,'Response calculation'!AB25))))</f>
        <v>0.4316466403212616</v>
      </c>
      <c r="CH40" s="721">
        <f t="shared" si="41"/>
        <v>0.9465058005609327</v>
      </c>
    </row>
    <row r="41" spans="1:86" ht="10.5" x14ac:dyDescent="0.35">
      <c r="M41" s="723">
        <f>MIN(M20:M40)</f>
        <v>0.1105000000000005</v>
      </c>
      <c r="AB41" s="447"/>
      <c r="AJ41" s="453"/>
      <c r="BN41" s="436"/>
      <c r="BO41" s="436"/>
    </row>
    <row r="42" spans="1:86" ht="10.5" x14ac:dyDescent="0.35">
      <c r="M42" s="723">
        <f>MAX(M20:M40)</f>
        <v>0.34000000000000269</v>
      </c>
      <c r="AB42" s="453"/>
      <c r="AC42" s="453"/>
      <c r="AJ42" s="453"/>
      <c r="BG42" s="462"/>
      <c r="BH42" s="453"/>
      <c r="BI42" s="413"/>
    </row>
    <row r="43" spans="1:86" x14ac:dyDescent="0.35">
      <c r="AB43" s="453"/>
      <c r="AC43" s="453"/>
      <c r="BG43" s="462"/>
      <c r="BH43" s="453"/>
      <c r="BI43" s="413"/>
    </row>
    <row r="44" spans="1:86" x14ac:dyDescent="0.35">
      <c r="AB44" s="453"/>
      <c r="AC44" s="453"/>
      <c r="BG44" s="462"/>
      <c r="BH44" s="453"/>
      <c r="BI44" s="413"/>
    </row>
    <row r="45" spans="1:86" x14ac:dyDescent="0.35">
      <c r="AB45" s="453"/>
      <c r="AC45" s="453"/>
      <c r="AU45" s="358" t="s">
        <v>212</v>
      </c>
      <c r="AV45" s="413">
        <v>4.0000000000000001E-10</v>
      </c>
      <c r="BG45" s="462"/>
      <c r="BH45" s="453"/>
      <c r="BI45" s="413"/>
    </row>
    <row r="46" spans="1:86" x14ac:dyDescent="0.35">
      <c r="AB46" s="453"/>
      <c r="AC46" s="453"/>
      <c r="AU46" s="358" t="s">
        <v>213</v>
      </c>
      <c r="AV46" s="413">
        <v>4.8000000000000001E-5</v>
      </c>
      <c r="BG46" s="462"/>
      <c r="BH46" s="453"/>
      <c r="BI46" s="413"/>
    </row>
    <row r="47" spans="1:86" x14ac:dyDescent="0.35">
      <c r="H47" s="453"/>
      <c r="I47" s="453"/>
      <c r="P47" s="453"/>
      <c r="Q47" s="453"/>
      <c r="R47" s="453"/>
      <c r="AB47" s="453"/>
      <c r="AC47" s="453"/>
      <c r="AV47" s="454">
        <f>AV45/AV46*100</f>
        <v>8.3333333333333339E-4</v>
      </c>
      <c r="BG47" s="462"/>
      <c r="BH47" s="453"/>
      <c r="BI47" s="413"/>
    </row>
    <row r="48" spans="1:86" x14ac:dyDescent="0.35">
      <c r="H48" s="453"/>
      <c r="I48" s="453"/>
      <c r="P48" s="453"/>
      <c r="Q48" s="453"/>
      <c r="R48" s="453"/>
      <c r="AB48" s="453"/>
      <c r="AC48" s="453"/>
      <c r="BG48" s="462"/>
      <c r="BH48" s="453"/>
      <c r="BI48" s="413"/>
    </row>
    <row r="49" spans="8:61" x14ac:dyDescent="0.35">
      <c r="H49" s="453"/>
      <c r="I49" s="453"/>
      <c r="P49" s="453"/>
      <c r="Q49" s="453"/>
      <c r="R49" s="453"/>
      <c r="AB49" s="453"/>
      <c r="AC49" s="453"/>
      <c r="BG49" s="462"/>
      <c r="BH49" s="453"/>
      <c r="BI49" s="413"/>
    </row>
    <row r="50" spans="8:61" x14ac:dyDescent="0.35">
      <c r="H50" s="453"/>
      <c r="I50" s="453"/>
      <c r="P50" s="453"/>
      <c r="Q50" s="453"/>
      <c r="R50" s="453"/>
      <c r="AB50" s="453"/>
      <c r="AC50" s="453"/>
      <c r="BG50" s="462"/>
      <c r="BH50" s="453"/>
      <c r="BI50" s="413"/>
    </row>
    <row r="51" spans="8:61" x14ac:dyDescent="0.35">
      <c r="H51" s="453"/>
      <c r="I51" s="453"/>
      <c r="P51" s="453"/>
      <c r="Q51" s="453"/>
      <c r="R51" s="453"/>
      <c r="AB51" s="453"/>
      <c r="AC51" s="453"/>
      <c r="BG51" s="462"/>
      <c r="BH51" s="453"/>
      <c r="BI51" s="413"/>
    </row>
    <row r="52" spans="8:61" x14ac:dyDescent="0.35">
      <c r="H52" s="453"/>
      <c r="I52" s="453"/>
      <c r="P52" s="453"/>
      <c r="Q52" s="453"/>
      <c r="R52" s="453"/>
      <c r="AB52" s="453"/>
      <c r="AC52" s="453"/>
      <c r="BG52" s="462"/>
      <c r="BH52" s="453"/>
      <c r="BI52" s="413"/>
    </row>
    <row r="53" spans="8:61" x14ac:dyDescent="0.35">
      <c r="H53" s="453"/>
      <c r="I53" s="453"/>
      <c r="P53" s="453"/>
      <c r="Q53" s="453"/>
      <c r="R53" s="453"/>
      <c r="AB53" s="453"/>
      <c r="AC53" s="453"/>
      <c r="BG53" s="462"/>
      <c r="BH53" s="453"/>
      <c r="BI53" s="413"/>
    </row>
    <row r="54" spans="8:61" x14ac:dyDescent="0.35">
      <c r="H54" s="453"/>
      <c r="I54" s="453"/>
      <c r="P54" s="453"/>
      <c r="Q54" s="453"/>
      <c r="R54" s="453"/>
      <c r="AB54" s="453"/>
      <c r="AC54" s="453"/>
      <c r="BG54" s="462"/>
      <c r="BH54" s="453"/>
      <c r="BI54" s="413"/>
    </row>
    <row r="55" spans="8:61" x14ac:dyDescent="0.35">
      <c r="H55" s="453"/>
      <c r="I55" s="453"/>
      <c r="P55" s="453"/>
      <c r="Q55" s="453"/>
      <c r="R55" s="453"/>
      <c r="AB55" s="453"/>
      <c r="AC55" s="453"/>
      <c r="BG55" s="462"/>
      <c r="BH55" s="453"/>
      <c r="BI55" s="413"/>
    </row>
    <row r="56" spans="8:61" x14ac:dyDescent="0.35">
      <c r="H56" s="453"/>
      <c r="I56" s="453"/>
      <c r="P56" s="453"/>
      <c r="Q56" s="453"/>
      <c r="R56" s="453"/>
      <c r="AB56" s="453"/>
      <c r="AC56" s="453"/>
      <c r="BG56" s="462"/>
      <c r="BH56" s="453"/>
      <c r="BI56" s="413"/>
    </row>
    <row r="57" spans="8:61" x14ac:dyDescent="0.35">
      <c r="H57" s="453"/>
      <c r="I57" s="453"/>
      <c r="P57" s="453"/>
      <c r="Q57" s="453"/>
      <c r="R57" s="453"/>
      <c r="AB57" s="453"/>
      <c r="AC57" s="453"/>
      <c r="BG57" s="462"/>
      <c r="BH57" s="453"/>
      <c r="BI57" s="413"/>
    </row>
    <row r="58" spans="8:61" x14ac:dyDescent="0.35">
      <c r="H58" s="453"/>
      <c r="I58" s="453"/>
      <c r="P58" s="453"/>
      <c r="Q58" s="453"/>
      <c r="R58" s="453"/>
      <c r="AB58" s="453"/>
      <c r="AC58" s="453"/>
      <c r="BG58" s="462"/>
      <c r="BH58" s="453"/>
      <c r="BI58" s="413"/>
    </row>
    <row r="59" spans="8:61" x14ac:dyDescent="0.35">
      <c r="H59" s="453"/>
      <c r="I59" s="453"/>
      <c r="P59" s="453"/>
      <c r="Q59" s="453"/>
      <c r="R59" s="453"/>
      <c r="AB59" s="453"/>
      <c r="AC59" s="453"/>
      <c r="BG59" s="462"/>
      <c r="BH59" s="453"/>
      <c r="BI59" s="413"/>
    </row>
    <row r="60" spans="8:61" x14ac:dyDescent="0.35">
      <c r="H60" s="453"/>
      <c r="I60" s="453"/>
      <c r="P60" s="453"/>
      <c r="Q60" s="453"/>
      <c r="R60" s="453"/>
      <c r="AB60" s="453"/>
      <c r="AC60" s="453"/>
      <c r="BG60" s="462"/>
      <c r="BH60" s="453"/>
      <c r="BI60" s="413"/>
    </row>
    <row r="61" spans="8:61" x14ac:dyDescent="0.35">
      <c r="H61" s="453"/>
      <c r="I61" s="453"/>
      <c r="P61" s="453"/>
      <c r="Q61" s="453"/>
      <c r="R61" s="453"/>
      <c r="AB61" s="453"/>
      <c r="AC61" s="453"/>
      <c r="BG61" s="462"/>
      <c r="BH61" s="453"/>
      <c r="BI61" s="413"/>
    </row>
    <row r="62" spans="8:61" x14ac:dyDescent="0.35">
      <c r="H62" s="453"/>
      <c r="I62" s="453"/>
      <c r="P62" s="453"/>
      <c r="Q62" s="453"/>
      <c r="R62" s="453"/>
      <c r="AB62" s="453"/>
      <c r="AC62" s="453"/>
      <c r="BG62" s="462"/>
      <c r="BH62" s="453"/>
      <c r="BI62" s="413"/>
    </row>
    <row r="63" spans="8:61" x14ac:dyDescent="0.35">
      <c r="H63" s="453"/>
      <c r="I63" s="453"/>
      <c r="P63" s="453"/>
      <c r="Q63" s="453"/>
      <c r="R63" s="453"/>
    </row>
    <row r="64" spans="8:61" x14ac:dyDescent="0.35">
      <c r="H64" s="453"/>
      <c r="I64" s="453"/>
      <c r="P64" s="453"/>
      <c r="Q64" s="453"/>
      <c r="R64" s="453"/>
    </row>
    <row r="65" spans="5:18" x14ac:dyDescent="0.35">
      <c r="E65" s="413"/>
      <c r="H65" s="453"/>
      <c r="I65" s="453"/>
      <c r="P65" s="453"/>
      <c r="Q65" s="453"/>
      <c r="R65" s="453"/>
    </row>
    <row r="66" spans="5:18" x14ac:dyDescent="0.35">
      <c r="H66" s="453"/>
      <c r="I66" s="453"/>
      <c r="P66" s="453"/>
      <c r="Q66" s="453"/>
      <c r="R66" s="453"/>
    </row>
    <row r="67" spans="5:18" x14ac:dyDescent="0.35">
      <c r="H67" s="453"/>
      <c r="I67" s="453"/>
      <c r="P67" s="453"/>
      <c r="Q67" s="453"/>
      <c r="R67" s="453"/>
    </row>
    <row r="68" spans="5:18" x14ac:dyDescent="0.35">
      <c r="G68" s="453"/>
      <c r="H68" s="453"/>
      <c r="I68" s="453"/>
      <c r="P68" s="453"/>
      <c r="Q68" s="453"/>
      <c r="R68" s="453"/>
    </row>
  </sheetData>
  <mergeCells count="142">
    <mergeCell ref="S16:T16"/>
    <mergeCell ref="S18:T19"/>
    <mergeCell ref="A1:D1"/>
    <mergeCell ref="A2:D2"/>
    <mergeCell ref="A3:D3"/>
    <mergeCell ref="A4:D4"/>
    <mergeCell ref="A5:D5"/>
    <mergeCell ref="A6:D6"/>
    <mergeCell ref="A7:D7"/>
    <mergeCell ref="J1:N1"/>
    <mergeCell ref="J3:N3"/>
    <mergeCell ref="J4:N4"/>
    <mergeCell ref="J5:N5"/>
    <mergeCell ref="J6:N6"/>
    <mergeCell ref="J2:N2"/>
    <mergeCell ref="A12:A14"/>
    <mergeCell ref="B12:H12"/>
    <mergeCell ref="B13:B14"/>
    <mergeCell ref="J7:N7"/>
    <mergeCell ref="J12:P12"/>
    <mergeCell ref="L13:L15"/>
    <mergeCell ref="C13:C14"/>
    <mergeCell ref="E13:E14"/>
    <mergeCell ref="D13:D14"/>
    <mergeCell ref="BE18:BE19"/>
    <mergeCell ref="BD18:BD19"/>
    <mergeCell ref="BF18:BF19"/>
    <mergeCell ref="BG18:BG19"/>
    <mergeCell ref="BW18:BW19"/>
    <mergeCell ref="BV18:BV19"/>
    <mergeCell ref="BN18:BN19"/>
    <mergeCell ref="BO18:BO19"/>
    <mergeCell ref="BP18:BP19"/>
    <mergeCell ref="BQ18:BQ19"/>
    <mergeCell ref="BU18:BU19"/>
    <mergeCell ref="BT18:BT19"/>
    <mergeCell ref="BS18:BS19"/>
    <mergeCell ref="AQ14:AR14"/>
    <mergeCell ref="AX13:AX14"/>
    <mergeCell ref="AN18:AN19"/>
    <mergeCell ref="AM18:AM19"/>
    <mergeCell ref="AS18:AS19"/>
    <mergeCell ref="AR18:AR19"/>
    <mergeCell ref="AQ18:AQ19"/>
    <mergeCell ref="AP18:AP19"/>
    <mergeCell ref="AO18:AO19"/>
    <mergeCell ref="CC26:CC40"/>
    <mergeCell ref="BX13:BX14"/>
    <mergeCell ref="CA13:CA15"/>
    <mergeCell ref="CB13:CB19"/>
    <mergeCell ref="CA18:CA19"/>
    <mergeCell ref="BY18:BZ19"/>
    <mergeCell ref="BX18:BX19"/>
    <mergeCell ref="BG13:BH13"/>
    <mergeCell ref="BY13:BZ14"/>
    <mergeCell ref="BG14:BH14"/>
    <mergeCell ref="BV13:BV14"/>
    <mergeCell ref="BW13:BW14"/>
    <mergeCell ref="BI13:BJ13"/>
    <mergeCell ref="BI14:BJ14"/>
    <mergeCell ref="BG15:BH15"/>
    <mergeCell ref="BJ18:BJ19"/>
    <mergeCell ref="BI18:BI19"/>
    <mergeCell ref="BK18:BK19"/>
    <mergeCell ref="BL18:BL19"/>
    <mergeCell ref="BM18:BM19"/>
    <mergeCell ref="BR15:BU15"/>
    <mergeCell ref="BI15:BJ15"/>
    <mergeCell ref="CC20:CC25"/>
    <mergeCell ref="CC13:CC19"/>
    <mergeCell ref="BV12:CC12"/>
    <mergeCell ref="S12:BB12"/>
    <mergeCell ref="AY13:BB13"/>
    <mergeCell ref="BR13:BU13"/>
    <mergeCell ref="K13:K14"/>
    <mergeCell ref="BQ13:BQ14"/>
    <mergeCell ref="AY15:BB15"/>
    <mergeCell ref="BD15:BE15"/>
    <mergeCell ref="BD14:BE14"/>
    <mergeCell ref="S13:Y13"/>
    <mergeCell ref="BL13:BP13"/>
    <mergeCell ref="BD13:BE13"/>
    <mergeCell ref="BL14:BM14"/>
    <mergeCell ref="BN14:BO14"/>
    <mergeCell ref="S15:T15"/>
    <mergeCell ref="Z15:AC15"/>
    <mergeCell ref="AK15:AL15"/>
    <mergeCell ref="AK14:AL14"/>
    <mergeCell ref="Z13:AC13"/>
    <mergeCell ref="AK13:AL13"/>
    <mergeCell ref="AM14:AN14"/>
    <mergeCell ref="AO14:AP14"/>
    <mergeCell ref="AO13:AS13"/>
    <mergeCell ref="AM15:AN15"/>
    <mergeCell ref="BL1:BP1"/>
    <mergeCell ref="BL2:BM2"/>
    <mergeCell ref="BN2:BP2"/>
    <mergeCell ref="BN7:BO7"/>
    <mergeCell ref="BD12:BU12"/>
    <mergeCell ref="AO2:AP2"/>
    <mergeCell ref="AO1:AS1"/>
    <mergeCell ref="AQ2:AS2"/>
    <mergeCell ref="AQ7:AR7"/>
    <mergeCell ref="P13:R13"/>
    <mergeCell ref="G18:G19"/>
    <mergeCell ref="F18:F19"/>
    <mergeCell ref="B18:B19"/>
    <mergeCell ref="O13:O14"/>
    <mergeCell ref="N13:N14"/>
    <mergeCell ref="O18:O19"/>
    <mergeCell ref="N18:N19"/>
    <mergeCell ref="L18:L19"/>
    <mergeCell ref="K18:K19"/>
    <mergeCell ref="J18:J19"/>
    <mergeCell ref="G13:G14"/>
    <mergeCell ref="F13:F14"/>
    <mergeCell ref="J13:J14"/>
    <mergeCell ref="H13:I13"/>
    <mergeCell ref="CH13:CH15"/>
    <mergeCell ref="CH18:CH19"/>
    <mergeCell ref="BR18:BR19"/>
    <mergeCell ref="Z18:Z19"/>
    <mergeCell ref="AW18:AW19"/>
    <mergeCell ref="AV18:AV19"/>
    <mergeCell ref="AU18:AU19"/>
    <mergeCell ref="AT18:AT19"/>
    <mergeCell ref="BB18:BB19"/>
    <mergeCell ref="BA18:BA19"/>
    <mergeCell ref="AZ18:AZ19"/>
    <mergeCell ref="AY18:AY19"/>
    <mergeCell ref="AX18:AX19"/>
    <mergeCell ref="AI18:AI19"/>
    <mergeCell ref="AH18:AH19"/>
    <mergeCell ref="AG18:AG19"/>
    <mergeCell ref="AF18:AF19"/>
    <mergeCell ref="AE18:AE19"/>
    <mergeCell ref="AD18:AD19"/>
    <mergeCell ref="AC18:AC19"/>
    <mergeCell ref="AB18:AB19"/>
    <mergeCell ref="AA18:AA19"/>
    <mergeCell ref="AI13:AJ13"/>
    <mergeCell ref="AM13:AN13"/>
  </mergeCells>
  <conditionalFormatting sqref="CB20:CB41">
    <cfRule type="expression" dxfId="3" priority="1">
      <formula>"OK"</formula>
    </cfRule>
  </conditionalFormatting>
  <pageMargins left="3.937007874015748E-2" right="0.19685039370078741" top="1.1417322834645669" bottom="0.55118110236220474" header="0.31496062992125984" footer="0.31496062992125984"/>
  <pageSetup paperSize="9" scale="1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A7F84-8312-4415-8E79-5B6EFB0DD88E}">
  <dimension ref="A1:E26"/>
  <sheetViews>
    <sheetView workbookViewId="0">
      <selection activeCell="D1" sqref="D1:E25"/>
    </sheetView>
  </sheetViews>
  <sheetFormatPr defaultRowHeight="14.5" x14ac:dyDescent="0.35"/>
  <sheetData>
    <row r="1" spans="1:5" x14ac:dyDescent="0.35">
      <c r="A1" s="915" t="s">
        <v>214</v>
      </c>
      <c r="B1" s="915"/>
      <c r="D1" s="915" t="s">
        <v>215</v>
      </c>
      <c r="E1" s="915"/>
    </row>
    <row r="2" spans="1:5" x14ac:dyDescent="0.35">
      <c r="A2" s="915"/>
      <c r="B2" s="915"/>
      <c r="D2" s="915"/>
      <c r="E2" s="915"/>
    </row>
    <row r="3" spans="1:5" x14ac:dyDescent="0.35">
      <c r="A3" s="915"/>
      <c r="B3" s="915"/>
      <c r="D3" s="915"/>
      <c r="E3" s="915"/>
    </row>
    <row r="4" spans="1:5" x14ac:dyDescent="0.35">
      <c r="A4" s="914" t="s">
        <v>216</v>
      </c>
      <c r="B4" s="914"/>
      <c r="D4" s="914" t="s">
        <v>217</v>
      </c>
      <c r="E4" s="914"/>
    </row>
    <row r="5" spans="1:5" x14ac:dyDescent="0.35">
      <c r="A5" s="2" t="s">
        <v>218</v>
      </c>
      <c r="B5" s="2" t="s">
        <v>201</v>
      </c>
      <c r="D5" s="2" t="s">
        <v>218</v>
      </c>
      <c r="E5" s="2" t="s">
        <v>219</v>
      </c>
    </row>
    <row r="6" spans="1:5" x14ac:dyDescent="0.35">
      <c r="A6" s="2">
        <v>300</v>
      </c>
      <c r="B6" s="101">
        <f>-0.000093</f>
        <v>-9.2999999999999997E-5</v>
      </c>
      <c r="D6" s="99">
        <v>200</v>
      </c>
      <c r="E6" s="120">
        <v>-0.09</v>
      </c>
    </row>
    <row r="7" spans="1:5" x14ac:dyDescent="0.35">
      <c r="A7" s="2">
        <v>320</v>
      </c>
      <c r="B7" s="101">
        <f>-0.000022</f>
        <v>-2.1999999999999999E-5</v>
      </c>
      <c r="D7" s="99">
        <v>210</v>
      </c>
      <c r="E7" s="120">
        <v>-0.1</v>
      </c>
    </row>
    <row r="8" spans="1:5" x14ac:dyDescent="0.35">
      <c r="A8" s="2">
        <v>340</v>
      </c>
      <c r="B8" s="101">
        <v>5.3000000000000001E-5</v>
      </c>
      <c r="D8" s="99">
        <v>220</v>
      </c>
      <c r="E8" s="120">
        <v>-0.1</v>
      </c>
    </row>
    <row r="9" spans="1:5" x14ac:dyDescent="0.35">
      <c r="A9" s="2">
        <v>360</v>
      </c>
      <c r="B9" s="101">
        <v>3.6000000000000001E-5</v>
      </c>
      <c r="D9" s="99">
        <v>230</v>
      </c>
      <c r="E9" s="120">
        <v>-0.1</v>
      </c>
    </row>
    <row r="10" spans="1:5" x14ac:dyDescent="0.35">
      <c r="A10" s="2">
        <v>380</v>
      </c>
      <c r="B10" s="101">
        <f>-0.000072</f>
        <v>-7.2000000000000002E-5</v>
      </c>
      <c r="D10" s="99">
        <v>240</v>
      </c>
      <c r="E10" s="120">
        <v>-0.1</v>
      </c>
    </row>
    <row r="11" spans="1:5" x14ac:dyDescent="0.35">
      <c r="A11" s="2">
        <v>400</v>
      </c>
      <c r="B11" s="101">
        <f>-0.00018</f>
        <v>-1.8000000000000001E-4</v>
      </c>
      <c r="D11" s="99">
        <v>250</v>
      </c>
      <c r="E11" s="120">
        <v>-0.09</v>
      </c>
    </row>
    <row r="12" spans="1:5" x14ac:dyDescent="0.35">
      <c r="A12" s="2">
        <v>450</v>
      </c>
      <c r="B12" s="101">
        <f>-0.00011</f>
        <v>-1.1E-4</v>
      </c>
      <c r="D12" s="99">
        <v>260</v>
      </c>
      <c r="E12" s="120">
        <v>-8.5000000000000006E-2</v>
      </c>
    </row>
    <row r="13" spans="1:5" x14ac:dyDescent="0.35">
      <c r="A13" s="2">
        <v>500</v>
      </c>
      <c r="B13" s="101">
        <f>-0.000081</f>
        <v>-8.1000000000000004E-5</v>
      </c>
      <c r="D13" s="99">
        <v>270</v>
      </c>
      <c r="E13" s="120">
        <v>-0.08</v>
      </c>
    </row>
    <row r="14" spans="1:5" x14ac:dyDescent="0.35">
      <c r="A14" s="2">
        <v>550</v>
      </c>
      <c r="B14" s="101">
        <f>-0.000071</f>
        <v>-7.1000000000000005E-5</v>
      </c>
      <c r="D14" s="99">
        <v>280</v>
      </c>
      <c r="E14" s="120">
        <v>-0.11</v>
      </c>
    </row>
    <row r="15" spans="1:5" x14ac:dyDescent="0.35">
      <c r="A15" s="2">
        <v>600</v>
      </c>
      <c r="B15" s="101">
        <f>-0.000061</f>
        <v>-6.0999999999999999E-5</v>
      </c>
      <c r="D15" s="99">
        <v>290</v>
      </c>
      <c r="E15" s="120">
        <v>-0.13</v>
      </c>
    </row>
    <row r="16" spans="1:5" x14ac:dyDescent="0.35">
      <c r="A16" s="2">
        <v>650</v>
      </c>
      <c r="B16" s="101">
        <f>-0.000051</f>
        <v>-5.1E-5</v>
      </c>
      <c r="D16" s="99">
        <v>300</v>
      </c>
      <c r="E16" s="120">
        <v>-0.13</v>
      </c>
    </row>
    <row r="17" spans="1:5" x14ac:dyDescent="0.35">
      <c r="A17" s="2">
        <v>700</v>
      </c>
      <c r="B17" s="101">
        <f>-0.000049</f>
        <v>-4.8999999999999998E-5</v>
      </c>
      <c r="D17" s="99">
        <v>310</v>
      </c>
      <c r="E17" s="120">
        <v>-0.11</v>
      </c>
    </row>
    <row r="18" spans="1:5" x14ac:dyDescent="0.35">
      <c r="A18" s="2">
        <v>750</v>
      </c>
      <c r="B18" s="101">
        <f>-0.000046</f>
        <v>-4.6E-5</v>
      </c>
      <c r="D18" s="99">
        <v>320</v>
      </c>
      <c r="E18" s="120">
        <v>-0.1</v>
      </c>
    </row>
    <row r="19" spans="1:5" x14ac:dyDescent="0.35">
      <c r="A19" s="2">
        <v>800</v>
      </c>
      <c r="B19" s="101">
        <f>-0.000044</f>
        <v>-4.3999999999999999E-5</v>
      </c>
      <c r="D19" s="99">
        <v>330</v>
      </c>
      <c r="E19" s="120">
        <v>-0.09</v>
      </c>
    </row>
    <row r="20" spans="1:5" x14ac:dyDescent="0.35">
      <c r="A20" s="2">
        <v>850</v>
      </c>
      <c r="B20" s="101">
        <f>-0.000042</f>
        <v>-4.1999999999999998E-5</v>
      </c>
      <c r="D20" s="99">
        <v>340</v>
      </c>
      <c r="E20" s="120">
        <v>-0.09</v>
      </c>
    </row>
    <row r="21" spans="1:5" x14ac:dyDescent="0.35">
      <c r="A21" s="2">
        <v>900</v>
      </c>
      <c r="B21" s="101">
        <f>-0.000044</f>
        <v>-4.3999999999999999E-5</v>
      </c>
      <c r="D21" s="99">
        <v>350</v>
      </c>
      <c r="E21" s="120">
        <v>-0.08</v>
      </c>
    </row>
    <row r="22" spans="1:5" x14ac:dyDescent="0.35">
      <c r="A22" s="2">
        <v>950</v>
      </c>
      <c r="B22" s="101">
        <v>8.8999999999999995E-5</v>
      </c>
      <c r="D22" s="99">
        <v>360</v>
      </c>
      <c r="E22" s="120">
        <v>-6.5000000000000002E-2</v>
      </c>
    </row>
    <row r="23" spans="1:5" x14ac:dyDescent="0.35">
      <c r="A23" s="2">
        <v>1000</v>
      </c>
      <c r="B23" s="101">
        <v>1.8E-3</v>
      </c>
      <c r="D23" s="99">
        <v>370</v>
      </c>
      <c r="E23" s="120">
        <v>-0.15</v>
      </c>
    </row>
    <row r="24" spans="1:5" x14ac:dyDescent="0.35">
      <c r="D24" s="99">
        <v>380</v>
      </c>
      <c r="E24" s="120">
        <v>-0.2</v>
      </c>
    </row>
    <row r="25" spans="1:5" x14ac:dyDescent="0.35">
      <c r="D25" s="99">
        <v>390</v>
      </c>
      <c r="E25" s="120">
        <v>-0.15</v>
      </c>
    </row>
    <row r="26" spans="1:5" x14ac:dyDescent="0.35">
      <c r="D26" s="99">
        <v>400</v>
      </c>
      <c r="E26" s="120">
        <v>-0.115</v>
      </c>
    </row>
  </sheetData>
  <mergeCells count="4">
    <mergeCell ref="A4:B4"/>
    <mergeCell ref="D4:E4"/>
    <mergeCell ref="A1:B3"/>
    <mergeCell ref="D1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5CF5D-6499-488E-AF5B-02D4D6BC5DBF}">
  <dimension ref="A1:Y25"/>
  <sheetViews>
    <sheetView zoomScale="90" zoomScaleNormal="90" workbookViewId="0">
      <selection activeCell="R4" sqref="R4"/>
    </sheetView>
  </sheetViews>
  <sheetFormatPr defaultColWidth="9.1796875" defaultRowHeight="14.5" x14ac:dyDescent="0.35"/>
  <cols>
    <col min="1" max="1" width="10.54296875" style="117" bestFit="1" customWidth="1"/>
    <col min="2" max="2" width="18.54296875" style="118" customWidth="1"/>
    <col min="3" max="3" width="3.1796875" style="117" customWidth="1"/>
    <col min="4" max="4" width="10.1796875" style="117" customWidth="1"/>
    <col min="5" max="5" width="10.1796875" style="118" customWidth="1"/>
    <col min="6" max="6" width="10.1796875" style="117" customWidth="1"/>
    <col min="7" max="7" width="10.1796875" style="118" customWidth="1"/>
    <col min="8" max="8" width="13.54296875" style="117" customWidth="1"/>
    <col min="9" max="10" width="8.7265625" style="117" customWidth="1"/>
    <col min="11" max="11" width="10.54296875" style="119" customWidth="1"/>
    <col min="12" max="13" width="8.7265625" style="119" customWidth="1"/>
    <col min="14" max="14" width="3.453125" customWidth="1"/>
    <col min="15" max="17" width="9.1796875" style="117"/>
    <col min="18" max="18" width="13.1796875" style="117" customWidth="1"/>
    <col min="19" max="19" width="9.81640625" style="119" customWidth="1"/>
    <col min="20" max="21" width="8.7265625" style="119" customWidth="1"/>
    <col min="22" max="22" width="9.1796875" style="117"/>
    <col min="23" max="24" width="9.1796875" style="117" hidden="1" customWidth="1"/>
    <col min="25" max="16384" width="9.1796875" style="117"/>
  </cols>
  <sheetData>
    <row r="1" spans="1:25" ht="30.25" customHeight="1" x14ac:dyDescent="0.35">
      <c r="A1" s="916" t="s">
        <v>220</v>
      </c>
      <c r="B1" s="918" t="s">
        <v>221</v>
      </c>
      <c r="C1" s="218"/>
      <c r="D1" s="182"/>
      <c r="E1" s="181"/>
      <c r="F1" s="182"/>
      <c r="G1" s="181"/>
      <c r="H1" s="182" t="s">
        <v>222</v>
      </c>
      <c r="I1" s="215" t="s">
        <v>223</v>
      </c>
      <c r="J1" s="182" t="s">
        <v>224</v>
      </c>
      <c r="K1" s="216" t="s">
        <v>225</v>
      </c>
      <c r="L1" s="217"/>
      <c r="M1" s="217" t="s">
        <v>226</v>
      </c>
      <c r="N1" s="218"/>
      <c r="O1" s="182" t="s">
        <v>227</v>
      </c>
      <c r="P1" s="182"/>
      <c r="Q1" s="182"/>
      <c r="R1" s="182" t="s">
        <v>222</v>
      </c>
      <c r="S1" s="219" t="s">
        <v>225</v>
      </c>
      <c r="T1" s="220"/>
      <c r="U1" s="220" t="s">
        <v>228</v>
      </c>
      <c r="V1" s="920" t="s">
        <v>229</v>
      </c>
      <c r="W1" s="182"/>
      <c r="X1" s="182"/>
      <c r="Y1" s="221"/>
    </row>
    <row r="2" spans="1:25" ht="29" x14ac:dyDescent="0.35">
      <c r="A2" s="917"/>
      <c r="B2" s="919"/>
      <c r="C2" s="211"/>
      <c r="D2" s="214" t="s">
        <v>230</v>
      </c>
      <c r="E2" s="180" t="s">
        <v>170</v>
      </c>
      <c r="F2" s="214" t="s">
        <v>231</v>
      </c>
      <c r="G2" s="180" t="s">
        <v>170</v>
      </c>
      <c r="H2" s="116" t="s">
        <v>232</v>
      </c>
      <c r="I2" s="116" t="s">
        <v>233</v>
      </c>
      <c r="J2" s="116" t="s">
        <v>202</v>
      </c>
      <c r="K2" s="209" t="s">
        <v>174</v>
      </c>
      <c r="L2" s="210"/>
      <c r="M2" s="210" t="s">
        <v>174</v>
      </c>
      <c r="N2" s="211"/>
      <c r="O2" s="180" t="s">
        <v>234</v>
      </c>
      <c r="P2" s="116"/>
      <c r="Q2" s="116"/>
      <c r="R2" s="116" t="s">
        <v>232</v>
      </c>
      <c r="S2" s="212" t="s">
        <v>174</v>
      </c>
      <c r="T2" s="213"/>
      <c r="U2" s="213" t="s">
        <v>174</v>
      </c>
      <c r="V2" s="921"/>
      <c r="W2" s="116"/>
      <c r="X2" s="116"/>
      <c r="Y2" s="222"/>
    </row>
    <row r="3" spans="1:25" ht="31.9" customHeight="1" thickBot="1" x14ac:dyDescent="0.4">
      <c r="A3" s="223" t="s">
        <v>235</v>
      </c>
      <c r="B3" s="191" t="s">
        <v>236</v>
      </c>
      <c r="C3" s="227"/>
      <c r="D3" s="224" t="s">
        <v>237</v>
      </c>
      <c r="E3" s="191" t="s">
        <v>238</v>
      </c>
      <c r="F3" s="225" t="s">
        <v>239</v>
      </c>
      <c r="G3" s="191" t="s">
        <v>240</v>
      </c>
      <c r="H3" s="224" t="s">
        <v>241</v>
      </c>
      <c r="I3" s="192">
        <v>0.3</v>
      </c>
      <c r="J3" s="226">
        <v>2</v>
      </c>
      <c r="K3" s="923" t="s">
        <v>242</v>
      </c>
      <c r="L3" s="923"/>
      <c r="M3" s="923"/>
      <c r="N3" s="227"/>
      <c r="O3" s="191" t="s">
        <v>243</v>
      </c>
      <c r="P3" s="191" t="s">
        <v>244</v>
      </c>
      <c r="Q3" s="191" t="s">
        <v>245</v>
      </c>
      <c r="R3" s="224" t="s">
        <v>246</v>
      </c>
      <c r="S3" s="924" t="s">
        <v>247</v>
      </c>
      <c r="T3" s="924"/>
      <c r="U3" s="924"/>
      <c r="V3" s="922"/>
      <c r="W3" s="192"/>
      <c r="X3" s="192"/>
      <c r="Y3" s="228" t="s">
        <v>248</v>
      </c>
    </row>
    <row r="4" spans="1:25" x14ac:dyDescent="0.35">
      <c r="A4" s="229">
        <v>200</v>
      </c>
      <c r="B4" s="230">
        <v>2.3665407703220794E-2</v>
      </c>
      <c r="C4" s="235"/>
      <c r="D4" s="231">
        <f>A4+$I$3</f>
        <v>200.3</v>
      </c>
      <c r="E4" s="230">
        <f>_xll.SRS1Splines.Functions25.Cubic_Spline($A$4:$A$24,$B$4:$B$24,D4)</f>
        <v>2.36943687604226E-2</v>
      </c>
      <c r="F4" s="231">
        <f>A4-$I$3</f>
        <v>199.7</v>
      </c>
      <c r="G4" s="230">
        <f>_xll.SRS1Splines.Functions25.Cubic_Spline($A$4:$A$24,$B$4:$B$24,F4)</f>
        <v>2.3636446646019001E-2</v>
      </c>
      <c r="H4" s="232">
        <f>((E4-G4)/(D4-F4))/B4</f>
        <v>4.0792391388292312E-3</v>
      </c>
      <c r="I4" s="231"/>
      <c r="J4" s="231"/>
      <c r="K4" s="233">
        <f>$I$3/$J$3*H4*100</f>
        <v>6.1188587082438468E-2</v>
      </c>
      <c r="L4" s="276">
        <f>ABS(K4)</f>
        <v>6.1188587082438468E-2</v>
      </c>
      <c r="M4" s="234">
        <f>K4^2</f>
        <v>3.744043189145156E-3</v>
      </c>
      <c r="N4" s="235"/>
      <c r="O4" s="230">
        <f>'Uncertainty calc'!N20/'Uncertainty calc'!F20</f>
        <v>0.20868966228589764</v>
      </c>
      <c r="P4" s="230">
        <f>_xll.SRS1Splines.Functions25.Cubic_Spline($A$4:$A$24,$O$4:$O$24,D4)</f>
        <v>0.20880299115419501</v>
      </c>
      <c r="Q4" s="230">
        <f>_xll.SRS1Splines.Functions25.Cubic_Spline($A$4:$A$24,$O$4:$O$24,F4)</f>
        <v>0.20857633341760001</v>
      </c>
      <c r="R4" s="231">
        <f>((P4-Q4)/(D4-F4))/O4</f>
        <v>1.8101658231995264E-3</v>
      </c>
      <c r="S4" s="236">
        <f>$I$3/$J$3*R4*100</f>
        <v>2.7152487347992894E-2</v>
      </c>
      <c r="T4" s="279">
        <f>ABS(S4)</f>
        <v>2.7152487347992894E-2</v>
      </c>
      <c r="U4" s="237">
        <f>S4^2</f>
        <v>7.3725756918291419E-4</v>
      </c>
      <c r="V4" s="238">
        <f t="shared" ref="V4:V24" si="0">M4-U4</f>
        <v>3.0067856199622418E-3</v>
      </c>
      <c r="W4" s="231">
        <f>IF(V4&gt;0,1,"")</f>
        <v>1</v>
      </c>
      <c r="X4" s="239">
        <f>COUNT(W4:W24)</f>
        <v>19</v>
      </c>
      <c r="Y4" s="240">
        <f>MAX(L4,T4)</f>
        <v>6.1188587082438468E-2</v>
      </c>
    </row>
    <row r="5" spans="1:25" x14ac:dyDescent="0.35">
      <c r="A5" s="241">
        <v>210</v>
      </c>
      <c r="B5" s="184">
        <v>2.462929025606243E-2</v>
      </c>
      <c r="C5" s="203"/>
      <c r="D5" s="183">
        <f t="shared" ref="D5:D24" si="1">A5+$I$3</f>
        <v>210.3</v>
      </c>
      <c r="E5" s="184">
        <f>_xll.SRS1Splines.Functions25.Cubic_Spline($A$4:$A$24,$B$4:$B$24,D5)</f>
        <v>2.4658112619662199E-2</v>
      </c>
      <c r="F5" s="183">
        <f t="shared" ref="F5:F24" si="2">A5-$I$3</f>
        <v>209.7</v>
      </c>
      <c r="G5" s="184">
        <f>_xll.SRS1Splines.Functions25.Cubic_Spline($A$4:$A$24,$B$4:$B$24,F5)</f>
        <v>2.4600459045316599E-2</v>
      </c>
      <c r="H5" s="206">
        <f t="shared" ref="H5:H24" si="3">((E5-G5)/(D5-F5))/B5</f>
        <v>3.9014234505740353E-3</v>
      </c>
      <c r="I5" s="183"/>
      <c r="J5" s="183"/>
      <c r="K5" s="201">
        <f>$I$3/$J$3*H5*100</f>
        <v>5.8521351758610528E-2</v>
      </c>
      <c r="L5" s="277">
        <f t="shared" ref="L5:L24" si="4">ABS(K5)</f>
        <v>5.8521351758610528E-2</v>
      </c>
      <c r="M5" s="202">
        <f t="shared" ref="M5:M24" si="5">K5^2</f>
        <v>3.4247486116550274E-3</v>
      </c>
      <c r="N5" s="203"/>
      <c r="O5" s="184">
        <f>'Uncertainty calc'!N21/'Uncertainty calc'!F21</f>
        <v>0.21177377692229088</v>
      </c>
      <c r="P5" s="184">
        <f>_xll.SRS1Splines.Functions25.Cubic_Spline($A$4:$A$24,$O$4:$O$24,D5)</f>
        <v>0.21182277724922199</v>
      </c>
      <c r="Q5" s="184">
        <f>_xll.SRS1Splines.Functions25.Cubic_Spline($A$4:$A$24,$O$4:$O$24,F5)</f>
        <v>0.21172104639148501</v>
      </c>
      <c r="R5" s="183">
        <f t="shared" ref="R5:R24" si="6">((P5-Q5)/(D5-F5))/O5</f>
        <v>8.0062523333025433E-4</v>
      </c>
      <c r="S5" s="204">
        <f t="shared" ref="S5:S24" si="7">$I$3/$J$3*R5*100</f>
        <v>1.2009378499953814E-2</v>
      </c>
      <c r="T5" s="280">
        <f t="shared" ref="T5:T24" si="8">ABS(S5)</f>
        <v>1.2009378499953814E-2</v>
      </c>
      <c r="U5" s="205">
        <f t="shared" ref="U5:U24" si="9">S5^2</f>
        <v>1.4422517195515291E-4</v>
      </c>
      <c r="V5" s="207">
        <f t="shared" si="0"/>
        <v>3.2805234396998746E-3</v>
      </c>
      <c r="W5" s="183">
        <f t="shared" ref="W5:W24" si="10">IF(V5&gt;0,1,"")</f>
        <v>1</v>
      </c>
      <c r="X5" s="208">
        <f>COUNTBLANK(W4:W24)</f>
        <v>2</v>
      </c>
      <c r="Y5" s="242">
        <f t="shared" ref="Y5:Y24" si="11">MAX(L5,T5)</f>
        <v>5.8521351758610528E-2</v>
      </c>
    </row>
    <row r="6" spans="1:25" x14ac:dyDescent="0.35">
      <c r="A6" s="241">
        <v>220</v>
      </c>
      <c r="B6" s="184">
        <v>2.5554048414628886E-2</v>
      </c>
      <c r="C6" s="203"/>
      <c r="D6" s="183">
        <f t="shared" si="1"/>
        <v>220.3</v>
      </c>
      <c r="E6" s="184">
        <f>_xll.SRS1Splines.Functions25.Cubic_Spline($A$4:$A$24,$B$4:$B$24,D6)</f>
        <v>2.55796706352742E-2</v>
      </c>
      <c r="F6" s="183">
        <f t="shared" si="2"/>
        <v>219.7</v>
      </c>
      <c r="G6" s="184">
        <f>_xll.SRS1Splines.Functions25.Cubic_Spline($A$4:$A$24,$B$4:$B$24,F6)</f>
        <v>2.5528252071281302E-2</v>
      </c>
      <c r="H6" s="206">
        <f t="shared" si="3"/>
        <v>3.3535823860210124E-3</v>
      </c>
      <c r="I6" s="183"/>
      <c r="J6" s="183"/>
      <c r="K6" s="201">
        <f t="shared" ref="K6:K24" si="12">$I$3/$J$3*H6*100</f>
        <v>5.0303735790315177E-2</v>
      </c>
      <c r="L6" s="277">
        <f t="shared" si="4"/>
        <v>5.0303735790315177E-2</v>
      </c>
      <c r="M6" s="202">
        <f t="shared" si="5"/>
        <v>2.530465834461836E-3</v>
      </c>
      <c r="N6" s="203"/>
      <c r="O6" s="184">
        <f>'Uncertainty calc'!N22/'Uncertainty calc'!F22</f>
        <v>0.2113651647198419</v>
      </c>
      <c r="P6" s="184">
        <f>_xll.SRS1Splines.Functions25.Cubic_Spline($A$4:$A$24,$O$4:$O$24,D6)</f>
        <v>0.211287224455879</v>
      </c>
      <c r="Q6" s="184">
        <f>_xll.SRS1Splines.Functions25.Cubic_Spline($A$4:$A$24,$O$4:$O$24,F6)</f>
        <v>0.21143928443346699</v>
      </c>
      <c r="R6" s="183">
        <f t="shared" si="6"/>
        <v>-1.1990305796884572E-3</v>
      </c>
      <c r="S6" s="204">
        <f t="shared" si="7"/>
        <v>-1.7985458695326858E-2</v>
      </c>
      <c r="T6" s="280">
        <f t="shared" si="8"/>
        <v>1.7985458695326858E-2</v>
      </c>
      <c r="U6" s="205">
        <f t="shared" si="9"/>
        <v>3.234767244813085E-4</v>
      </c>
      <c r="V6" s="207">
        <f t="shared" si="0"/>
        <v>2.2069891099805276E-3</v>
      </c>
      <c r="W6" s="183">
        <f t="shared" si="10"/>
        <v>1</v>
      </c>
      <c r="X6" s="183"/>
      <c r="Y6" s="242">
        <f t="shared" si="11"/>
        <v>5.0303735790315177E-2</v>
      </c>
    </row>
    <row r="7" spans="1:25" x14ac:dyDescent="0.35">
      <c r="A7" s="241">
        <v>230</v>
      </c>
      <c r="B7" s="184">
        <v>2.6465759369078398E-2</v>
      </c>
      <c r="C7" s="203"/>
      <c r="D7" s="183">
        <f t="shared" si="1"/>
        <v>230.3</v>
      </c>
      <c r="E7" s="184">
        <f>_xll.SRS1Splines.Functions25.Cubic_Spline($A$4:$A$24,$B$4:$B$24,D7)</f>
        <v>2.6499688718762002E-2</v>
      </c>
      <c r="F7" s="183">
        <f t="shared" si="2"/>
        <v>229.7</v>
      </c>
      <c r="G7" s="184">
        <f>_xll.SRS1Splines.Functions25.Cubic_Spline($A$4:$A$24,$B$4:$B$24,F7)</f>
        <v>2.6432457801507998E-2</v>
      </c>
      <c r="H7" s="206">
        <f t="shared" si="3"/>
        <v>4.233830104553314E-3</v>
      </c>
      <c r="I7" s="183"/>
      <c r="J7" s="183"/>
      <c r="K7" s="201">
        <f t="shared" si="12"/>
        <v>6.3507451568299705E-2</v>
      </c>
      <c r="L7" s="277">
        <f t="shared" si="4"/>
        <v>6.3507451568299705E-2</v>
      </c>
      <c r="M7" s="202">
        <f t="shared" si="5"/>
        <v>4.0331964046999326E-3</v>
      </c>
      <c r="N7" s="203"/>
      <c r="O7" s="184">
        <f>'Uncertainty calc'!N23/'Uncertainty calc'!F23</f>
        <v>0.20839180605573543</v>
      </c>
      <c r="P7" s="184">
        <f>_xll.SRS1Splines.Functions25.Cubic_Spline($A$4:$A$24,$O$4:$O$24,D7)</f>
        <v>0.20834340443216001</v>
      </c>
      <c r="Q7" s="184">
        <f>_xll.SRS1Splines.Functions25.Cubic_Spline($A$4:$A$24,$O$4:$O$24,F7)</f>
        <v>0.20844548523911499</v>
      </c>
      <c r="R7" s="183">
        <f t="shared" si="6"/>
        <v>-8.1641731255397473E-4</v>
      </c>
      <c r="S7" s="204">
        <f t="shared" si="7"/>
        <v>-1.224625968830962E-2</v>
      </c>
      <c r="T7" s="280">
        <f t="shared" si="8"/>
        <v>1.224625968830962E-2</v>
      </c>
      <c r="U7" s="205">
        <f t="shared" si="9"/>
        <v>1.4997087635351724E-4</v>
      </c>
      <c r="V7" s="207">
        <f t="shared" si="0"/>
        <v>3.8832255283464154E-3</v>
      </c>
      <c r="W7" s="183">
        <f t="shared" si="10"/>
        <v>1</v>
      </c>
      <c r="X7" s="183"/>
      <c r="Y7" s="242">
        <f t="shared" si="11"/>
        <v>6.3507451568299705E-2</v>
      </c>
    </row>
    <row r="8" spans="1:25" x14ac:dyDescent="0.35">
      <c r="A8" s="241">
        <v>240</v>
      </c>
      <c r="B8" s="184">
        <v>2.7127502542656202E-2</v>
      </c>
      <c r="C8" s="203"/>
      <c r="D8" s="183">
        <f t="shared" si="1"/>
        <v>240.3</v>
      </c>
      <c r="E8" s="184">
        <f>_xll.SRS1Splines.Functions25.Cubic_Spline($A$4:$A$24,$B$4:$B$24,D8)</f>
        <v>2.71070352777724E-2</v>
      </c>
      <c r="F8" s="183">
        <f t="shared" si="2"/>
        <v>239.7</v>
      </c>
      <c r="G8" s="184">
        <f>_xll.SRS1Splines.Functions25.Cubic_Spline($A$4:$A$24,$B$4:$B$24,F8)</f>
        <v>2.7144225768610301E-2</v>
      </c>
      <c r="H8" s="206">
        <f t="shared" si="3"/>
        <v>-2.2849191995847526E-3</v>
      </c>
      <c r="I8" s="183"/>
      <c r="J8" s="183"/>
      <c r="K8" s="201">
        <f t="shared" si="12"/>
        <v>-3.4273787993771287E-2</v>
      </c>
      <c r="L8" s="277">
        <f t="shared" si="4"/>
        <v>3.4273787993771287E-2</v>
      </c>
      <c r="M8" s="202">
        <f t="shared" si="5"/>
        <v>1.1746925434419808E-3</v>
      </c>
      <c r="N8" s="203"/>
      <c r="O8" s="184">
        <f>'Uncertainty calc'!N24/'Uncertainty calc'!F24</f>
        <v>0.20803299495901997</v>
      </c>
      <c r="P8" s="184">
        <f>_xll.SRS1Splines.Functions25.Cubic_Spline($A$4:$A$24,$O$4:$O$24,D8)</f>
        <v>0.208011605907437</v>
      </c>
      <c r="Q8" s="184">
        <f>_xll.SRS1Splines.Functions25.Cubic_Spline($A$4:$A$24,$O$4:$O$24,F8)</f>
        <v>0.20805097322784499</v>
      </c>
      <c r="R8" s="183">
        <f t="shared" si="6"/>
        <v>-3.1539324179275581E-4</v>
      </c>
      <c r="S8" s="204">
        <f t="shared" si="7"/>
        <v>-4.7308986268913373E-3</v>
      </c>
      <c r="T8" s="280">
        <f t="shared" si="8"/>
        <v>4.7308986268913373E-3</v>
      </c>
      <c r="U8" s="205">
        <f t="shared" si="9"/>
        <v>2.2381401817922341E-5</v>
      </c>
      <c r="V8" s="207">
        <f t="shared" si="0"/>
        <v>1.1523111416240584E-3</v>
      </c>
      <c r="W8" s="183">
        <f t="shared" si="10"/>
        <v>1</v>
      </c>
      <c r="X8" s="183"/>
      <c r="Y8" s="242">
        <f t="shared" si="11"/>
        <v>3.4273787993771287E-2</v>
      </c>
    </row>
    <row r="9" spans="1:25" x14ac:dyDescent="0.35">
      <c r="A9" s="241">
        <v>250</v>
      </c>
      <c r="B9" s="184">
        <v>2.518357356251336E-2</v>
      </c>
      <c r="C9" s="203"/>
      <c r="D9" s="183">
        <f t="shared" si="1"/>
        <v>250.3</v>
      </c>
      <c r="E9" s="184">
        <f>_xll.SRS1Splines.Functions25.Cubic_Spline($A$4:$A$24,$B$4:$B$24,D9)</f>
        <v>2.51091381268157E-2</v>
      </c>
      <c r="F9" s="183">
        <f t="shared" si="2"/>
        <v>249.7</v>
      </c>
      <c r="G9" s="184">
        <f>_xll.SRS1Splines.Functions25.Cubic_Spline($A$4:$A$24,$B$4:$B$24,F9)</f>
        <v>2.5258407238061099E-2</v>
      </c>
      <c r="H9" s="206">
        <f t="shared" si="3"/>
        <v>-9.8787350992146639E-3</v>
      </c>
      <c r="I9" s="183"/>
      <c r="J9" s="183"/>
      <c r="K9" s="201">
        <f t="shared" si="12"/>
        <v>-0.14818102648821996</v>
      </c>
      <c r="L9" s="277">
        <f t="shared" si="4"/>
        <v>0.14818102648821996</v>
      </c>
      <c r="M9" s="202">
        <f t="shared" si="5"/>
        <v>2.1957616611102546E-2</v>
      </c>
      <c r="N9" s="203"/>
      <c r="O9" s="184">
        <f>'Uncertainty calc'!N25/'Uncertainty calc'!F25</f>
        <v>0.20659207188280032</v>
      </c>
      <c r="P9" s="184">
        <f>_xll.SRS1Splines.Functions25.Cubic_Spline($A$4:$A$24,$O$4:$O$24,D9)</f>
        <v>0.20656118878986199</v>
      </c>
      <c r="Q9" s="184">
        <f>_xll.SRS1Splines.Functions25.Cubic_Spline($A$4:$A$24,$O$4:$O$24,F9)</f>
        <v>0.20662563380714699</v>
      </c>
      <c r="R9" s="183">
        <f t="shared" si="6"/>
        <v>-5.1990553733640115E-4</v>
      </c>
      <c r="S9" s="204">
        <f t="shared" si="7"/>
        <v>-7.7985830600460172E-3</v>
      </c>
      <c r="T9" s="280">
        <f t="shared" si="8"/>
        <v>7.7985830600460172E-3</v>
      </c>
      <c r="U9" s="205">
        <f t="shared" si="9"/>
        <v>6.0817897744436703E-5</v>
      </c>
      <c r="V9" s="207">
        <f t="shared" si="0"/>
        <v>2.1896798713358111E-2</v>
      </c>
      <c r="W9" s="183">
        <f t="shared" si="10"/>
        <v>1</v>
      </c>
      <c r="X9" s="183"/>
      <c r="Y9" s="242">
        <f t="shared" si="11"/>
        <v>0.14818102648821996</v>
      </c>
    </row>
    <row r="10" spans="1:25" x14ac:dyDescent="0.35">
      <c r="A10" s="241">
        <v>260</v>
      </c>
      <c r="B10" s="184">
        <v>2.2741078225655815E-2</v>
      </c>
      <c r="C10" s="203"/>
      <c r="D10" s="183">
        <f t="shared" si="1"/>
        <v>260.3</v>
      </c>
      <c r="E10" s="184">
        <f>_xll.SRS1Splines.Functions25.Cubic_Spline($A$4:$A$24,$B$4:$B$24,D10)</f>
        <v>2.2663185608436099E-2</v>
      </c>
      <c r="F10" s="183">
        <f t="shared" si="2"/>
        <v>259.7</v>
      </c>
      <c r="G10" s="184">
        <f>_xll.SRS1Splines.Functions25.Cubic_Spline($A$4:$A$24,$B$4:$B$24,F10)</f>
        <v>2.28183954650211E-2</v>
      </c>
      <c r="H10" s="206">
        <f t="shared" si="3"/>
        <v>-1.1375146408690777E-2</v>
      </c>
      <c r="I10" s="183"/>
      <c r="J10" s="183"/>
      <c r="K10" s="201">
        <f t="shared" si="12"/>
        <v>-0.17062719613036165</v>
      </c>
      <c r="L10" s="277">
        <f t="shared" si="4"/>
        <v>0.17062719613036165</v>
      </c>
      <c r="M10" s="202">
        <f t="shared" si="5"/>
        <v>2.9113640059308901E-2</v>
      </c>
      <c r="N10" s="203"/>
      <c r="O10" s="184">
        <f>'Uncertainty calc'!N26/'Uncertainty calc'!F26</f>
        <v>0.2061747799243501</v>
      </c>
      <c r="P10" s="184">
        <f>_xll.SRS1Splines.Functions25.Cubic_Spline($A$4:$A$24,$O$4:$O$24,D10)</f>
        <v>0.206155210073455</v>
      </c>
      <c r="Q10" s="184">
        <f>_xll.SRS1Splines.Functions25.Cubic_Spline($A$4:$A$24,$O$4:$O$24,F10)</f>
        <v>0.20619250026021399</v>
      </c>
      <c r="R10" s="183">
        <f t="shared" si="6"/>
        <v>-3.0144478043235686E-4</v>
      </c>
      <c r="S10" s="204">
        <f t="shared" si="7"/>
        <v>-4.5216717064853525E-3</v>
      </c>
      <c r="T10" s="280">
        <f t="shared" si="8"/>
        <v>4.5216717064853525E-3</v>
      </c>
      <c r="U10" s="205">
        <f t="shared" si="9"/>
        <v>2.044551502123016E-5</v>
      </c>
      <c r="V10" s="207">
        <f t="shared" si="0"/>
        <v>2.909319454428767E-2</v>
      </c>
      <c r="W10" s="183">
        <f t="shared" si="10"/>
        <v>1</v>
      </c>
      <c r="X10" s="183"/>
      <c r="Y10" s="242">
        <f t="shared" si="11"/>
        <v>0.17062719613036165</v>
      </c>
    </row>
    <row r="11" spans="1:25" x14ac:dyDescent="0.35">
      <c r="A11" s="241">
        <v>270</v>
      </c>
      <c r="B11" s="184">
        <v>2.0640490566456983E-2</v>
      </c>
      <c r="C11" s="203"/>
      <c r="D11" s="183">
        <f t="shared" si="1"/>
        <v>270.3</v>
      </c>
      <c r="E11" s="184">
        <f>_xll.SRS1Splines.Functions25.Cubic_Spline($A$4:$A$24,$B$4:$B$24,D11)</f>
        <v>2.0618625719279599E-2</v>
      </c>
      <c r="F11" s="183">
        <f t="shared" si="2"/>
        <v>269.7</v>
      </c>
      <c r="G11" s="184">
        <f>_xll.SRS1Splines.Functions25.Cubic_Spline($A$4:$A$24,$B$4:$B$24,F11)</f>
        <v>2.0666165861023902E-2</v>
      </c>
      <c r="H11" s="206">
        <f t="shared" si="3"/>
        <v>-3.838744496828847E-3</v>
      </c>
      <c r="I11" s="183"/>
      <c r="J11" s="183"/>
      <c r="K11" s="201">
        <f t="shared" si="12"/>
        <v>-5.7581167452432698E-2</v>
      </c>
      <c r="L11" s="277">
        <f t="shared" si="4"/>
        <v>5.7581167452432698E-2</v>
      </c>
      <c r="M11" s="202">
        <f t="shared" si="5"/>
        <v>3.3155908451850949E-3</v>
      </c>
      <c r="N11" s="203"/>
      <c r="O11" s="184">
        <f>'Uncertainty calc'!N27/'Uncertainty calc'!F27</f>
        <v>0.20619870695761222</v>
      </c>
      <c r="P11" s="184">
        <f>_xll.SRS1Splines.Functions25.Cubic_Spline($A$4:$A$24,$O$4:$O$24,D11)</f>
        <v>0.206273867012715</v>
      </c>
      <c r="Q11" s="184">
        <f>_xll.SRS1Splines.Functions25.Cubic_Spline($A$4:$A$24,$O$4:$O$24,F11)</f>
        <v>0.20613087354948301</v>
      </c>
      <c r="R11" s="183">
        <f t="shared" si="6"/>
        <v>1.1557901707354699E-3</v>
      </c>
      <c r="S11" s="204">
        <f t="shared" si="7"/>
        <v>1.7336852561032047E-2</v>
      </c>
      <c r="T11" s="280">
        <f t="shared" si="8"/>
        <v>1.7336852561032047E-2</v>
      </c>
      <c r="U11" s="205">
        <f t="shared" si="9"/>
        <v>3.0056645672296343E-4</v>
      </c>
      <c r="V11" s="207">
        <f t="shared" si="0"/>
        <v>3.0150243884621312E-3</v>
      </c>
      <c r="W11" s="183">
        <f t="shared" si="10"/>
        <v>1</v>
      </c>
      <c r="X11" s="183"/>
      <c r="Y11" s="242">
        <f t="shared" si="11"/>
        <v>5.7581167452432698E-2</v>
      </c>
    </row>
    <row r="12" spans="1:25" x14ac:dyDescent="0.35">
      <c r="A12" s="241">
        <v>280</v>
      </c>
      <c r="B12" s="184">
        <v>2.1976890632902254E-2</v>
      </c>
      <c r="C12" s="203"/>
      <c r="D12" s="183">
        <f t="shared" si="1"/>
        <v>280.3</v>
      </c>
      <c r="E12" s="184">
        <f>_xll.SRS1Splines.Functions25.Cubic_Spline($A$4:$A$24,$B$4:$B$24,D12)</f>
        <v>2.2082744895116801E-2</v>
      </c>
      <c r="F12" s="183">
        <f t="shared" si="2"/>
        <v>279.7</v>
      </c>
      <c r="G12" s="184">
        <f>_xll.SRS1Splines.Functions25.Cubic_Spline($A$4:$A$24,$B$4:$B$24,F12)</f>
        <v>2.1874845398314999E-2</v>
      </c>
      <c r="H12" s="206">
        <f t="shared" si="3"/>
        <v>1.5766523441563179E-2</v>
      </c>
      <c r="I12" s="183"/>
      <c r="J12" s="183"/>
      <c r="K12" s="201">
        <f t="shared" si="12"/>
        <v>0.23649785162344769</v>
      </c>
      <c r="L12" s="277">
        <f t="shared" si="4"/>
        <v>0.23649785162344769</v>
      </c>
      <c r="M12" s="202">
        <f t="shared" si="5"/>
        <v>5.5931233822506282E-2</v>
      </c>
      <c r="N12" s="203"/>
      <c r="O12" s="184">
        <f>'Uncertainty calc'!N28/'Uncertainty calc'!F28</f>
        <v>0.21440868910148542</v>
      </c>
      <c r="P12" s="184">
        <f>_xll.SRS1Splines.Functions25.Cubic_Spline($A$4:$A$24,$O$4:$O$24,D12)</f>
        <v>0.21489083176577101</v>
      </c>
      <c r="Q12" s="184">
        <f>_xll.SRS1Splines.Functions25.Cubic_Spline($A$4:$A$24,$O$4:$O$24,F12)</f>
        <v>0.21394314381042001</v>
      </c>
      <c r="R12" s="183">
        <f t="shared" si="6"/>
        <v>7.366678711595135E-3</v>
      </c>
      <c r="S12" s="204">
        <f t="shared" si="7"/>
        <v>0.11050018067392701</v>
      </c>
      <c r="T12" s="280">
        <f t="shared" si="8"/>
        <v>0.11050018067392701</v>
      </c>
      <c r="U12" s="205">
        <f t="shared" si="9"/>
        <v>1.2210289928970513E-2</v>
      </c>
      <c r="V12" s="207">
        <f t="shared" si="0"/>
        <v>4.3720943893535771E-2</v>
      </c>
      <c r="W12" s="183">
        <f t="shared" si="10"/>
        <v>1</v>
      </c>
      <c r="X12" s="183"/>
      <c r="Y12" s="242">
        <f t="shared" si="11"/>
        <v>0.23649785162344769</v>
      </c>
    </row>
    <row r="13" spans="1:25" x14ac:dyDescent="0.35">
      <c r="A13" s="241">
        <v>290</v>
      </c>
      <c r="B13" s="184">
        <v>2.6723344120522758E-2</v>
      </c>
      <c r="C13" s="203"/>
      <c r="D13" s="183">
        <f t="shared" si="1"/>
        <v>290.3</v>
      </c>
      <c r="E13" s="184">
        <f>_xll.SRS1Splines.Functions25.Cubic_Spline($A$4:$A$24,$B$4:$B$24,D13)</f>
        <v>2.68783550077785E-2</v>
      </c>
      <c r="F13" s="183">
        <f t="shared" si="2"/>
        <v>289.7</v>
      </c>
      <c r="G13" s="184">
        <f>_xll.SRS1Splines.Functions25.Cubic_Spline($A$4:$A$24,$B$4:$B$24,F13)</f>
        <v>2.6567600815902301E-2</v>
      </c>
      <c r="H13" s="206">
        <f t="shared" si="3"/>
        <v>1.9380944644919199E-2</v>
      </c>
      <c r="I13" s="183"/>
      <c r="J13" s="183"/>
      <c r="K13" s="201">
        <f t="shared" si="12"/>
        <v>0.29071416967378799</v>
      </c>
      <c r="L13" s="277">
        <f t="shared" si="4"/>
        <v>0.29071416967378799</v>
      </c>
      <c r="M13" s="202">
        <f t="shared" si="5"/>
        <v>8.4514728449119988E-2</v>
      </c>
      <c r="N13" s="203"/>
      <c r="O13" s="184">
        <f>'Uncertainty calc'!N29/'Uncertainty calc'!F29</f>
        <v>0.23298469154771367</v>
      </c>
      <c r="P13" s="184">
        <f>_xll.SRS1Splines.Functions25.Cubic_Spline($A$4:$A$24,$O$4:$O$24,D13)</f>
        <v>0.233419108970224</v>
      </c>
      <c r="Q13" s="184">
        <f>_xll.SRS1Splines.Functions25.Cubic_Spline($A$4:$A$24,$O$4:$O$24,F13)</f>
        <v>0.232531896902751</v>
      </c>
      <c r="R13" s="183">
        <f t="shared" si="6"/>
        <v>6.3467121779491762E-3</v>
      </c>
      <c r="S13" s="204">
        <f t="shared" si="7"/>
        <v>9.5200682669237632E-2</v>
      </c>
      <c r="T13" s="280">
        <f t="shared" si="8"/>
        <v>9.5200682669237632E-2</v>
      </c>
      <c r="U13" s="205">
        <f t="shared" si="9"/>
        <v>9.0631699806888819E-3</v>
      </c>
      <c r="V13" s="207">
        <f t="shared" si="0"/>
        <v>7.5451558468431101E-2</v>
      </c>
      <c r="W13" s="183">
        <f t="shared" si="10"/>
        <v>1</v>
      </c>
      <c r="X13" s="183"/>
      <c r="Y13" s="242">
        <f t="shared" si="11"/>
        <v>0.29071416967378799</v>
      </c>
    </row>
    <row r="14" spans="1:25" x14ac:dyDescent="0.35">
      <c r="A14" s="241">
        <v>300</v>
      </c>
      <c r="B14" s="184">
        <v>3.1143733750537701E-2</v>
      </c>
      <c r="C14" s="203"/>
      <c r="D14" s="183">
        <f t="shared" si="1"/>
        <v>300.3</v>
      </c>
      <c r="E14" s="184">
        <f>_xll.SRS1Splines.Functions25.Cubic_Spline($A$4:$A$24,$B$4:$B$24,D14)</f>
        <v>3.12419188569492E-2</v>
      </c>
      <c r="F14" s="183">
        <f t="shared" si="2"/>
        <v>299.7</v>
      </c>
      <c r="G14" s="184">
        <f>_xll.SRS1Splines.Functions25.Cubic_Spline($A$4:$A$24,$B$4:$B$24,F14)</f>
        <v>3.1042956825770698E-2</v>
      </c>
      <c r="H14" s="206">
        <f t="shared" si="3"/>
        <v>1.0647515418467262E-2</v>
      </c>
      <c r="I14" s="183"/>
      <c r="J14" s="183"/>
      <c r="K14" s="201">
        <f t="shared" si="12"/>
        <v>0.15971273127700894</v>
      </c>
      <c r="L14" s="277">
        <f t="shared" si="4"/>
        <v>0.15971273127700894</v>
      </c>
      <c r="M14" s="202">
        <f t="shared" si="5"/>
        <v>2.5508156531962069E-2</v>
      </c>
      <c r="N14" s="203"/>
      <c r="O14" s="184">
        <f>'Uncertainty calc'!N30/'Uncertainty calc'!F30</f>
        <v>0.24049215251380462</v>
      </c>
      <c r="P14" s="184">
        <f>_xll.SRS1Splines.Functions25.Cubic_Spline($A$4:$A$24,$O$4:$O$24,D14)</f>
        <v>0.24059010666262201</v>
      </c>
      <c r="Q14" s="184">
        <f>_xll.SRS1Splines.Functions25.Cubic_Spline($A$4:$A$24,$O$4:$O$24,F14)</f>
        <v>0.24039205834878399</v>
      </c>
      <c r="R14" s="183">
        <f t="shared" si="6"/>
        <v>1.372520972568544E-3</v>
      </c>
      <c r="S14" s="204">
        <f t="shared" si="7"/>
        <v>2.058781458852816E-2</v>
      </c>
      <c r="T14" s="280">
        <f t="shared" si="8"/>
        <v>2.058781458852816E-2</v>
      </c>
      <c r="U14" s="205">
        <f t="shared" si="9"/>
        <v>4.2385810953161294E-4</v>
      </c>
      <c r="V14" s="207">
        <f t="shared" si="0"/>
        <v>2.5084298422430457E-2</v>
      </c>
      <c r="W14" s="183">
        <f t="shared" si="10"/>
        <v>1</v>
      </c>
      <c r="X14" s="183"/>
      <c r="Y14" s="242">
        <f t="shared" si="11"/>
        <v>0.15971273127700894</v>
      </c>
    </row>
    <row r="15" spans="1:25" x14ac:dyDescent="0.35">
      <c r="A15" s="241">
        <v>310</v>
      </c>
      <c r="B15" s="184">
        <v>3.3290262388950088E-2</v>
      </c>
      <c r="C15" s="203"/>
      <c r="D15" s="183">
        <f t="shared" si="1"/>
        <v>310.3</v>
      </c>
      <c r="E15" s="184">
        <f>_xll.SRS1Splines.Functions25.Cubic_Spline($A$4:$A$24,$B$4:$B$24,D15)</f>
        <v>3.3327421254994299E-2</v>
      </c>
      <c r="F15" s="183">
        <f t="shared" si="2"/>
        <v>309.7</v>
      </c>
      <c r="G15" s="184">
        <f>_xll.SRS1Splines.Functions25.Cubic_Spline($A$4:$A$24,$B$4:$B$24,F15)</f>
        <v>3.3252003914325499E-2</v>
      </c>
      <c r="H15" s="206">
        <f t="shared" si="3"/>
        <v>3.7757457815367104E-3</v>
      </c>
      <c r="I15" s="183"/>
      <c r="J15" s="183"/>
      <c r="K15" s="201">
        <f t="shared" si="12"/>
        <v>5.6636186723050652E-2</v>
      </c>
      <c r="L15" s="277">
        <f t="shared" si="4"/>
        <v>5.6636186723050652E-2</v>
      </c>
      <c r="M15" s="202">
        <f t="shared" si="5"/>
        <v>3.2076576465282589E-3</v>
      </c>
      <c r="N15" s="203"/>
      <c r="O15" s="184">
        <f>'Uncertainty calc'!N31/'Uncertainty calc'!F31</f>
        <v>0.24211099919236426</v>
      </c>
      <c r="P15" s="184">
        <f>_xll.SRS1Splines.Functions25.Cubic_Spline($A$4:$A$24,$O$4:$O$24,D15)</f>
        <v>0.24209029823800099</v>
      </c>
      <c r="Q15" s="184">
        <f>_xll.SRS1Splines.Functions25.Cubic_Spline($A$4:$A$24,$O$4:$O$24,F15)</f>
        <v>0.24212676369277999</v>
      </c>
      <c r="R15" s="183">
        <f t="shared" si="6"/>
        <v>-2.5102435728960337E-4</v>
      </c>
      <c r="S15" s="204">
        <f t="shared" si="7"/>
        <v>-3.7653653593440507E-3</v>
      </c>
      <c r="T15" s="280">
        <f t="shared" si="8"/>
        <v>3.7653653593440507E-3</v>
      </c>
      <c r="U15" s="205">
        <f t="shared" si="9"/>
        <v>1.4177976289348152E-5</v>
      </c>
      <c r="V15" s="207">
        <f t="shared" si="0"/>
        <v>3.1934796702389107E-3</v>
      </c>
      <c r="W15" s="183">
        <f t="shared" si="10"/>
        <v>1</v>
      </c>
      <c r="X15" s="183"/>
      <c r="Y15" s="242">
        <f t="shared" si="11"/>
        <v>5.6636186723050652E-2</v>
      </c>
    </row>
    <row r="16" spans="1:25" x14ac:dyDescent="0.35">
      <c r="A16" s="241">
        <v>320</v>
      </c>
      <c r="B16" s="184">
        <v>3.4161428735796563E-2</v>
      </c>
      <c r="C16" s="203"/>
      <c r="D16" s="183">
        <f t="shared" si="1"/>
        <v>320.3</v>
      </c>
      <c r="E16" s="184">
        <f>_xll.SRS1Splines.Functions25.Cubic_Spline($A$4:$A$24,$B$4:$B$24,D16)</f>
        <v>3.4182788889082001E-2</v>
      </c>
      <c r="F16" s="183">
        <f t="shared" si="2"/>
        <v>319.7</v>
      </c>
      <c r="G16" s="184">
        <f>_xll.SRS1Splines.Functions25.Cubic_Spline($A$4:$A$24,$B$4:$B$24,F16)</f>
        <v>3.4140176572736401E-2</v>
      </c>
      <c r="H16" s="206">
        <f t="shared" si="3"/>
        <v>2.0789682946791956E-3</v>
      </c>
      <c r="I16" s="183"/>
      <c r="J16" s="183"/>
      <c r="K16" s="201">
        <f>$I$3/$J$3*H16*100</f>
        <v>3.1184524420187931E-2</v>
      </c>
      <c r="L16" s="277">
        <f t="shared" si="4"/>
        <v>3.1184524420187931E-2</v>
      </c>
      <c r="M16" s="202">
        <f t="shared" si="5"/>
        <v>9.7247456331329746E-4</v>
      </c>
      <c r="N16" s="203"/>
      <c r="O16" s="184">
        <f>'Uncertainty calc'!N32/'Uncertainty calc'!F32</f>
        <v>0.24023508253021494</v>
      </c>
      <c r="P16" s="184">
        <f>_xll.SRS1Splines.Functions25.Cubic_Spline($A$4:$A$24,$O$4:$O$24,D16)</f>
        <v>0.24018750047825899</v>
      </c>
      <c r="Q16" s="184">
        <f>_xll.SRS1Splines.Functions25.Cubic_Spline($A$4:$A$24,$O$4:$O$24,F16)</f>
        <v>0.24028575449709899</v>
      </c>
      <c r="R16" s="183">
        <f t="shared" si="6"/>
        <v>-6.8165189006511007E-4</v>
      </c>
      <c r="S16" s="204">
        <f t="shared" si="7"/>
        <v>-1.0224778350976651E-2</v>
      </c>
      <c r="T16" s="280">
        <f t="shared" si="8"/>
        <v>1.0224778350976651E-2</v>
      </c>
      <c r="U16" s="205">
        <f t="shared" si="9"/>
        <v>1.045460923266008E-4</v>
      </c>
      <c r="V16" s="207">
        <f t="shared" si="0"/>
        <v>8.6792847098669671E-4</v>
      </c>
      <c r="W16" s="183">
        <f t="shared" si="10"/>
        <v>1</v>
      </c>
      <c r="X16" s="183"/>
      <c r="Y16" s="242">
        <f t="shared" si="11"/>
        <v>3.1184524420187931E-2</v>
      </c>
    </row>
    <row r="17" spans="1:25" x14ac:dyDescent="0.35">
      <c r="A17" s="241">
        <v>330</v>
      </c>
      <c r="B17" s="184">
        <v>3.4929580482832692E-2</v>
      </c>
      <c r="C17" s="203"/>
      <c r="D17" s="183">
        <f t="shared" si="1"/>
        <v>330.3</v>
      </c>
      <c r="E17" s="184">
        <f>_xll.SRS1Splines.Functions25.Cubic_Spline($A$4:$A$24,$B$4:$B$24,D17)</f>
        <v>3.4954246735537403E-2</v>
      </c>
      <c r="F17" s="183">
        <f t="shared" si="2"/>
        <v>329.7</v>
      </c>
      <c r="G17" s="184">
        <f>_xll.SRS1Splines.Functions25.Cubic_Spline($A$4:$A$24,$B$4:$B$24,F17)</f>
        <v>3.49049991884414E-2</v>
      </c>
      <c r="H17" s="206">
        <f t="shared" si="3"/>
        <v>2.3498491543676565E-3</v>
      </c>
      <c r="I17" s="183"/>
      <c r="J17" s="183"/>
      <c r="K17" s="201">
        <f t="shared" si="12"/>
        <v>3.5247737315514845E-2</v>
      </c>
      <c r="L17" s="277">
        <f t="shared" si="4"/>
        <v>3.5247737315514845E-2</v>
      </c>
      <c r="M17" s="202">
        <f t="shared" si="5"/>
        <v>1.2424029858635376E-3</v>
      </c>
      <c r="N17" s="203"/>
      <c r="O17" s="184">
        <f>'Uncertainty calc'!N33/'Uncertainty calc'!F33</f>
        <v>0.24006584524283639</v>
      </c>
      <c r="P17" s="184">
        <f>_xll.SRS1Splines.Functions25.Cubic_Spline($A$4:$A$24,$O$4:$O$24,D17)</f>
        <v>0.24009743318576099</v>
      </c>
      <c r="Q17" s="184">
        <f>_xll.SRS1Splines.Functions25.Cubic_Spline($A$4:$A$24,$O$4:$O$24,F17)</f>
        <v>0.24003592432569801</v>
      </c>
      <c r="R17" s="183">
        <f t="shared" si="6"/>
        <v>4.2702770428643512E-4</v>
      </c>
      <c r="S17" s="204">
        <f t="shared" si="7"/>
        <v>6.4054155642965264E-3</v>
      </c>
      <c r="T17" s="280">
        <f t="shared" si="8"/>
        <v>6.4054155642965264E-3</v>
      </c>
      <c r="U17" s="205">
        <f t="shared" si="9"/>
        <v>4.1029348551332188E-5</v>
      </c>
      <c r="V17" s="207">
        <f t="shared" si="0"/>
        <v>1.2013736373122053E-3</v>
      </c>
      <c r="W17" s="183">
        <f t="shared" si="10"/>
        <v>1</v>
      </c>
      <c r="X17" s="183"/>
      <c r="Y17" s="242">
        <f t="shared" si="11"/>
        <v>3.5247737315514845E-2</v>
      </c>
    </row>
    <row r="18" spans="1:25" x14ac:dyDescent="0.35">
      <c r="A18" s="241">
        <v>340</v>
      </c>
      <c r="B18" s="184">
        <v>3.5788897656210218E-2</v>
      </c>
      <c r="C18" s="203"/>
      <c r="D18" s="183">
        <f t="shared" si="1"/>
        <v>340.3</v>
      </c>
      <c r="E18" s="184">
        <f>_xll.SRS1Splines.Functions25.Cubic_Spline($A$4:$A$24,$B$4:$B$24,D18)</f>
        <v>3.5815581137763099E-2</v>
      </c>
      <c r="F18" s="183">
        <f t="shared" si="2"/>
        <v>339.7</v>
      </c>
      <c r="G18" s="184">
        <f>_xll.SRS1Splines.Functions25.Cubic_Spline($A$4:$A$24,$B$4:$B$24,F18)</f>
        <v>3.5762243697788597E-2</v>
      </c>
      <c r="H18" s="206">
        <f t="shared" si="3"/>
        <v>2.4838913493444091E-3</v>
      </c>
      <c r="I18" s="183"/>
      <c r="J18" s="183"/>
      <c r="K18" s="201">
        <f t="shared" si="12"/>
        <v>3.7258370240166136E-2</v>
      </c>
      <c r="L18" s="277">
        <f t="shared" si="4"/>
        <v>3.7258370240166136E-2</v>
      </c>
      <c r="M18" s="202">
        <f t="shared" si="5"/>
        <v>1.3881861529532976E-3</v>
      </c>
      <c r="N18" s="203"/>
      <c r="O18" s="184">
        <f>'Uncertainty calc'!N34/'Uncertainty calc'!F34</f>
        <v>0.24214409780927076</v>
      </c>
      <c r="P18" s="184">
        <f>_xll.SRS1Splines.Functions25.Cubic_Spline($A$4:$A$24,$O$4:$O$24,D18)</f>
        <v>0.24224318540828599</v>
      </c>
      <c r="Q18" s="184">
        <f>_xll.SRS1Splines.Functions25.Cubic_Spline($A$4:$A$24,$O$4:$O$24,F18)</f>
        <v>0.24204735175654499</v>
      </c>
      <c r="R18" s="183">
        <f t="shared" si="6"/>
        <v>1.3479140004701211E-3</v>
      </c>
      <c r="S18" s="204">
        <f t="shared" si="7"/>
        <v>2.0218710007051815E-2</v>
      </c>
      <c r="T18" s="280">
        <f t="shared" si="8"/>
        <v>2.0218710007051815E-2</v>
      </c>
      <c r="U18" s="205">
        <f t="shared" si="9"/>
        <v>4.0879623434925718E-4</v>
      </c>
      <c r="V18" s="207">
        <f t="shared" si="0"/>
        <v>9.7938991860404049E-4</v>
      </c>
      <c r="W18" s="183">
        <f t="shared" si="10"/>
        <v>1</v>
      </c>
      <c r="X18" s="183"/>
      <c r="Y18" s="242">
        <f t="shared" si="11"/>
        <v>3.7258370240166136E-2</v>
      </c>
    </row>
    <row r="19" spans="1:25" x14ac:dyDescent="0.35">
      <c r="A19" s="241">
        <v>350</v>
      </c>
      <c r="B19" s="184">
        <v>3.6379979095336919E-2</v>
      </c>
      <c r="C19" s="203"/>
      <c r="D19" s="183">
        <f t="shared" si="1"/>
        <v>350.3</v>
      </c>
      <c r="E19" s="184">
        <f>_xll.SRS1Splines.Functions25.Cubic_Spline($A$4:$A$24,$B$4:$B$24,D19)</f>
        <v>3.6378383442753001E-2</v>
      </c>
      <c r="F19" s="183">
        <f t="shared" si="2"/>
        <v>349.7</v>
      </c>
      <c r="G19" s="184">
        <f>_xll.SRS1Splines.Functions25.Cubic_Spline($A$4:$A$24,$B$4:$B$24,F19)</f>
        <v>3.6379925815638002E-2</v>
      </c>
      <c r="H19" s="206">
        <f t="shared" si="3"/>
        <v>-7.066033403331005E-5</v>
      </c>
      <c r="I19" s="183"/>
      <c r="J19" s="183"/>
      <c r="K19" s="201">
        <f t="shared" si="12"/>
        <v>-1.0599050104996507E-3</v>
      </c>
      <c r="L19" s="277">
        <f t="shared" si="4"/>
        <v>1.0599050104996507E-3</v>
      </c>
      <c r="M19" s="202">
        <f t="shared" si="5"/>
        <v>1.1233986312822648E-6</v>
      </c>
      <c r="N19" s="203"/>
      <c r="O19" s="184">
        <f>'Uncertainty calc'!N35/'Uncertainty calc'!F35</f>
        <v>0.24564469341888531</v>
      </c>
      <c r="P19" s="184">
        <f>_xll.SRS1Splines.Functions25.Cubic_Spline($A$4:$A$24,$O$4:$O$24,D19)</f>
        <v>0.245722725752169</v>
      </c>
      <c r="Q19" s="184">
        <f>_xll.SRS1Splines.Functions25.Cubic_Spline($A$4:$A$24,$O$4:$O$24,F19)</f>
        <v>0.24556336481626201</v>
      </c>
      <c r="R19" s="183">
        <f t="shared" si="6"/>
        <v>1.0812428151747342E-3</v>
      </c>
      <c r="S19" s="204">
        <f t="shared" si="7"/>
        <v>1.6218642227621014E-2</v>
      </c>
      <c r="T19" s="280">
        <f t="shared" si="8"/>
        <v>1.6218642227621014E-2</v>
      </c>
      <c r="U19" s="205">
        <f t="shared" si="9"/>
        <v>2.6304435570757151E-4</v>
      </c>
      <c r="V19" s="207">
        <f t="shared" si="0"/>
        <v>-2.6192095707628922E-4</v>
      </c>
      <c r="W19" s="183" t="str">
        <f t="shared" si="10"/>
        <v/>
      </c>
      <c r="X19" s="183"/>
      <c r="Y19" s="242">
        <f t="shared" si="11"/>
        <v>1.6218642227621014E-2</v>
      </c>
    </row>
    <row r="20" spans="1:25" x14ac:dyDescent="0.35">
      <c r="A20" s="241">
        <v>360</v>
      </c>
      <c r="B20" s="184">
        <v>3.6439405887486523E-2</v>
      </c>
      <c r="C20" s="203"/>
      <c r="D20" s="183">
        <f t="shared" si="1"/>
        <v>360.3</v>
      </c>
      <c r="E20" s="184">
        <f>_xll.SRS1Splines.Functions25.Cubic_Spline($A$4:$A$24,$B$4:$B$24,D20)</f>
        <v>3.6476386599779198E-2</v>
      </c>
      <c r="F20" s="183">
        <f t="shared" si="2"/>
        <v>359.7</v>
      </c>
      <c r="G20" s="184">
        <f>_xll.SRS1Splines.Functions25.Cubic_Spline($A$4:$A$24,$B$4:$B$24,F20)</f>
        <v>3.6406298868652702E-2</v>
      </c>
      <c r="H20" s="206">
        <f t="shared" si="3"/>
        <v>3.2056748008324832E-3</v>
      </c>
      <c r="I20" s="183"/>
      <c r="J20" s="183"/>
      <c r="K20" s="201">
        <f t="shared" si="12"/>
        <v>4.8085122012487248E-2</v>
      </c>
      <c r="L20" s="277">
        <f t="shared" si="4"/>
        <v>4.8085122012487248E-2</v>
      </c>
      <c r="M20" s="202">
        <f t="shared" si="5"/>
        <v>2.3121789589557857E-3</v>
      </c>
      <c r="N20" s="203"/>
      <c r="O20" s="184">
        <f>'Uncertainty calc'!N36/'Uncertainty calc'!F36</f>
        <v>0.25182726943667261</v>
      </c>
      <c r="P20" s="184">
        <f>_xll.SRS1Splines.Functions25.Cubic_Spline($A$4:$A$24,$O$4:$O$24,D20)</f>
        <v>0.25229562484273199</v>
      </c>
      <c r="Q20" s="184">
        <f>_xll.SRS1Splines.Functions25.Cubic_Spline($A$4:$A$24,$O$4:$O$24,F20)</f>
        <v>0.25138505179032</v>
      </c>
      <c r="R20" s="183">
        <f t="shared" si="6"/>
        <v>6.0264393026806945E-3</v>
      </c>
      <c r="S20" s="204">
        <f t="shared" si="7"/>
        <v>9.0396589540210404E-2</v>
      </c>
      <c r="T20" s="280">
        <f t="shared" si="8"/>
        <v>9.0396589540210404E-2</v>
      </c>
      <c r="U20" s="205">
        <f t="shared" si="9"/>
        <v>8.1715434005012761E-3</v>
      </c>
      <c r="V20" s="207">
        <f t="shared" si="0"/>
        <v>-5.85936444154549E-3</v>
      </c>
      <c r="W20" s="183" t="str">
        <f t="shared" si="10"/>
        <v/>
      </c>
      <c r="X20" s="183"/>
      <c r="Y20" s="242">
        <f t="shared" si="11"/>
        <v>9.0396589540210404E-2</v>
      </c>
    </row>
    <row r="21" spans="1:25" x14ac:dyDescent="0.35">
      <c r="A21" s="241">
        <v>370</v>
      </c>
      <c r="B21" s="184">
        <v>4.2312001807285289E-2</v>
      </c>
      <c r="C21" s="203"/>
      <c r="D21" s="183">
        <f t="shared" si="1"/>
        <v>370.3</v>
      </c>
      <c r="E21" s="184">
        <f>_xll.SRS1Splines.Functions25.Cubic_Spline($A$4:$A$24,$B$4:$B$24,D21)</f>
        <v>4.2715458030911403E-2</v>
      </c>
      <c r="F21" s="183">
        <f t="shared" si="2"/>
        <v>369.7</v>
      </c>
      <c r="G21" s="184">
        <f>_xll.SRS1Splines.Functions25.Cubic_Spline($A$4:$A$24,$B$4:$B$24,F21)</f>
        <v>4.1926125364647002E-2</v>
      </c>
      <c r="H21" s="206">
        <f t="shared" si="3"/>
        <v>3.1091756182224407E-2</v>
      </c>
      <c r="I21" s="183"/>
      <c r="J21" s="183"/>
      <c r="K21" s="201">
        <f t="shared" si="12"/>
        <v>0.46637634273336609</v>
      </c>
      <c r="L21" s="277">
        <f t="shared" si="4"/>
        <v>0.46637634273336609</v>
      </c>
      <c r="M21" s="202">
        <f t="shared" si="5"/>
        <v>0.21750689306135015</v>
      </c>
      <c r="N21" s="203"/>
      <c r="O21" s="184">
        <f>'Uncertainty calc'!N37/'Uncertainty calc'!F37</f>
        <v>0.29200829404613726</v>
      </c>
      <c r="P21" s="184">
        <f>_xll.SRS1Splines.Functions25.Cubic_Spline($A$4:$A$24,$O$4:$O$24,D21)</f>
        <v>0.29432209036707302</v>
      </c>
      <c r="Q21" s="184">
        <f>_xll.SRS1Splines.Functions25.Cubic_Spline($A$4:$A$24,$O$4:$O$24,F21)</f>
        <v>0.28977671944427502</v>
      </c>
      <c r="R21" s="183">
        <f t="shared" si="6"/>
        <v>2.5943161064685704E-2</v>
      </c>
      <c r="S21" s="204">
        <f t="shared" si="7"/>
        <v>0.38914741597028552</v>
      </c>
      <c r="T21" s="280">
        <f t="shared" si="8"/>
        <v>0.38914741597028552</v>
      </c>
      <c r="U21" s="205">
        <f t="shared" si="9"/>
        <v>0.15143571135635042</v>
      </c>
      <c r="V21" s="207">
        <f t="shared" si="0"/>
        <v>6.6071181704999732E-2</v>
      </c>
      <c r="W21" s="183">
        <f t="shared" si="10"/>
        <v>1</v>
      </c>
      <c r="X21" s="183"/>
      <c r="Y21" s="242">
        <f t="shared" si="11"/>
        <v>0.46637634273336609</v>
      </c>
    </row>
    <row r="22" spans="1:25" x14ac:dyDescent="0.35">
      <c r="A22" s="241">
        <v>380</v>
      </c>
      <c r="B22" s="184">
        <v>6.1620711042923673E-2</v>
      </c>
      <c r="C22" s="203"/>
      <c r="D22" s="183">
        <f t="shared" si="1"/>
        <v>380.3</v>
      </c>
      <c r="E22" s="184">
        <f>_xll.SRS1Splines.Functions25.Cubic_Spline($A$4:$A$24,$B$4:$B$24,D22)</f>
        <v>6.2272153334883798E-2</v>
      </c>
      <c r="F22" s="183">
        <f t="shared" si="2"/>
        <v>379.7</v>
      </c>
      <c r="G22" s="184">
        <f>_xll.SRS1Splines.Functions25.Cubic_Spline($A$4:$A$24,$B$4:$B$24,F22)</f>
        <v>6.0967078054781E-2</v>
      </c>
      <c r="H22" s="206">
        <f t="shared" si="3"/>
        <v>3.5298610321499994E-2</v>
      </c>
      <c r="I22" s="183"/>
      <c r="J22" s="183"/>
      <c r="K22" s="201">
        <f t="shared" si="12"/>
        <v>0.52947915482249996</v>
      </c>
      <c r="L22" s="277">
        <f t="shared" si="4"/>
        <v>0.52947915482249996</v>
      </c>
      <c r="M22" s="202">
        <f t="shared" si="5"/>
        <v>0.28034817539154888</v>
      </c>
      <c r="N22" s="203"/>
      <c r="O22" s="184">
        <f>'Uncertainty calc'!N38/'Uncertainty calc'!F38</f>
        <v>0.39324001941878539</v>
      </c>
      <c r="P22" s="184">
        <f>_xll.SRS1Splines.Functions25.Cubic_Spline($A$4:$A$24,$O$4:$O$24,D22)</f>
        <v>0.39640647878704099</v>
      </c>
      <c r="Q22" s="184">
        <f>_xll.SRS1Splines.Functions25.Cubic_Spline($A$4:$A$24,$O$4:$O$24,F22)</f>
        <v>0.39004549445545</v>
      </c>
      <c r="R22" s="183">
        <f t="shared" si="6"/>
        <v>2.6959719329483895E-2</v>
      </c>
      <c r="S22" s="204">
        <f t="shared" si="7"/>
        <v>0.40439578994225839</v>
      </c>
      <c r="T22" s="280">
        <f t="shared" si="8"/>
        <v>0.40439578994225839</v>
      </c>
      <c r="U22" s="205">
        <f t="shared" si="9"/>
        <v>0.16353595492302317</v>
      </c>
      <c r="V22" s="207">
        <f t="shared" si="0"/>
        <v>0.11681222046852571</v>
      </c>
      <c r="W22" s="183">
        <f t="shared" si="10"/>
        <v>1</v>
      </c>
      <c r="X22" s="183"/>
      <c r="Y22" s="242">
        <f t="shared" si="11"/>
        <v>0.52947915482249996</v>
      </c>
    </row>
    <row r="23" spans="1:25" x14ac:dyDescent="0.35">
      <c r="A23" s="241">
        <v>390</v>
      </c>
      <c r="B23" s="184">
        <v>8.1511045267942603E-2</v>
      </c>
      <c r="C23" s="203"/>
      <c r="D23" s="183">
        <f t="shared" si="1"/>
        <v>390.3</v>
      </c>
      <c r="E23" s="184">
        <f>_xll.SRS1Splines.Functions25.Cubic_Spline($A$4:$A$24,$B$4:$B$24,D23)</f>
        <v>8.2031166895160504E-2</v>
      </c>
      <c r="F23" s="183">
        <f t="shared" si="2"/>
        <v>389.7</v>
      </c>
      <c r="G23" s="184">
        <f>_xll.SRS1Splines.Functions25.Cubic_Spline($A$4:$A$24,$B$4:$B$24,F23)</f>
        <v>8.0985457210348596E-2</v>
      </c>
      <c r="H23" s="206">
        <f t="shared" si="3"/>
        <v>2.1381758373449418E-2</v>
      </c>
      <c r="I23" s="183"/>
      <c r="J23" s="183"/>
      <c r="K23" s="201">
        <f t="shared" si="12"/>
        <v>0.32072637560174122</v>
      </c>
      <c r="L23" s="277">
        <f t="shared" si="4"/>
        <v>0.32072637560174122</v>
      </c>
      <c r="M23" s="202">
        <f t="shared" si="5"/>
        <v>0.10286540800662919</v>
      </c>
      <c r="N23" s="203"/>
      <c r="O23" s="184">
        <f>'Uncertainty calc'!N39/'Uncertainty calc'!F39</f>
        <v>0.4820286532699149</v>
      </c>
      <c r="P23" s="184">
        <f>_xll.SRS1Splines.Functions25.Cubic_Spline($A$4:$A$24,$O$4:$O$24,D23)</f>
        <v>0.484116730306068</v>
      </c>
      <c r="Q23" s="184">
        <f>_xll.SRS1Splines.Functions25.Cubic_Spline($A$4:$A$24,$O$4:$O$24,F23)</f>
        <v>0.47990488338026299</v>
      </c>
      <c r="R23" s="183">
        <f t="shared" si="6"/>
        <v>1.4562920334137613E-2</v>
      </c>
      <c r="S23" s="204">
        <f t="shared" si="7"/>
        <v>0.2184438050120642</v>
      </c>
      <c r="T23" s="280">
        <f t="shared" si="8"/>
        <v>0.2184438050120642</v>
      </c>
      <c r="U23" s="205">
        <f t="shared" si="9"/>
        <v>4.7717695948148724E-2</v>
      </c>
      <c r="V23" s="207">
        <f t="shared" si="0"/>
        <v>5.5147712058480465E-2</v>
      </c>
      <c r="W23" s="183">
        <f t="shared" si="10"/>
        <v>1</v>
      </c>
      <c r="X23" s="183"/>
      <c r="Y23" s="242">
        <f t="shared" si="11"/>
        <v>0.32072637560174122</v>
      </c>
    </row>
    <row r="24" spans="1:25" ht="15" thickBot="1" x14ac:dyDescent="0.4">
      <c r="A24" s="243">
        <v>400</v>
      </c>
      <c r="B24" s="244">
        <v>9.6898550917958445E-2</v>
      </c>
      <c r="C24" s="249"/>
      <c r="D24" s="245">
        <f t="shared" si="1"/>
        <v>400.3</v>
      </c>
      <c r="E24" s="244">
        <f>_xll.SRS1Splines.Functions25.Cubic_Spline($A$4:$A$24,$B$4:$B$24,D24)</f>
        <v>9.7329591645099106E-2</v>
      </c>
      <c r="F24" s="245">
        <f t="shared" si="2"/>
        <v>399.7</v>
      </c>
      <c r="G24" s="244">
        <f>_xll.SRS1Splines.Functions25.Cubic_Spline($A$4:$A$24,$B$4:$B$24,F24)</f>
        <v>9.6467510190817798E-2</v>
      </c>
      <c r="H24" s="246">
        <f t="shared" si="3"/>
        <v>1.4827904134692677E-2</v>
      </c>
      <c r="I24" s="245"/>
      <c r="J24" s="245"/>
      <c r="K24" s="247">
        <f t="shared" si="12"/>
        <v>0.22241856202039012</v>
      </c>
      <c r="L24" s="278">
        <f t="shared" si="4"/>
        <v>0.22241856202039012</v>
      </c>
      <c r="M24" s="248">
        <f t="shared" si="5"/>
        <v>4.9470016731218126E-2</v>
      </c>
      <c r="N24" s="249"/>
      <c r="O24" s="244">
        <f>'Uncertainty calc'!N40/'Uncertainty calc'!F40</f>
        <v>0.53892408741912379</v>
      </c>
      <c r="P24" s="244">
        <f>_xll.SRS1Splines.Functions25.Cubic_Spline($A$4:$A$24,$O$4:$O$24,D24)</f>
        <v>0.54043163550348505</v>
      </c>
      <c r="Q24" s="244">
        <f>_xll.SRS1Splines.Functions25.Cubic_Spline($A$4:$A$24,$O$4:$O$24,F24)</f>
        <v>0.53741653933476197</v>
      </c>
      <c r="R24" s="245">
        <f t="shared" si="6"/>
        <v>9.3244306545475705E-3</v>
      </c>
      <c r="S24" s="250">
        <f t="shared" si="7"/>
        <v>0.13986645981821355</v>
      </c>
      <c r="T24" s="281">
        <f t="shared" si="8"/>
        <v>0.13986645981821355</v>
      </c>
      <c r="U24" s="251">
        <f t="shared" si="9"/>
        <v>1.9562626582079946E-2</v>
      </c>
      <c r="V24" s="252">
        <f t="shared" si="0"/>
        <v>2.990739014913818E-2</v>
      </c>
      <c r="W24" s="245">
        <f t="shared" si="10"/>
        <v>1</v>
      </c>
      <c r="X24" s="245"/>
      <c r="Y24" s="253">
        <f t="shared" si="11"/>
        <v>0.22241856202039012</v>
      </c>
    </row>
    <row r="25" spans="1:25" x14ac:dyDescent="0.35">
      <c r="Y25" s="119"/>
    </row>
  </sheetData>
  <mergeCells count="5">
    <mergeCell ref="A1:A2"/>
    <mergeCell ref="B1:B2"/>
    <mergeCell ref="V1:V3"/>
    <mergeCell ref="K3:M3"/>
    <mergeCell ref="S3:U3"/>
  </mergeCells>
  <conditionalFormatting sqref="V4:V24">
    <cfRule type="cellIs" dxfId="2" priority="1" operator="greaterThan">
      <formula>0</formula>
    </cfRule>
    <cfRule type="cellIs" dxfId="1" priority="2" operator="lessThan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00909-9497-4CFA-BC24-4377AFEB0734}">
  <dimension ref="A1:B23"/>
  <sheetViews>
    <sheetView workbookViewId="0">
      <selection activeCell="O15" sqref="O15"/>
    </sheetView>
  </sheetViews>
  <sheetFormatPr defaultColWidth="9" defaultRowHeight="14.5" x14ac:dyDescent="0.35"/>
  <cols>
    <col min="1" max="1" width="24.453125" style="2" customWidth="1"/>
    <col min="2" max="2" width="18.453125" style="2" customWidth="1"/>
    <col min="3" max="3" width="13.453125" style="2" customWidth="1"/>
    <col min="4" max="16384" width="9" style="2"/>
  </cols>
  <sheetData>
    <row r="1" spans="1:2" x14ac:dyDescent="0.35">
      <c r="A1" s="925" t="s">
        <v>249</v>
      </c>
      <c r="B1" s="926"/>
    </row>
    <row r="2" spans="1:2" x14ac:dyDescent="0.35">
      <c r="A2" s="915" t="s">
        <v>250</v>
      </c>
      <c r="B2" s="915"/>
    </row>
    <row r="3" spans="1:2" x14ac:dyDescent="0.35">
      <c r="A3" s="915"/>
      <c r="B3" s="915"/>
    </row>
    <row r="4" spans="1:2" x14ac:dyDescent="0.35">
      <c r="A4" s="2" t="s">
        <v>251</v>
      </c>
    </row>
    <row r="5" spans="1:2" x14ac:dyDescent="0.35">
      <c r="A5" s="2" t="s">
        <v>252</v>
      </c>
      <c r="B5" s="121">
        <v>0.23603289999999999</v>
      </c>
    </row>
    <row r="6" spans="1:2" x14ac:dyDescent="0.35">
      <c r="A6" s="2" t="s">
        <v>253</v>
      </c>
      <c r="B6" s="122">
        <v>6.7020069999999997E-5</v>
      </c>
    </row>
    <row r="7" spans="1:2" x14ac:dyDescent="0.35">
      <c r="A7" s="2" t="s">
        <v>254</v>
      </c>
      <c r="B7" s="122">
        <v>0.2359</v>
      </c>
    </row>
    <row r="8" spans="1:2" x14ac:dyDescent="0.35">
      <c r="A8" s="2" t="s">
        <v>255</v>
      </c>
      <c r="B8" s="122">
        <v>0.23618</v>
      </c>
    </row>
    <row r="9" spans="1:2" x14ac:dyDescent="0.35">
      <c r="A9" s="123" t="s">
        <v>256</v>
      </c>
      <c r="B9" s="124">
        <f>B6*100/B5</f>
        <v>2.8394376377191482E-2</v>
      </c>
    </row>
    <row r="10" spans="1:2" x14ac:dyDescent="0.35">
      <c r="A10" s="125" t="s">
        <v>257</v>
      </c>
      <c r="B10" s="126">
        <f>ABS(B7-B8)/B8*100</f>
        <v>0.11855364552460093</v>
      </c>
    </row>
    <row r="12" spans="1:2" x14ac:dyDescent="0.35">
      <c r="A12" s="925" t="s">
        <v>258</v>
      </c>
      <c r="B12" s="926"/>
    </row>
    <row r="13" spans="1:2" x14ac:dyDescent="0.35">
      <c r="A13" s="915" t="s">
        <v>259</v>
      </c>
      <c r="B13" s="915"/>
    </row>
    <row r="14" spans="1:2" x14ac:dyDescent="0.35">
      <c r="A14" s="915"/>
      <c r="B14" s="915"/>
    </row>
    <row r="15" spans="1:2" x14ac:dyDescent="0.35">
      <c r="A15" s="915"/>
      <c r="B15" s="915"/>
    </row>
    <row r="16" spans="1:2" x14ac:dyDescent="0.35">
      <c r="A16" s="2" t="s">
        <v>251</v>
      </c>
    </row>
    <row r="17" spans="1:2" x14ac:dyDescent="0.35">
      <c r="A17" s="2" t="s">
        <v>252</v>
      </c>
      <c r="B17" s="121">
        <v>0.2361412</v>
      </c>
    </row>
    <row r="18" spans="1:2" x14ac:dyDescent="0.35">
      <c r="A18" s="2" t="s">
        <v>253</v>
      </c>
      <c r="B18" s="122">
        <v>8.0324870000000005E-5</v>
      </c>
    </row>
    <row r="19" spans="1:2" x14ac:dyDescent="0.35">
      <c r="A19" s="2" t="s">
        <v>254</v>
      </c>
      <c r="B19" s="122">
        <v>0.23594000000000001</v>
      </c>
    </row>
    <row r="20" spans="1:2" x14ac:dyDescent="0.35">
      <c r="A20" s="2" t="s">
        <v>255</v>
      </c>
      <c r="B20" s="122">
        <v>0.236453</v>
      </c>
    </row>
    <row r="21" spans="1:2" x14ac:dyDescent="0.35">
      <c r="A21" s="123" t="s">
        <v>256</v>
      </c>
      <c r="B21" s="124">
        <f>B18*100/B17</f>
        <v>3.4015610151892181E-2</v>
      </c>
    </row>
    <row r="22" spans="1:2" x14ac:dyDescent="0.35">
      <c r="A22" s="125" t="s">
        <v>257</v>
      </c>
      <c r="B22" s="126">
        <f>ABS(B19-B20)/B20*100</f>
        <v>0.21695643531694911</v>
      </c>
    </row>
    <row r="23" spans="1:2" x14ac:dyDescent="0.35">
      <c r="B23" s="3">
        <f>B18/B17*100</f>
        <v>3.4015610151892181E-2</v>
      </c>
    </row>
  </sheetData>
  <mergeCells count="4">
    <mergeCell ref="A1:B1"/>
    <mergeCell ref="A2:B3"/>
    <mergeCell ref="A12:B12"/>
    <mergeCell ref="A13:B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FEC9C-C0F7-4636-8381-7C7C804F171F}">
  <dimension ref="A1:C55"/>
  <sheetViews>
    <sheetView workbookViewId="0">
      <selection activeCell="D7" sqref="D7"/>
    </sheetView>
  </sheetViews>
  <sheetFormatPr defaultRowHeight="14.5" x14ac:dyDescent="0.35"/>
  <cols>
    <col min="1" max="4" width="27.453125" customWidth="1"/>
  </cols>
  <sheetData>
    <row r="1" spans="1:2" ht="15" thickBot="1" x14ac:dyDescent="0.4">
      <c r="A1" s="127"/>
      <c r="B1" s="127"/>
    </row>
    <row r="2" spans="1:2" x14ac:dyDescent="0.35">
      <c r="A2" s="128" t="s">
        <v>260</v>
      </c>
      <c r="B2" s="129" t="s">
        <v>261</v>
      </c>
    </row>
    <row r="3" spans="1:2" x14ac:dyDescent="0.35">
      <c r="A3" s="927" t="s">
        <v>262</v>
      </c>
      <c r="B3" s="928"/>
    </row>
    <row r="4" spans="1:2" x14ac:dyDescent="0.35">
      <c r="A4" s="130" t="s">
        <v>263</v>
      </c>
      <c r="B4" s="131">
        <v>3.1295386332199997</v>
      </c>
    </row>
    <row r="5" spans="1:2" x14ac:dyDescent="0.35">
      <c r="A5" s="130" t="s">
        <v>264</v>
      </c>
      <c r="B5" s="132">
        <v>6.0000000000000002E-6</v>
      </c>
    </row>
    <row r="6" spans="1:2" x14ac:dyDescent="0.35">
      <c r="A6" s="130" t="s">
        <v>265</v>
      </c>
      <c r="B6" s="133">
        <f>B5*100/B4</f>
        <v>1.9172155078419874E-4</v>
      </c>
    </row>
    <row r="7" spans="1:2" x14ac:dyDescent="0.35">
      <c r="A7" s="130" t="s">
        <v>266</v>
      </c>
      <c r="B7" s="133">
        <f>B6/2</f>
        <v>9.5860775392099371E-5</v>
      </c>
    </row>
    <row r="8" spans="1:2" x14ac:dyDescent="0.35">
      <c r="A8" s="134"/>
      <c r="B8" s="135"/>
    </row>
    <row r="9" spans="1:2" x14ac:dyDescent="0.35">
      <c r="A9" s="929" t="s">
        <v>267</v>
      </c>
      <c r="B9" s="930"/>
    </row>
    <row r="10" spans="1:2" ht="29" x14ac:dyDescent="0.35">
      <c r="A10" s="134" t="s">
        <v>268</v>
      </c>
      <c r="B10" s="136" t="s">
        <v>269</v>
      </c>
    </row>
    <row r="11" spans="1:2" x14ac:dyDescent="0.35">
      <c r="A11" s="134" t="s">
        <v>270</v>
      </c>
      <c r="B11" s="135">
        <f>B4</f>
        <v>3.1295386332199997</v>
      </c>
    </row>
    <row r="12" spans="1:2" x14ac:dyDescent="0.35">
      <c r="A12" s="134" t="s">
        <v>271</v>
      </c>
      <c r="B12" s="135">
        <v>1</v>
      </c>
    </row>
    <row r="13" spans="1:2" x14ac:dyDescent="0.35">
      <c r="A13" s="134" t="s">
        <v>272</v>
      </c>
      <c r="B13" s="135"/>
    </row>
    <row r="14" spans="1:2" x14ac:dyDescent="0.35">
      <c r="A14" s="134" t="s">
        <v>64</v>
      </c>
      <c r="B14" s="135">
        <v>2E-3</v>
      </c>
    </row>
    <row r="15" spans="1:2" x14ac:dyDescent="0.35">
      <c r="A15" s="134" t="s">
        <v>65</v>
      </c>
      <c r="B15" s="135">
        <v>5.9999999999999995E-4</v>
      </c>
    </row>
    <row r="16" spans="1:2" x14ac:dyDescent="0.35">
      <c r="A16" s="134" t="s">
        <v>273</v>
      </c>
      <c r="B16" s="137">
        <f>((B14*B11)/100)+((B15*B12)/100)</f>
        <v>6.8590772664399997E-5</v>
      </c>
    </row>
    <row r="17" spans="1:3" x14ac:dyDescent="0.35">
      <c r="A17" s="134" t="s">
        <v>274</v>
      </c>
      <c r="B17" s="137">
        <f>B16/SQRT(3)</f>
        <v>3.9600901061715768E-5</v>
      </c>
      <c r="C17">
        <v>1.0371846327281525E-4</v>
      </c>
    </row>
    <row r="18" spans="1:3" ht="15" thickBot="1" x14ac:dyDescent="0.4">
      <c r="A18" s="138" t="s">
        <v>275</v>
      </c>
      <c r="B18" s="139">
        <f>SQRT(SUMSQ(B17,B7))</f>
        <v>1.0371846327281525E-4</v>
      </c>
      <c r="C18">
        <v>3.4962057874950386E-4</v>
      </c>
    </row>
    <row r="19" spans="1:3" x14ac:dyDescent="0.35">
      <c r="A19" s="127"/>
      <c r="B19" s="127"/>
    </row>
    <row r="20" spans="1:3" ht="15" thickBot="1" x14ac:dyDescent="0.4">
      <c r="A20" s="127"/>
      <c r="B20" s="127"/>
    </row>
    <row r="21" spans="1:3" x14ac:dyDescent="0.35">
      <c r="A21" s="128" t="s">
        <v>260</v>
      </c>
      <c r="B21" s="129" t="s">
        <v>261</v>
      </c>
    </row>
    <row r="22" spans="1:3" x14ac:dyDescent="0.35">
      <c r="A22" s="927" t="s">
        <v>276</v>
      </c>
      <c r="B22" s="928"/>
    </row>
    <row r="23" spans="1:3" x14ac:dyDescent="0.35">
      <c r="A23" s="130" t="s">
        <v>263</v>
      </c>
      <c r="B23" s="131">
        <v>3.1295386332199997</v>
      </c>
    </row>
    <row r="24" spans="1:3" x14ac:dyDescent="0.35">
      <c r="A24" s="130" t="s">
        <v>264</v>
      </c>
      <c r="B24" s="132">
        <v>6.0000000000000002E-6</v>
      </c>
    </row>
    <row r="25" spans="1:3" x14ac:dyDescent="0.35">
      <c r="A25" s="130" t="s">
        <v>265</v>
      </c>
      <c r="B25" s="133">
        <f>B24*100/B23</f>
        <v>1.9172155078419874E-4</v>
      </c>
    </row>
    <row r="26" spans="1:3" x14ac:dyDescent="0.35">
      <c r="A26" s="130" t="s">
        <v>266</v>
      </c>
      <c r="B26" s="133">
        <f>B25/2</f>
        <v>9.5860775392099371E-5</v>
      </c>
    </row>
    <row r="27" spans="1:3" x14ac:dyDescent="0.35">
      <c r="A27" s="134"/>
      <c r="B27" s="135"/>
    </row>
    <row r="28" spans="1:3" x14ac:dyDescent="0.35">
      <c r="A28" s="929" t="s">
        <v>267</v>
      </c>
      <c r="B28" s="930"/>
    </row>
    <row r="29" spans="1:3" ht="29" x14ac:dyDescent="0.35">
      <c r="A29" s="134" t="s">
        <v>268</v>
      </c>
      <c r="B29" s="136" t="s">
        <v>269</v>
      </c>
    </row>
    <row r="30" spans="1:3" x14ac:dyDescent="0.35">
      <c r="A30" s="134" t="s">
        <v>270</v>
      </c>
      <c r="B30" s="135">
        <f>B23</f>
        <v>3.1295386332199997</v>
      </c>
    </row>
    <row r="31" spans="1:3" x14ac:dyDescent="0.35">
      <c r="A31" s="134" t="s">
        <v>271</v>
      </c>
      <c r="B31" s="135">
        <v>1</v>
      </c>
    </row>
    <row r="32" spans="1:3" x14ac:dyDescent="0.35">
      <c r="A32" s="134" t="s">
        <v>272</v>
      </c>
      <c r="B32" s="135"/>
    </row>
    <row r="33" spans="1:3" x14ac:dyDescent="0.35">
      <c r="A33" s="134" t="s">
        <v>64</v>
      </c>
      <c r="B33" s="135">
        <v>2E-3</v>
      </c>
    </row>
    <row r="34" spans="1:3" x14ac:dyDescent="0.35">
      <c r="A34" s="134" t="s">
        <v>65</v>
      </c>
      <c r="B34" s="135">
        <v>5.9999999999999995E-4</v>
      </c>
    </row>
    <row r="35" spans="1:3" x14ac:dyDescent="0.35">
      <c r="A35" s="134" t="s">
        <v>273</v>
      </c>
      <c r="B35" s="137">
        <f>((B33*B30)/100)+((B34*B31)/100)</f>
        <v>6.8590772664399997E-5</v>
      </c>
    </row>
    <row r="36" spans="1:3" x14ac:dyDescent="0.35">
      <c r="A36" s="134" t="s">
        <v>274</v>
      </c>
      <c r="B36" s="137">
        <f>B35/SQRT(3)</f>
        <v>3.9600901061715768E-5</v>
      </c>
      <c r="C36">
        <v>1.0371846327281525E-4</v>
      </c>
    </row>
    <row r="37" spans="1:3" ht="15" thickBot="1" x14ac:dyDescent="0.4">
      <c r="A37" s="138" t="s">
        <v>275</v>
      </c>
      <c r="B37" s="139">
        <f>SQRT(SUMSQ(B36,B26))</f>
        <v>1.0371846327281525E-4</v>
      </c>
      <c r="C37">
        <v>3.4962057874950386E-4</v>
      </c>
    </row>
    <row r="38" spans="1:3" ht="15" thickBot="1" x14ac:dyDescent="0.4">
      <c r="A38" s="127"/>
      <c r="B38" s="127"/>
    </row>
    <row r="39" spans="1:3" x14ac:dyDescent="0.35">
      <c r="A39" s="128" t="s">
        <v>260</v>
      </c>
      <c r="B39" s="140" t="s">
        <v>261</v>
      </c>
    </row>
    <row r="40" spans="1:3" x14ac:dyDescent="0.35">
      <c r="A40" s="927" t="s">
        <v>277</v>
      </c>
      <c r="B40" s="928"/>
    </row>
    <row r="41" spans="1:3" x14ac:dyDescent="0.35">
      <c r="A41" s="130" t="s">
        <v>263</v>
      </c>
      <c r="B41" s="137">
        <v>0.454028025</v>
      </c>
    </row>
    <row r="42" spans="1:3" x14ac:dyDescent="0.35">
      <c r="A42" s="130" t="s">
        <v>264</v>
      </c>
      <c r="B42" s="132">
        <v>1.1999999999999999E-6</v>
      </c>
    </row>
    <row r="43" spans="1:3" x14ac:dyDescent="0.35">
      <c r="A43" s="130" t="s">
        <v>278</v>
      </c>
      <c r="B43" s="133">
        <f>B42*100/B41</f>
        <v>2.6430086556881592E-4</v>
      </c>
    </row>
    <row r="44" spans="1:3" x14ac:dyDescent="0.35">
      <c r="A44" s="134"/>
      <c r="B44" s="135"/>
    </row>
    <row r="45" spans="1:3" x14ac:dyDescent="0.35">
      <c r="A45" s="134"/>
      <c r="B45" s="135"/>
    </row>
    <row r="46" spans="1:3" x14ac:dyDescent="0.35">
      <c r="A46" s="929" t="s">
        <v>267</v>
      </c>
      <c r="B46" s="930"/>
    </row>
    <row r="47" spans="1:3" ht="29" x14ac:dyDescent="0.35">
      <c r="A47" s="134" t="s">
        <v>268</v>
      </c>
      <c r="B47" s="136" t="s">
        <v>269</v>
      </c>
    </row>
    <row r="48" spans="1:3" x14ac:dyDescent="0.35">
      <c r="A48" s="134" t="s">
        <v>270</v>
      </c>
      <c r="B48" s="135">
        <f>B41</f>
        <v>0.454028025</v>
      </c>
    </row>
    <row r="49" spans="1:2" x14ac:dyDescent="0.35">
      <c r="A49" s="134" t="s">
        <v>271</v>
      </c>
      <c r="B49" s="135">
        <v>0.1</v>
      </c>
    </row>
    <row r="50" spans="1:2" x14ac:dyDescent="0.35">
      <c r="A50" s="134" t="s">
        <v>272</v>
      </c>
      <c r="B50" s="135"/>
    </row>
    <row r="51" spans="1:2" x14ac:dyDescent="0.35">
      <c r="A51" s="134" t="s">
        <v>64</v>
      </c>
      <c r="B51" s="135">
        <v>3.0000000000000001E-3</v>
      </c>
    </row>
    <row r="52" spans="1:2" x14ac:dyDescent="0.35">
      <c r="A52" s="134" t="s">
        <v>65</v>
      </c>
      <c r="B52" s="135">
        <v>3.0000000000000001E-3</v>
      </c>
    </row>
    <row r="53" spans="1:2" x14ac:dyDescent="0.35">
      <c r="A53" s="134" t="s">
        <v>273</v>
      </c>
      <c r="B53" s="137">
        <f>((B51*B48)/100)+((B52*B49)/100)</f>
        <v>1.6620840750000002E-5</v>
      </c>
    </row>
    <row r="54" spans="1:2" x14ac:dyDescent="0.35">
      <c r="A54" s="134"/>
      <c r="B54" s="135"/>
    </row>
    <row r="55" spans="1:2" ht="15" thickBot="1" x14ac:dyDescent="0.4">
      <c r="A55" s="138" t="s">
        <v>275</v>
      </c>
      <c r="B55" s="141">
        <f>SQRT(SUMSQ(B53,B43))</f>
        <v>2.6482295951760334E-4</v>
      </c>
    </row>
  </sheetData>
  <mergeCells count="6">
    <mergeCell ref="A22:B22"/>
    <mergeCell ref="A28:B28"/>
    <mergeCell ref="A40:B40"/>
    <mergeCell ref="A46:B46"/>
    <mergeCell ref="A3:B3"/>
    <mergeCell ref="A9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FAE92-0ADF-449D-B082-5F9E9B6AD7DD}">
  <dimension ref="A1:J44"/>
  <sheetViews>
    <sheetView workbookViewId="0">
      <selection activeCell="C3" sqref="C3"/>
    </sheetView>
  </sheetViews>
  <sheetFormatPr defaultColWidth="9" defaultRowHeight="14.5" x14ac:dyDescent="0.35"/>
  <cols>
    <col min="1" max="1" width="9" style="2"/>
    <col min="2" max="2" width="19.26953125" style="55" customWidth="1"/>
    <col min="3" max="3" width="24" style="2" customWidth="1"/>
    <col min="4" max="4" width="10.453125" style="18" bestFit="1" customWidth="1"/>
    <col min="5" max="5" width="10.453125" style="2" bestFit="1" customWidth="1"/>
    <col min="6" max="6" width="11" style="2" bestFit="1" customWidth="1"/>
    <col min="7" max="7" width="9" style="2"/>
    <col min="8" max="10" width="18" style="2" customWidth="1"/>
    <col min="11" max="16384" width="9" style="2"/>
  </cols>
  <sheetData>
    <row r="1" spans="1:10" ht="15" thickBot="1" x14ac:dyDescent="0.4">
      <c r="A1" s="931" t="s">
        <v>279</v>
      </c>
      <c r="B1" s="932"/>
      <c r="C1" s="932"/>
      <c r="D1" s="932"/>
      <c r="E1" s="932"/>
      <c r="F1" s="933"/>
    </row>
    <row r="2" spans="1:10" ht="73" thickBot="1" x14ac:dyDescent="0.4">
      <c r="A2" s="254" t="s">
        <v>280</v>
      </c>
      <c r="B2" s="254" t="s">
        <v>281</v>
      </c>
      <c r="C2" s="255" t="s">
        <v>282</v>
      </c>
      <c r="D2" s="256">
        <v>3.18</v>
      </c>
      <c r="E2" s="257" t="s">
        <v>283</v>
      </c>
      <c r="F2" s="258" t="s">
        <v>284</v>
      </c>
      <c r="H2" s="117" t="s">
        <v>285</v>
      </c>
      <c r="I2" s="117" t="s">
        <v>286</v>
      </c>
      <c r="J2" s="117" t="s">
        <v>287</v>
      </c>
    </row>
    <row r="3" spans="1:10" x14ac:dyDescent="0.35">
      <c r="A3" s="193">
        <v>200</v>
      </c>
      <c r="B3" s="188">
        <f>-0.184/(1+((A3-365)^2/1691))</f>
        <v>-1.0760271130170149E-2</v>
      </c>
      <c r="C3" s="189">
        <f>(0.000000189)*(A3^2)-(0.000271)*(A3)+0.0987</f>
        <v>5.2059999999999995E-2</v>
      </c>
      <c r="D3" s="189">
        <f>C3*$D$2</f>
        <v>0.1655508</v>
      </c>
      <c r="E3" s="190">
        <f>B3+D3</f>
        <v>0.15479052886982986</v>
      </c>
      <c r="F3" s="194">
        <f>B3-D3</f>
        <v>-0.17631107113017014</v>
      </c>
    </row>
    <row r="4" spans="1:10" x14ac:dyDescent="0.35">
      <c r="A4" s="178">
        <v>210</v>
      </c>
      <c r="B4" s="177">
        <f t="shared" ref="B4:B22" si="0">-0.184/(1+((A4-365)^2/1691))</f>
        <v>-1.2099237828589205E-2</v>
      </c>
      <c r="C4" s="185">
        <f t="shared" ref="C4:C27" si="1">(0.000000189)*(A4^2)-(0.000271)*(A4)+0.0987</f>
        <v>5.01249E-2</v>
      </c>
      <c r="D4" s="185">
        <f t="shared" ref="D4:D27" si="2">C4*$D$2</f>
        <v>0.159397182</v>
      </c>
      <c r="E4" s="165">
        <f t="shared" ref="E4:E27" si="3">B4+D4</f>
        <v>0.14729794417141079</v>
      </c>
      <c r="F4" s="170">
        <f t="shared" ref="F4:F27" si="4">B4-D4</f>
        <v>-0.17149641982858921</v>
      </c>
    </row>
    <row r="5" spans="1:10" x14ac:dyDescent="0.35">
      <c r="A5" s="178">
        <v>220</v>
      </c>
      <c r="B5" s="177">
        <f t="shared" si="0"/>
        <v>-1.3697129776369077E-2</v>
      </c>
      <c r="C5" s="185">
        <f t="shared" si="1"/>
        <v>4.8227600000000002E-2</v>
      </c>
      <c r="D5" s="185">
        <f t="shared" si="2"/>
        <v>0.15336376800000001</v>
      </c>
      <c r="E5" s="165">
        <f t="shared" si="3"/>
        <v>0.13966663822363093</v>
      </c>
      <c r="F5" s="170">
        <f t="shared" si="4"/>
        <v>-0.16706089777636909</v>
      </c>
    </row>
    <row r="6" spans="1:10" x14ac:dyDescent="0.35">
      <c r="A6" s="178">
        <v>230</v>
      </c>
      <c r="B6" s="177">
        <f t="shared" si="0"/>
        <v>-1.5622815826471178E-2</v>
      </c>
      <c r="C6" s="185">
        <f t="shared" si="1"/>
        <v>4.6368100000000002E-2</v>
      </c>
      <c r="D6" s="185">
        <f t="shared" si="2"/>
        <v>0.14745055800000001</v>
      </c>
      <c r="E6" s="165">
        <f t="shared" si="3"/>
        <v>0.13182774217352883</v>
      </c>
      <c r="F6" s="170">
        <f t="shared" si="4"/>
        <v>-0.16307337382647119</v>
      </c>
    </row>
    <row r="7" spans="1:10" x14ac:dyDescent="0.35">
      <c r="A7" s="178">
        <v>240</v>
      </c>
      <c r="B7" s="177">
        <f t="shared" si="0"/>
        <v>-1.7968583968583966E-2</v>
      </c>
      <c r="C7" s="185">
        <f t="shared" si="1"/>
        <v>4.4546400000000014E-2</v>
      </c>
      <c r="D7" s="185">
        <f t="shared" si="2"/>
        <v>0.14165755200000005</v>
      </c>
      <c r="E7" s="165">
        <f t="shared" si="3"/>
        <v>0.12368896803141607</v>
      </c>
      <c r="F7" s="170">
        <f t="shared" si="4"/>
        <v>-0.15962613596858402</v>
      </c>
    </row>
    <row r="8" spans="1:10" x14ac:dyDescent="0.35">
      <c r="A8" s="178">
        <v>250</v>
      </c>
      <c r="B8" s="177">
        <f t="shared" si="0"/>
        <v>-2.0859747921694826E-2</v>
      </c>
      <c r="C8" s="185">
        <f t="shared" si="1"/>
        <v>4.2762500000000009E-2</v>
      </c>
      <c r="D8" s="185">
        <f t="shared" si="2"/>
        <v>0.13598475000000004</v>
      </c>
      <c r="E8" s="165">
        <f t="shared" si="3"/>
        <v>0.11512500207830521</v>
      </c>
      <c r="F8" s="170">
        <f t="shared" si="4"/>
        <v>-0.15684449792169486</v>
      </c>
    </row>
    <row r="9" spans="1:10" x14ac:dyDescent="0.35">
      <c r="A9" s="178">
        <v>260</v>
      </c>
      <c r="B9" s="177">
        <f t="shared" si="0"/>
        <v>-2.4468700849323687E-2</v>
      </c>
      <c r="C9" s="185">
        <f t="shared" si="1"/>
        <v>4.1016400000000001E-2</v>
      </c>
      <c r="D9" s="185">
        <f t="shared" si="2"/>
        <v>0.13043215200000002</v>
      </c>
      <c r="E9" s="165">
        <f t="shared" si="3"/>
        <v>0.10596345115067633</v>
      </c>
      <c r="F9" s="170">
        <f t="shared" si="4"/>
        <v>-0.1549008528493237</v>
      </c>
    </row>
    <row r="10" spans="1:10" x14ac:dyDescent="0.35">
      <c r="A10" s="178">
        <v>270</v>
      </c>
      <c r="B10" s="177">
        <f t="shared" si="0"/>
        <v>-2.90354609929078E-2</v>
      </c>
      <c r="C10" s="185">
        <f t="shared" si="1"/>
        <v>3.9308099999999999E-2</v>
      </c>
      <c r="D10" s="185">
        <f t="shared" si="2"/>
        <v>0.124999758</v>
      </c>
      <c r="E10" s="165">
        <f t="shared" si="3"/>
        <v>9.5964297007092206E-2</v>
      </c>
      <c r="F10" s="170">
        <f t="shared" si="4"/>
        <v>-0.15403521899290781</v>
      </c>
    </row>
    <row r="11" spans="1:10" x14ac:dyDescent="0.35">
      <c r="A11" s="178">
        <v>280</v>
      </c>
      <c r="B11" s="177">
        <f t="shared" si="0"/>
        <v>-3.489726334679228E-2</v>
      </c>
      <c r="C11" s="185">
        <f t="shared" si="1"/>
        <v>3.7637600000000007E-2</v>
      </c>
      <c r="D11" s="185">
        <f t="shared" si="2"/>
        <v>0.11968756800000002</v>
      </c>
      <c r="E11" s="165">
        <f t="shared" si="3"/>
        <v>8.4790304653207749E-2</v>
      </c>
      <c r="F11" s="170">
        <f t="shared" si="4"/>
        <v>-0.1545848313467923</v>
      </c>
    </row>
    <row r="12" spans="1:10" x14ac:dyDescent="0.35">
      <c r="A12" s="178">
        <v>290</v>
      </c>
      <c r="B12" s="177">
        <f t="shared" si="0"/>
        <v>-4.2529250956806992E-2</v>
      </c>
      <c r="C12" s="185">
        <f t="shared" si="1"/>
        <v>3.6004900000000006E-2</v>
      </c>
      <c r="D12" s="185">
        <f t="shared" si="2"/>
        <v>0.11449558200000003</v>
      </c>
      <c r="E12" s="165">
        <f t="shared" si="3"/>
        <v>7.1966331043193027E-2</v>
      </c>
      <c r="F12" s="170">
        <f t="shared" si="4"/>
        <v>-0.15702483295680703</v>
      </c>
    </row>
    <row r="13" spans="1:10" x14ac:dyDescent="0.35">
      <c r="A13" s="178">
        <v>300</v>
      </c>
      <c r="B13" s="177">
        <f t="shared" si="0"/>
        <v>-5.2593644354293437E-2</v>
      </c>
      <c r="C13" s="185">
        <f t="shared" si="1"/>
        <v>3.4409999999999996E-2</v>
      </c>
      <c r="D13" s="185">
        <f t="shared" si="2"/>
        <v>0.10942379999999999</v>
      </c>
      <c r="E13" s="165">
        <f t="shared" si="3"/>
        <v>5.6830155645706551E-2</v>
      </c>
      <c r="F13" s="170">
        <f t="shared" si="4"/>
        <v>-0.16201744435429344</v>
      </c>
    </row>
    <row r="14" spans="1:10" x14ac:dyDescent="0.35">
      <c r="A14" s="178">
        <v>310</v>
      </c>
      <c r="B14" s="177">
        <f t="shared" si="0"/>
        <v>-6.5976251060220523E-2</v>
      </c>
      <c r="C14" s="185">
        <f t="shared" si="1"/>
        <v>3.2852900000000004E-2</v>
      </c>
      <c r="D14" s="185">
        <f t="shared" si="2"/>
        <v>0.10447222200000002</v>
      </c>
      <c r="E14" s="165">
        <f t="shared" si="3"/>
        <v>3.8495970939779495E-2</v>
      </c>
      <c r="F14" s="170">
        <f t="shared" si="4"/>
        <v>-0.17044847306022054</v>
      </c>
    </row>
    <row r="15" spans="1:10" x14ac:dyDescent="0.35">
      <c r="A15" s="178">
        <v>320</v>
      </c>
      <c r="B15" s="177">
        <f t="shared" si="0"/>
        <v>-8.3730893433799775E-2</v>
      </c>
      <c r="C15" s="185">
        <f t="shared" si="1"/>
        <v>3.1333600000000003E-2</v>
      </c>
      <c r="D15" s="185">
        <f t="shared" si="2"/>
        <v>9.9640848000000018E-2</v>
      </c>
      <c r="E15" s="165">
        <f t="shared" si="3"/>
        <v>1.5909954566200243E-2</v>
      </c>
      <c r="F15" s="170">
        <f t="shared" si="4"/>
        <v>-0.18337174143379981</v>
      </c>
    </row>
    <row r="16" spans="1:10" x14ac:dyDescent="0.35">
      <c r="A16" s="178">
        <v>330</v>
      </c>
      <c r="B16" s="177">
        <f t="shared" si="0"/>
        <v>-0.10670233196159122</v>
      </c>
      <c r="C16" s="185">
        <f t="shared" si="1"/>
        <v>2.9852100000000006E-2</v>
      </c>
      <c r="D16" s="185">
        <f t="shared" si="2"/>
        <v>9.4929678000000031E-2</v>
      </c>
      <c r="E16" s="165">
        <f t="shared" si="3"/>
        <v>-1.177265396159119E-2</v>
      </c>
      <c r="F16" s="170">
        <f t="shared" si="4"/>
        <v>-0.20163200996159125</v>
      </c>
    </row>
    <row r="17" spans="1:6" x14ac:dyDescent="0.35">
      <c r="A17" s="178">
        <v>340</v>
      </c>
      <c r="B17" s="177">
        <f t="shared" si="0"/>
        <v>-0.1343454231433506</v>
      </c>
      <c r="C17" s="185">
        <f t="shared" si="1"/>
        <v>2.8408400000000014E-2</v>
      </c>
      <c r="D17" s="185">
        <f t="shared" si="2"/>
        <v>9.0338712000000043E-2</v>
      </c>
      <c r="E17" s="165">
        <f t="shared" si="3"/>
        <v>-4.4006711143350558E-2</v>
      </c>
      <c r="F17" s="170">
        <f t="shared" si="4"/>
        <v>-0.22468413514335064</v>
      </c>
    </row>
    <row r="18" spans="1:6" x14ac:dyDescent="0.35">
      <c r="A18" s="178">
        <v>350</v>
      </c>
      <c r="B18" s="177">
        <f t="shared" si="0"/>
        <v>-0.16239248434237996</v>
      </c>
      <c r="C18" s="185">
        <f t="shared" si="1"/>
        <v>2.7002500000000013E-2</v>
      </c>
      <c r="D18" s="185">
        <f t="shared" si="2"/>
        <v>8.586795000000004E-2</v>
      </c>
      <c r="E18" s="165">
        <f t="shared" si="3"/>
        <v>-7.6524534342379921E-2</v>
      </c>
      <c r="F18" s="170">
        <f t="shared" si="4"/>
        <v>-0.24826043434237999</v>
      </c>
    </row>
    <row r="19" spans="1:6" x14ac:dyDescent="0.35">
      <c r="A19" s="178">
        <v>360</v>
      </c>
      <c r="B19" s="177">
        <f t="shared" si="0"/>
        <v>-0.18131934731934732</v>
      </c>
      <c r="C19" s="185">
        <f t="shared" si="1"/>
        <v>2.5634400000000002E-2</v>
      </c>
      <c r="D19" s="185">
        <f t="shared" si="2"/>
        <v>8.1517392000000008E-2</v>
      </c>
      <c r="E19" s="165">
        <f t="shared" si="3"/>
        <v>-9.980195531934731E-2</v>
      </c>
      <c r="F19" s="170">
        <f t="shared" si="4"/>
        <v>-0.26283673931934731</v>
      </c>
    </row>
    <row r="20" spans="1:6" x14ac:dyDescent="0.35">
      <c r="A20" s="178">
        <v>370</v>
      </c>
      <c r="B20" s="177">
        <f t="shared" si="0"/>
        <v>-0.18131934731934732</v>
      </c>
      <c r="C20" s="185">
        <f t="shared" si="1"/>
        <v>2.4304100000000009E-2</v>
      </c>
      <c r="D20" s="185">
        <f t="shared" si="2"/>
        <v>7.728703800000003E-2</v>
      </c>
      <c r="E20" s="165">
        <f t="shared" si="3"/>
        <v>-0.10403230931934729</v>
      </c>
      <c r="F20" s="170">
        <f t="shared" si="4"/>
        <v>-0.25860638531934732</v>
      </c>
    </row>
    <row r="21" spans="1:6" x14ac:dyDescent="0.35">
      <c r="A21" s="178">
        <v>380</v>
      </c>
      <c r="B21" s="177">
        <f t="shared" si="0"/>
        <v>-0.16239248434237996</v>
      </c>
      <c r="C21" s="185">
        <f t="shared" si="1"/>
        <v>2.3011600000000007E-2</v>
      </c>
      <c r="D21" s="185">
        <f t="shared" si="2"/>
        <v>7.3176888000000023E-2</v>
      </c>
      <c r="E21" s="165">
        <f t="shared" si="3"/>
        <v>-8.9215596342379938E-2</v>
      </c>
      <c r="F21" s="170">
        <f t="shared" si="4"/>
        <v>-0.23556937234237998</v>
      </c>
    </row>
    <row r="22" spans="1:6" x14ac:dyDescent="0.35">
      <c r="A22" s="178">
        <v>390</v>
      </c>
      <c r="B22" s="177">
        <f t="shared" si="0"/>
        <v>-0.1343454231433506</v>
      </c>
      <c r="C22" s="185">
        <f t="shared" si="1"/>
        <v>2.175690000000001E-2</v>
      </c>
      <c r="D22" s="185">
        <f t="shared" si="2"/>
        <v>6.9186942000000029E-2</v>
      </c>
      <c r="E22" s="165">
        <f t="shared" si="3"/>
        <v>-6.5158481143350572E-2</v>
      </c>
      <c r="F22" s="170">
        <f t="shared" si="4"/>
        <v>-0.20353236514335063</v>
      </c>
    </row>
    <row r="23" spans="1:6" x14ac:dyDescent="0.35">
      <c r="A23" s="178">
        <v>400</v>
      </c>
      <c r="B23" s="177">
        <f>-0.184/(1+((A23-365)^2/1691))</f>
        <v>-0.10670233196159122</v>
      </c>
      <c r="C23" s="185">
        <f t="shared" si="1"/>
        <v>2.0540000000000003E-2</v>
      </c>
      <c r="D23" s="185">
        <f t="shared" si="2"/>
        <v>6.5317200000000006E-2</v>
      </c>
      <c r="E23" s="165">
        <f t="shared" si="3"/>
        <v>-4.1385131961591215E-2</v>
      </c>
      <c r="F23" s="170">
        <f t="shared" si="4"/>
        <v>-0.17201953196159123</v>
      </c>
    </row>
    <row r="24" spans="1:6" x14ac:dyDescent="0.35">
      <c r="A24" s="195">
        <v>351</v>
      </c>
      <c r="B24" s="179">
        <f>-0.184/(1+((A24-365)^2/1691))</f>
        <v>-0.16488818229994701</v>
      </c>
      <c r="C24" s="186">
        <f>(0.000000189)*(A24^2)-(0.000271)*(A24)+0.0987</f>
        <v>2.6863989000000005E-2</v>
      </c>
      <c r="D24" s="186">
        <f>C24*$D$2</f>
        <v>8.5427485020000013E-2</v>
      </c>
      <c r="E24" s="187">
        <f>B24+D24</f>
        <v>-7.9460697279946993E-2</v>
      </c>
      <c r="F24" s="196">
        <f>B24-D24</f>
        <v>-0.25031566731994703</v>
      </c>
    </row>
    <row r="25" spans="1:6" x14ac:dyDescent="0.35">
      <c r="A25" s="195">
        <v>476.48599999999999</v>
      </c>
      <c r="B25" s="179">
        <f>-0.184/(1+((A25-365)^2/1691))</f>
        <v>-2.2035493989930065E-2</v>
      </c>
      <c r="C25" s="186">
        <f t="shared" si="1"/>
        <v>1.2482647649044012E-2</v>
      </c>
      <c r="D25" s="186">
        <f t="shared" si="2"/>
        <v>3.9694819523959965E-2</v>
      </c>
      <c r="E25" s="187">
        <f t="shared" si="3"/>
        <v>1.76593255340299E-2</v>
      </c>
      <c r="F25" s="196">
        <f t="shared" si="4"/>
        <v>-6.173031351389003E-2</v>
      </c>
    </row>
    <row r="26" spans="1:6" x14ac:dyDescent="0.35">
      <c r="A26" s="178">
        <v>487.98599999999999</v>
      </c>
      <c r="B26" s="177">
        <f>-0.184/(1+((A26-365)^2/1691))</f>
        <v>-1.8502242455206673E-2</v>
      </c>
      <c r="C26" s="185">
        <f t="shared" si="1"/>
        <v>1.1462427541044026E-2</v>
      </c>
      <c r="D26" s="185">
        <f t="shared" si="2"/>
        <v>3.6450519580520008E-2</v>
      </c>
      <c r="E26" s="165">
        <f t="shared" si="3"/>
        <v>1.7948277125313335E-2</v>
      </c>
      <c r="F26" s="170">
        <f t="shared" si="4"/>
        <v>-5.4952762035726681E-2</v>
      </c>
    </row>
    <row r="27" spans="1:6" ht="15" thickBot="1" x14ac:dyDescent="0.4">
      <c r="A27" s="197">
        <v>514.53099999999995</v>
      </c>
      <c r="B27" s="198">
        <f>-0.184/(1+((A27-365)^2/1691))</f>
        <v>-1.2937100757262093E-2</v>
      </c>
      <c r="C27" s="199">
        <f t="shared" si="1"/>
        <v>9.2983653426290253E-3</v>
      </c>
      <c r="D27" s="199">
        <f t="shared" si="2"/>
        <v>2.9568801789560301E-2</v>
      </c>
      <c r="E27" s="200">
        <f t="shared" si="3"/>
        <v>1.6631701032298208E-2</v>
      </c>
      <c r="F27" s="174">
        <f t="shared" si="4"/>
        <v>-4.2505902546822391E-2</v>
      </c>
    </row>
    <row r="28" spans="1:6" x14ac:dyDescent="0.35">
      <c r="C28" s="18"/>
      <c r="E28" s="100"/>
      <c r="F28" s="100"/>
    </row>
    <row r="29" spans="1:6" x14ac:dyDescent="0.35">
      <c r="C29" s="18"/>
      <c r="E29" s="100"/>
      <c r="F29" s="100"/>
    </row>
    <row r="30" spans="1:6" x14ac:dyDescent="0.35">
      <c r="C30" s="18"/>
      <c r="E30" s="100"/>
      <c r="F30" s="100"/>
    </row>
    <row r="31" spans="1:6" x14ac:dyDescent="0.35">
      <c r="C31" s="18"/>
      <c r="E31" s="100"/>
      <c r="F31" s="100"/>
    </row>
    <row r="32" spans="1:6" x14ac:dyDescent="0.35">
      <c r="C32" s="18"/>
      <c r="E32" s="100"/>
      <c r="F32" s="100"/>
    </row>
    <row r="33" spans="3:6" x14ac:dyDescent="0.35">
      <c r="C33" s="18"/>
      <c r="E33" s="100"/>
      <c r="F33" s="100"/>
    </row>
    <row r="34" spans="3:6" x14ac:dyDescent="0.35">
      <c r="C34" s="18"/>
      <c r="E34" s="100"/>
      <c r="F34" s="100"/>
    </row>
    <row r="35" spans="3:6" x14ac:dyDescent="0.35">
      <c r="C35" s="18"/>
      <c r="E35" s="100"/>
      <c r="F35" s="100"/>
    </row>
    <row r="36" spans="3:6" x14ac:dyDescent="0.35">
      <c r="C36" s="18"/>
      <c r="E36" s="100"/>
      <c r="F36" s="100"/>
    </row>
    <row r="37" spans="3:6" x14ac:dyDescent="0.35">
      <c r="C37" s="18"/>
      <c r="E37" s="100"/>
      <c r="F37" s="100"/>
    </row>
    <row r="38" spans="3:6" x14ac:dyDescent="0.35">
      <c r="C38" s="18"/>
      <c r="E38" s="100"/>
      <c r="F38" s="100"/>
    </row>
    <row r="39" spans="3:6" x14ac:dyDescent="0.35">
      <c r="C39" s="18"/>
      <c r="E39" s="120"/>
      <c r="F39" s="120"/>
    </row>
    <row r="40" spans="3:6" x14ac:dyDescent="0.35">
      <c r="C40" s="18"/>
      <c r="E40" s="18"/>
      <c r="F40" s="18"/>
    </row>
    <row r="41" spans="3:6" x14ac:dyDescent="0.35">
      <c r="C41" s="18"/>
      <c r="E41" s="18"/>
      <c r="F41" s="18"/>
    </row>
    <row r="42" spans="3:6" x14ac:dyDescent="0.35">
      <c r="C42" s="18"/>
      <c r="E42" s="18"/>
      <c r="F42" s="18"/>
    </row>
    <row r="43" spans="3:6" x14ac:dyDescent="0.35">
      <c r="C43" s="18"/>
      <c r="E43" s="18"/>
      <c r="F43" s="18"/>
    </row>
    <row r="44" spans="3:6" x14ac:dyDescent="0.35">
      <c r="C44" s="18"/>
      <c r="E44" s="18"/>
      <c r="F44" s="1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5A0B-48BD-497D-9C74-86D0008E24AE}">
  <dimension ref="A1:BA64"/>
  <sheetViews>
    <sheetView topLeftCell="A2" zoomScale="70" zoomScaleNormal="70" workbookViewId="0">
      <pane xSplit="3" ySplit="5" topLeftCell="D67" activePane="bottomRight" state="frozen"/>
      <selection pane="topRight" activeCell="D2" sqref="D2"/>
      <selection pane="bottomLeft" activeCell="A5" sqref="A5"/>
      <selection pane="bottomRight" activeCell="AI2" sqref="AI2:AJ2"/>
    </sheetView>
  </sheetViews>
  <sheetFormatPr defaultColWidth="9.1796875" defaultRowHeight="14.5" x14ac:dyDescent="0.35"/>
  <cols>
    <col min="1" max="1" width="8.453125" style="2" customWidth="1"/>
    <col min="2" max="2" width="11.1796875" style="99" customWidth="1"/>
    <col min="3" max="3" width="7.81640625" style="99" bestFit="1" customWidth="1"/>
    <col min="4" max="5" width="10.54296875" style="100" customWidth="1"/>
    <col min="6" max="10" width="12" style="2" customWidth="1"/>
    <col min="11" max="15" width="12" style="15" customWidth="1"/>
    <col min="16" max="16" width="12" style="2" customWidth="1"/>
    <col min="17" max="18" width="12" style="15" customWidth="1"/>
    <col min="19" max="22" width="12" style="2" customWidth="1"/>
    <col min="23" max="23" width="12" style="101" customWidth="1"/>
    <col min="24" max="24" width="15.7265625" style="18" bestFit="1" customWidth="1"/>
    <col min="25" max="25" width="15.7265625" style="18" customWidth="1"/>
    <col min="26" max="26" width="16.26953125" style="18" bestFit="1" customWidth="1"/>
    <col min="27" max="32" width="16.26953125" style="18" customWidth="1"/>
    <col min="33" max="33" width="10.7265625" style="18" bestFit="1" customWidth="1"/>
    <col min="34" max="34" width="23.453125" style="18" bestFit="1" customWidth="1"/>
    <col min="35" max="35" width="23.7265625" style="2" customWidth="1"/>
    <col min="36" max="36" width="13" style="2" customWidth="1"/>
    <col min="37" max="37" width="18.453125" style="2" customWidth="1"/>
    <col min="38" max="40" width="24.26953125" style="2" customWidth="1"/>
    <col min="41" max="41" width="24.7265625" style="2" customWidth="1"/>
    <col min="42" max="42" width="10.81640625" style="2" customWidth="1"/>
    <col min="43" max="43" width="10.81640625" style="2" bestFit="1" customWidth="1"/>
    <col min="44" max="45" width="9.1796875" style="2"/>
    <col min="46" max="47" width="23.7265625" style="2" customWidth="1"/>
    <col min="48" max="49" width="9.1796875" style="2"/>
    <col min="50" max="50" width="20.1796875" style="2" bestFit="1" customWidth="1"/>
    <col min="51" max="52" width="9.1796875" style="2"/>
    <col min="53" max="53" width="9.1796875" style="3"/>
    <col min="54" max="16384" width="9.1796875" style="2"/>
  </cols>
  <sheetData>
    <row r="1" spans="1:53" ht="20.25" customHeight="1" thickBot="1" x14ac:dyDescent="0.4">
      <c r="A1" s="725" t="s">
        <v>0</v>
      </c>
      <c r="B1" s="728" t="s">
        <v>1</v>
      </c>
      <c r="C1" s="731" t="s">
        <v>2</v>
      </c>
      <c r="D1" s="734" t="s">
        <v>3</v>
      </c>
      <c r="E1" s="735"/>
      <c r="F1" s="736" t="s">
        <v>4</v>
      </c>
      <c r="G1" s="724"/>
      <c r="H1" s="724"/>
      <c r="I1" s="724"/>
      <c r="J1" s="724"/>
      <c r="K1" s="724"/>
      <c r="L1" s="724"/>
      <c r="M1" s="724"/>
      <c r="N1" s="724"/>
      <c r="O1" s="724"/>
      <c r="P1" s="737"/>
      <c r="Q1" s="724" t="s">
        <v>5</v>
      </c>
      <c r="R1" s="724"/>
      <c r="S1" s="724"/>
      <c r="T1" s="724"/>
      <c r="U1" s="724"/>
      <c r="V1" s="724"/>
      <c r="W1" s="724"/>
      <c r="X1" s="738" t="s">
        <v>6</v>
      </c>
      <c r="Y1" s="738" t="s">
        <v>7</v>
      </c>
      <c r="Z1" s="738" t="s">
        <v>8</v>
      </c>
      <c r="AA1" s="738" t="s">
        <v>9</v>
      </c>
      <c r="AB1" s="754" t="s">
        <v>10</v>
      </c>
      <c r="AC1" s="738" t="s">
        <v>11</v>
      </c>
      <c r="AD1" s="738" t="s">
        <v>12</v>
      </c>
      <c r="AE1" s="738" t="s">
        <v>13</v>
      </c>
      <c r="AF1" s="1"/>
      <c r="AG1" s="738" t="s">
        <v>14</v>
      </c>
      <c r="AH1" s="934" t="s">
        <v>288</v>
      </c>
      <c r="AY1" s="3"/>
      <c r="BA1" s="2"/>
    </row>
    <row r="2" spans="1:53" ht="20.25" customHeight="1" thickBot="1" x14ac:dyDescent="0.4">
      <c r="A2" s="726"/>
      <c r="B2" s="729"/>
      <c r="C2" s="732"/>
      <c r="D2" s="734"/>
      <c r="E2" s="735"/>
      <c r="F2" s="736"/>
      <c r="G2" s="724"/>
      <c r="H2" s="724"/>
      <c r="I2" s="724"/>
      <c r="J2" s="724"/>
      <c r="K2" s="737"/>
      <c r="L2" s="2"/>
      <c r="M2" s="157"/>
      <c r="N2" s="157"/>
      <c r="O2" s="157"/>
      <c r="P2" s="157"/>
      <c r="Q2" s="157"/>
      <c r="R2" s="154"/>
      <c r="S2" s="154"/>
      <c r="T2" s="154"/>
      <c r="U2" s="154"/>
      <c r="V2" s="154"/>
      <c r="W2" s="154"/>
      <c r="X2" s="739"/>
      <c r="Y2" s="739"/>
      <c r="Z2" s="739"/>
      <c r="AA2" s="739"/>
      <c r="AB2" s="755"/>
      <c r="AC2" s="739"/>
      <c r="AD2" s="739"/>
      <c r="AE2" s="739"/>
      <c r="AF2" s="2"/>
      <c r="AG2" s="739"/>
      <c r="AH2" s="934"/>
      <c r="AI2" s="2" t="s">
        <v>16</v>
      </c>
      <c r="AJ2" s="2">
        <f>10^6</f>
        <v>1000000</v>
      </c>
      <c r="AK2" s="738" t="s">
        <v>289</v>
      </c>
      <c r="AS2" s="3"/>
      <c r="BA2" s="2"/>
    </row>
    <row r="3" spans="1:53" ht="20.25" customHeight="1" thickBot="1" x14ac:dyDescent="0.4">
      <c r="A3" s="726"/>
      <c r="B3" s="729"/>
      <c r="C3" s="732"/>
      <c r="D3" s="734" t="s">
        <v>3</v>
      </c>
      <c r="E3" s="735"/>
      <c r="F3" s="736" t="s">
        <v>4</v>
      </c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36" t="s">
        <v>5</v>
      </c>
      <c r="R3" s="724"/>
      <c r="S3" s="724"/>
      <c r="T3" s="724"/>
      <c r="U3" s="724"/>
      <c r="V3" s="724"/>
      <c r="W3" s="737"/>
      <c r="X3" s="739"/>
      <c r="Y3" s="739"/>
      <c r="Z3" s="739"/>
      <c r="AA3" s="739"/>
      <c r="AB3" s="755"/>
      <c r="AC3" s="739"/>
      <c r="AD3" s="739"/>
      <c r="AE3" s="739"/>
      <c r="AF3" s="2"/>
      <c r="AG3" s="739"/>
      <c r="AH3" s="934"/>
      <c r="AK3" s="739"/>
      <c r="AS3" s="3"/>
      <c r="BA3" s="2"/>
    </row>
    <row r="4" spans="1:53" ht="20.25" customHeight="1" x14ac:dyDescent="0.35">
      <c r="A4" s="726"/>
      <c r="B4" s="729"/>
      <c r="C4" s="732"/>
      <c r="D4" s="742" t="s">
        <v>17</v>
      </c>
      <c r="E4" s="744" t="s">
        <v>18</v>
      </c>
      <c r="F4" s="746" t="s">
        <v>19</v>
      </c>
      <c r="G4" s="747"/>
      <c r="H4" s="747"/>
      <c r="I4" s="747"/>
      <c r="J4" s="747"/>
      <c r="K4" s="748" t="s">
        <v>20</v>
      </c>
      <c r="L4" s="749"/>
      <c r="M4" s="749"/>
      <c r="N4" s="749"/>
      <c r="O4" s="749"/>
      <c r="P4" s="750"/>
      <c r="Q4" s="747" t="s">
        <v>19</v>
      </c>
      <c r="R4" s="747"/>
      <c r="S4" s="747"/>
      <c r="T4" s="746" t="s">
        <v>20</v>
      </c>
      <c r="U4" s="747"/>
      <c r="V4" s="747"/>
      <c r="W4" s="935"/>
      <c r="X4" s="739"/>
      <c r="Y4" s="739"/>
      <c r="Z4" s="739"/>
      <c r="AA4" s="739"/>
      <c r="AB4" s="755"/>
      <c r="AC4" s="739"/>
      <c r="AD4" s="739"/>
      <c r="AE4" s="739"/>
      <c r="AF4" s="4"/>
      <c r="AG4" s="739"/>
      <c r="AH4" s="934"/>
      <c r="AK4" s="739"/>
      <c r="AY4" s="3"/>
      <c r="BA4" s="2"/>
    </row>
    <row r="5" spans="1:53" ht="20.25" customHeight="1" thickBot="1" x14ac:dyDescent="0.4">
      <c r="A5" s="727"/>
      <c r="B5" s="730"/>
      <c r="C5" s="733"/>
      <c r="D5" s="743"/>
      <c r="E5" s="745"/>
      <c r="F5" s="5" t="s">
        <v>21</v>
      </c>
      <c r="G5" s="142"/>
      <c r="H5" s="142"/>
      <c r="I5" s="6" t="s">
        <v>22</v>
      </c>
      <c r="J5" s="7" t="s">
        <v>23</v>
      </c>
      <c r="K5" s="5" t="s">
        <v>21</v>
      </c>
      <c r="L5" s="142"/>
      <c r="M5" s="142"/>
      <c r="N5" s="142"/>
      <c r="O5" s="6" t="s">
        <v>22</v>
      </c>
      <c r="P5" s="8" t="s">
        <v>24</v>
      </c>
      <c r="Q5" s="9" t="s">
        <v>21</v>
      </c>
      <c r="R5" s="6" t="s">
        <v>22</v>
      </c>
      <c r="S5" s="7" t="s">
        <v>23</v>
      </c>
      <c r="T5" s="5" t="s">
        <v>21</v>
      </c>
      <c r="U5" s="142"/>
      <c r="V5" s="6" t="s">
        <v>22</v>
      </c>
      <c r="W5" s="8" t="s">
        <v>24</v>
      </c>
      <c r="X5" s="740"/>
      <c r="Y5" s="740"/>
      <c r="Z5" s="740"/>
      <c r="AA5" s="740"/>
      <c r="AB5" s="756"/>
      <c r="AC5" s="740"/>
      <c r="AD5" s="740"/>
      <c r="AE5" s="740"/>
      <c r="AF5" s="10"/>
      <c r="AG5" s="740"/>
      <c r="AH5" s="934"/>
      <c r="AJ5" s="2">
        <f>25.2-23.5</f>
        <v>1.6999999999999993</v>
      </c>
      <c r="AK5" s="739"/>
      <c r="AY5" s="3"/>
      <c r="BA5" s="2"/>
    </row>
    <row r="6" spans="1:53" ht="30.25" customHeight="1" thickBot="1" x14ac:dyDescent="0.4">
      <c r="A6" s="757" t="s">
        <v>25</v>
      </c>
      <c r="B6" s="759"/>
      <c r="C6" s="759"/>
      <c r="D6" s="12">
        <v>0.2</v>
      </c>
      <c r="E6" s="13">
        <v>1.6</v>
      </c>
      <c r="F6" s="760"/>
      <c r="G6" s="761"/>
      <c r="H6" s="761"/>
      <c r="I6" s="761"/>
      <c r="J6" s="761"/>
      <c r="K6" s="14"/>
      <c r="N6" s="153" t="s">
        <v>290</v>
      </c>
      <c r="P6" s="16"/>
      <c r="Q6" s="761"/>
      <c r="R6" s="761"/>
      <c r="S6" s="761"/>
      <c r="T6" s="14"/>
      <c r="U6" s="153" t="s">
        <v>290</v>
      </c>
      <c r="V6" s="15"/>
      <c r="W6" s="16"/>
      <c r="X6" s="17"/>
      <c r="Z6" s="19"/>
      <c r="AA6" s="20"/>
      <c r="AB6" s="19"/>
      <c r="AC6" s="19"/>
      <c r="AD6" s="19"/>
      <c r="AE6" s="19"/>
      <c r="AF6" s="19"/>
      <c r="AG6" s="20"/>
      <c r="AH6" s="2"/>
      <c r="AJ6" s="2" t="s">
        <v>219</v>
      </c>
      <c r="AK6" s="740"/>
      <c r="AL6" s="2" t="s">
        <v>27</v>
      </c>
      <c r="AM6" s="2" t="s">
        <v>291</v>
      </c>
      <c r="AY6" s="3"/>
      <c r="BA6" s="2"/>
    </row>
    <row r="7" spans="1:53" x14ac:dyDescent="0.35">
      <c r="A7" s="21">
        <v>2000</v>
      </c>
      <c r="B7" s="22">
        <f t="shared" ref="B7:B27" si="0">A7*$K$56-$K$57</f>
        <v>-279093</v>
      </c>
      <c r="C7" s="23">
        <f>B8-B7</f>
        <v>28804.70000000007</v>
      </c>
      <c r="D7" s="762">
        <v>1</v>
      </c>
      <c r="E7" s="763"/>
      <c r="F7" s="143">
        <v>-9.9425398699999994E-3</v>
      </c>
      <c r="G7" s="15">
        <f>F7*-1</f>
        <v>9.9425398699999994E-3</v>
      </c>
      <c r="H7" s="3">
        <f>G7/MAX($G$7:$G$27)</f>
        <v>1.5025611276516682E-3</v>
      </c>
      <c r="I7" s="30">
        <v>1.1496844400000001E-6</v>
      </c>
      <c r="J7" s="26">
        <f t="shared" ref="J7:J27" si="1">I7*100/F7</f>
        <v>-1.1563287198565694E-2</v>
      </c>
      <c r="K7" s="27">
        <v>-9.5037423799999993E-3</v>
      </c>
      <c r="L7" s="15">
        <f>K7*-1</f>
        <v>9.5037423799999993E-3</v>
      </c>
      <c r="M7" s="3">
        <f>L7/MAX($G$7:$G$27)</f>
        <v>1.4362480869190366E-3</v>
      </c>
      <c r="N7" s="158">
        <f>L7*100/G7</f>
        <v>95.586666025609816</v>
      </c>
      <c r="O7" s="28">
        <v>1.1003185700000001E-6</v>
      </c>
      <c r="P7" s="29">
        <f>F7-K7</f>
        <v>-4.387974900000001E-4</v>
      </c>
      <c r="Q7" s="30">
        <v>-1.34214551E-2</v>
      </c>
      <c r="R7" s="25">
        <v>4.6328336100000002E-7</v>
      </c>
      <c r="S7" s="26">
        <f t="shared" ref="S7:S27" si="2">R7*100/Q7</f>
        <v>-3.4518117264349382E-3</v>
      </c>
      <c r="T7" s="27">
        <v>-1.35130276E-2</v>
      </c>
      <c r="U7" s="158">
        <f>T7*100/Q7</f>
        <v>100.68228444172198</v>
      </c>
      <c r="V7" s="147">
        <v>6.3059235300000005E-7</v>
      </c>
      <c r="W7" s="29">
        <f t="shared" ref="W7:W27" si="3">Q7-T7</f>
        <v>9.1572499999999571E-5</v>
      </c>
      <c r="X7" s="31">
        <v>0.1134</v>
      </c>
      <c r="Y7" s="159">
        <v>6.12</v>
      </c>
      <c r="Z7" s="33">
        <f t="shared" ref="Z7:Z27" si="4">X7*(W7/-P7)</f>
        <v>2.3665407703220794E-2</v>
      </c>
      <c r="AA7" s="34">
        <v>2.6759999999999999E-2</v>
      </c>
      <c r="AB7" s="35">
        <v>2.9E-4</v>
      </c>
      <c r="AC7" s="166">
        <f>AB7*100/AA7</f>
        <v>1.0837070254110615</v>
      </c>
      <c r="AD7" s="167">
        <f>ABS(Z7-AK7)/AK7*100</f>
        <v>11.428732211326704</v>
      </c>
      <c r="AE7" s="168">
        <f>SQRT(SUMSQ(Y7,AC7))</f>
        <v>6.2152088393653591</v>
      </c>
      <c r="AF7" s="162">
        <f>AE7/100*Z7</f>
        <v>1.4708545114424294E-3</v>
      </c>
      <c r="AG7" s="764" t="s">
        <v>29</v>
      </c>
      <c r="AH7" s="161">
        <f>'Uncertainty calc'!BZ20</f>
        <v>191.29999999999998</v>
      </c>
      <c r="AI7" s="3">
        <f>AH7/100*Z7</f>
        <v>4.5271924936261372E-2</v>
      </c>
      <c r="AJ7" s="120">
        <v>-0.09</v>
      </c>
      <c r="AK7" s="55">
        <f>AA7+((AJ7*$AJ$5)/100*AA7)</f>
        <v>2.67190572E-2</v>
      </c>
      <c r="AL7" s="2">
        <f>-P7/(X7*$AJ$2)</f>
        <v>3.8694664021164032E-9</v>
      </c>
      <c r="AM7" s="3">
        <f>AL7*10^6</f>
        <v>3.8694664021164033E-3</v>
      </c>
      <c r="AY7" s="3"/>
      <c r="BA7" s="2"/>
    </row>
    <row r="8" spans="1:53" x14ac:dyDescent="0.35">
      <c r="A8" s="39">
        <v>2100</v>
      </c>
      <c r="B8" s="40">
        <f t="shared" si="0"/>
        <v>-250288.29999999993</v>
      </c>
      <c r="C8" s="41">
        <f>B9-B8</f>
        <v>28804.699999999953</v>
      </c>
      <c r="D8" s="42">
        <v>23.6</v>
      </c>
      <c r="E8" s="43">
        <v>52.2</v>
      </c>
      <c r="F8" s="144">
        <v>-1.0359669199999999E-2</v>
      </c>
      <c r="G8" s="15">
        <f t="shared" ref="G8:G27" si="5">F8*-1</f>
        <v>1.0359669199999999E-2</v>
      </c>
      <c r="H8" s="3">
        <f t="shared" ref="H8:H27" si="6">G8/MAX($G$7:$G$27)</f>
        <v>1.5655995790590936E-3</v>
      </c>
      <c r="I8" s="50">
        <v>2.1869258399999999E-6</v>
      </c>
      <c r="J8" s="46">
        <f t="shared" si="1"/>
        <v>-2.1109996832717401E-2</v>
      </c>
      <c r="K8" s="47">
        <v>-9.4971181200000001E-3</v>
      </c>
      <c r="L8" s="15">
        <f t="shared" ref="L8:L27" si="7">K8*-1</f>
        <v>9.4971181200000001E-3</v>
      </c>
      <c r="M8" s="3">
        <f t="shared" ref="M8:M27" si="8">L8/MAX($G$7:$G$27)</f>
        <v>1.4352469990978564E-3</v>
      </c>
      <c r="N8" s="158">
        <f t="shared" ref="N8:N27" si="9">L8*100/G8</f>
        <v>91.673951519610299</v>
      </c>
      <c r="O8" s="48">
        <v>5.7128163700000003E-7</v>
      </c>
      <c r="P8" s="49">
        <f t="shared" ref="P8:P27" si="10">F8-K8</f>
        <v>-8.6255107999999928E-4</v>
      </c>
      <c r="Q8" s="50">
        <v>-1.33310298E-2</v>
      </c>
      <c r="R8" s="45">
        <v>5.3452317200000002E-7</v>
      </c>
      <c r="S8" s="46">
        <f t="shared" si="2"/>
        <v>-4.0096165113965914E-3</v>
      </c>
      <c r="T8" s="47">
        <v>-1.3513695500000001E-2</v>
      </c>
      <c r="U8" s="158">
        <f t="shared" ref="U8:U27" si="11">T8*100/Q8</f>
        <v>101.37022947769572</v>
      </c>
      <c r="V8" s="148">
        <v>5.4580412899999997E-7</v>
      </c>
      <c r="W8" s="49">
        <f t="shared" si="3"/>
        <v>1.8266570000000093E-4</v>
      </c>
      <c r="X8" s="51">
        <v>0.1163</v>
      </c>
      <c r="Y8" s="65">
        <v>4.25</v>
      </c>
      <c r="Z8" s="53">
        <f t="shared" si="4"/>
        <v>2.462929025606243E-2</v>
      </c>
      <c r="AA8" s="54">
        <v>2.6200000000000001E-2</v>
      </c>
      <c r="AB8" s="55">
        <v>2.0000000000000001E-4</v>
      </c>
      <c r="AC8" s="169">
        <f t="shared" ref="AC8:AC27" si="12">AB8*100/AA8</f>
        <v>0.76335877862595414</v>
      </c>
      <c r="AD8" s="165">
        <f t="shared" ref="AD8:AD27" si="13">ABS(Z8-AK8)/AK8*100</f>
        <v>5.8349948497849855</v>
      </c>
      <c r="AE8" s="170">
        <f t="shared" ref="AE8:AE27" si="14">SQRT(SUMSQ(Y8,AC8))</f>
        <v>4.318010725427313</v>
      </c>
      <c r="AF8" s="163">
        <f t="shared" ref="AF8:AF27" si="15">AE8/100*Z8</f>
        <v>1.0634953948534E-3</v>
      </c>
      <c r="AG8" s="765"/>
      <c r="AH8" s="161">
        <f>'Uncertainty calc'!BZ21</f>
        <v>183.4</v>
      </c>
      <c r="AI8" s="3">
        <f t="shared" ref="AI8:AI27" si="16">AH8/100*Z8</f>
        <v>4.5170118329618501E-2</v>
      </c>
      <c r="AJ8" s="120">
        <v>-0.1</v>
      </c>
      <c r="AK8" s="55">
        <f t="shared" ref="AK8:AK27" si="17">AA8+((AJ8*$AJ$5)/100*AA8)</f>
        <v>2.6155460000000002E-2</v>
      </c>
      <c r="AL8" s="2">
        <f t="shared" ref="AL8:AL27" si="18">-P8/(X8*$AJ$2)</f>
        <v>7.4166042992261328E-9</v>
      </c>
      <c r="AM8" s="3">
        <f t="shared" ref="AM8:AM27" si="19">AL8*10^6</f>
        <v>7.4166042992261328E-3</v>
      </c>
      <c r="AY8" s="3"/>
      <c r="BA8" s="2"/>
    </row>
    <row r="9" spans="1:53" x14ac:dyDescent="0.35">
      <c r="A9" s="39">
        <v>2200</v>
      </c>
      <c r="B9" s="40">
        <f t="shared" si="0"/>
        <v>-221483.59999999998</v>
      </c>
      <c r="C9" s="41">
        <f t="shared" ref="C9:C26" si="20">B10-B9</f>
        <v>28804.70000000007</v>
      </c>
      <c r="D9" s="767"/>
      <c r="E9" s="768"/>
      <c r="F9" s="144">
        <v>-1.25281574E-2</v>
      </c>
      <c r="G9" s="15">
        <f t="shared" si="5"/>
        <v>1.25281574E-2</v>
      </c>
      <c r="H9" s="3">
        <f t="shared" si="6"/>
        <v>1.8933112219284057E-3</v>
      </c>
      <c r="I9" s="50">
        <v>1.5399090799999998E-5</v>
      </c>
      <c r="J9" s="59">
        <f t="shared" si="1"/>
        <v>-0.12291584714604557</v>
      </c>
      <c r="K9" s="60">
        <v>-9.4921713100000003E-3</v>
      </c>
      <c r="L9" s="15">
        <f t="shared" si="7"/>
        <v>9.4921713100000003E-3</v>
      </c>
      <c r="M9" s="3">
        <f t="shared" si="8"/>
        <v>1.4344994150288896E-3</v>
      </c>
      <c r="N9" s="158">
        <f t="shared" si="9"/>
        <v>75.766699019921319</v>
      </c>
      <c r="O9" s="61">
        <v>7.4475668500000005E-7</v>
      </c>
      <c r="P9" s="49">
        <f t="shared" si="10"/>
        <v>-3.0359860899999997E-3</v>
      </c>
      <c r="Q9" s="50">
        <v>-1.2873264400000001E-2</v>
      </c>
      <c r="R9" s="45">
        <v>1.13511596E-6</v>
      </c>
      <c r="S9" s="59">
        <f t="shared" si="2"/>
        <v>-8.8176232906394744E-3</v>
      </c>
      <c r="T9" s="60">
        <v>-1.3514966099999999E-2</v>
      </c>
      <c r="U9" s="158">
        <f t="shared" si="11"/>
        <v>104.98476283917542</v>
      </c>
      <c r="V9" s="149">
        <v>5.5469031599999998E-7</v>
      </c>
      <c r="W9" s="49">
        <f t="shared" si="3"/>
        <v>6.4170169999999867E-4</v>
      </c>
      <c r="X9" s="62">
        <v>0.12089999999999999</v>
      </c>
      <c r="Y9" s="160">
        <v>2.29</v>
      </c>
      <c r="Z9" s="53">
        <f t="shared" si="4"/>
        <v>2.5554048414628886E-2</v>
      </c>
      <c r="AA9" s="54">
        <v>2.564E-2</v>
      </c>
      <c r="AB9" s="55">
        <v>1.7000000000000001E-4</v>
      </c>
      <c r="AC9" s="169">
        <f t="shared" si="12"/>
        <v>0.66302652106084248</v>
      </c>
      <c r="AD9" s="175">
        <f t="shared" si="13"/>
        <v>0.16550595204950139</v>
      </c>
      <c r="AE9" s="171">
        <f>SQRT(SUMSQ(Y9,AC9))</f>
        <v>2.3840520480119651</v>
      </c>
      <c r="AF9" s="163">
        <f t="shared" si="15"/>
        <v>6.0922181457892912E-4</v>
      </c>
      <c r="AG9" s="765"/>
      <c r="AH9" s="161">
        <f>'Uncertainty calc'!BZ22</f>
        <v>151.6</v>
      </c>
      <c r="AI9" s="3">
        <f t="shared" si="16"/>
        <v>3.8739937396577391E-2</v>
      </c>
      <c r="AJ9" s="120">
        <v>-0.1</v>
      </c>
      <c r="AK9" s="55">
        <f t="shared" si="17"/>
        <v>2.5596411999999999E-2</v>
      </c>
      <c r="AL9" s="2">
        <f t="shared" si="18"/>
        <v>2.5111547477253926E-8</v>
      </c>
      <c r="AM9" s="3">
        <f t="shared" si="19"/>
        <v>2.5111547477253925E-2</v>
      </c>
      <c r="AY9" s="3"/>
      <c r="BA9" s="2"/>
    </row>
    <row r="10" spans="1:53" x14ac:dyDescent="0.35">
      <c r="A10" s="39">
        <v>2300</v>
      </c>
      <c r="B10" s="40">
        <f t="shared" si="0"/>
        <v>-192678.89999999991</v>
      </c>
      <c r="C10" s="41">
        <f>B11-B10</f>
        <v>28804.699999999953</v>
      </c>
      <c r="D10" s="65"/>
      <c r="E10" s="66"/>
      <c r="F10" s="144">
        <v>-3.1503363399999998E-2</v>
      </c>
      <c r="G10" s="15">
        <f t="shared" si="5"/>
        <v>3.1503363399999998E-2</v>
      </c>
      <c r="H10" s="3">
        <f t="shared" si="6"/>
        <v>4.7609292850765593E-3</v>
      </c>
      <c r="I10" s="50">
        <v>1.42249706E-4</v>
      </c>
      <c r="J10" s="46">
        <f t="shared" si="1"/>
        <v>-0.45153815544660225</v>
      </c>
      <c r="K10" s="47">
        <v>-9.4882690600000003E-3</v>
      </c>
      <c r="L10" s="15">
        <f t="shared" si="7"/>
        <v>9.4882690600000003E-3</v>
      </c>
      <c r="M10" s="3">
        <f t="shared" si="8"/>
        <v>1.4339096895425408E-3</v>
      </c>
      <c r="N10" s="158">
        <f t="shared" si="9"/>
        <v>30.118273212694493</v>
      </c>
      <c r="O10" s="48">
        <v>7.6355573500000003E-7</v>
      </c>
      <c r="P10" s="49">
        <f t="shared" si="10"/>
        <v>-2.2015094339999999E-2</v>
      </c>
      <c r="Q10" s="50">
        <v>-8.9283209300000006E-3</v>
      </c>
      <c r="R10" s="45">
        <v>1.55879985E-5</v>
      </c>
      <c r="S10" s="46">
        <f t="shared" si="2"/>
        <v>-0.17459048148261397</v>
      </c>
      <c r="T10" s="47">
        <v>-1.3516086199999999E-2</v>
      </c>
      <c r="U10" s="158">
        <f t="shared" si="11"/>
        <v>151.38441265685998</v>
      </c>
      <c r="V10" s="148">
        <v>4.4864944599999999E-7</v>
      </c>
      <c r="W10" s="49">
        <f t="shared" si="3"/>
        <v>4.5877652699999986E-3</v>
      </c>
      <c r="X10" s="51">
        <v>0.127</v>
      </c>
      <c r="Y10" s="65">
        <v>2.02</v>
      </c>
      <c r="Z10" s="53">
        <f t="shared" si="4"/>
        <v>2.6465759369078398E-2</v>
      </c>
      <c r="AA10" s="54">
        <v>2.5999999999999999E-2</v>
      </c>
      <c r="AB10" s="55">
        <v>1.6000000000000001E-4</v>
      </c>
      <c r="AC10" s="169">
        <f t="shared" si="12"/>
        <v>0.61538461538461542</v>
      </c>
      <c r="AD10" s="175">
        <f t="shared" si="13"/>
        <v>1.9647222165311822</v>
      </c>
      <c r="AE10" s="171">
        <f t="shared" si="14"/>
        <v>2.1116576959469713</v>
      </c>
      <c r="AF10" s="163">
        <f t="shared" si="15"/>
        <v>5.5886624450795066E-4</v>
      </c>
      <c r="AG10" s="765"/>
      <c r="AH10" s="161">
        <f>'Uncertainty calc'!BZ23</f>
        <v>60.300000000000004</v>
      </c>
      <c r="AI10" s="3">
        <f t="shared" si="16"/>
        <v>1.5958852899554277E-2</v>
      </c>
      <c r="AJ10" s="120">
        <v>-0.1</v>
      </c>
      <c r="AK10" s="55">
        <f t="shared" si="17"/>
        <v>2.5955799999999998E-2</v>
      </c>
      <c r="AL10" s="2">
        <f t="shared" si="18"/>
        <v>1.7334719952755904E-7</v>
      </c>
      <c r="AM10" s="3">
        <f t="shared" si="19"/>
        <v>0.17334719952755903</v>
      </c>
      <c r="AY10" s="3"/>
      <c r="BA10" s="2"/>
    </row>
    <row r="11" spans="1:53" x14ac:dyDescent="0.35">
      <c r="A11" s="39">
        <v>2400</v>
      </c>
      <c r="B11" s="40">
        <f t="shared" si="0"/>
        <v>-163874.19999999995</v>
      </c>
      <c r="C11" s="67">
        <f t="shared" si="20"/>
        <v>28804.70000000007</v>
      </c>
      <c r="D11" s="65"/>
      <c r="E11" s="66"/>
      <c r="F11" s="145">
        <v>-0.113015067</v>
      </c>
      <c r="G11" s="15">
        <f t="shared" si="5"/>
        <v>0.113015067</v>
      </c>
      <c r="H11" s="3">
        <f t="shared" si="6"/>
        <v>1.7079342776942653E-2</v>
      </c>
      <c r="I11" s="73">
        <v>7.3211532999999996E-4</v>
      </c>
      <c r="J11" s="70">
        <f t="shared" si="1"/>
        <v>-0.6478032968825298</v>
      </c>
      <c r="K11" s="71">
        <v>-9.4843380200000001E-3</v>
      </c>
      <c r="L11" s="15">
        <f t="shared" si="7"/>
        <v>9.4843380200000001E-3</v>
      </c>
      <c r="M11" s="3">
        <f t="shared" si="8"/>
        <v>1.4333156131825287E-3</v>
      </c>
      <c r="N11" s="158">
        <f t="shared" si="9"/>
        <v>8.3921005152348407</v>
      </c>
      <c r="O11" s="72">
        <v>5.8970807900000002E-7</v>
      </c>
      <c r="P11" s="49">
        <f t="shared" si="10"/>
        <v>-0.10353072898</v>
      </c>
      <c r="Q11" s="73">
        <v>8.0205357199999994E-3</v>
      </c>
      <c r="R11" s="69">
        <v>6.1994220099999996E-5</v>
      </c>
      <c r="S11" s="70">
        <f t="shared" si="2"/>
        <v>0.77294363199968397</v>
      </c>
      <c r="T11" s="71">
        <v>-1.3517271900000001E-2</v>
      </c>
      <c r="U11" s="158">
        <f t="shared" si="11"/>
        <v>-168.53327971962455</v>
      </c>
      <c r="V11" s="150">
        <v>4.5523220399999998E-7</v>
      </c>
      <c r="W11" s="49">
        <f t="shared" si="3"/>
        <v>2.1537807620000002E-2</v>
      </c>
      <c r="X11" s="74">
        <v>0.13039999999999999</v>
      </c>
      <c r="Y11" s="42">
        <v>2</v>
      </c>
      <c r="Z11" s="53">
        <f t="shared" si="4"/>
        <v>2.7127502542656202E-2</v>
      </c>
      <c r="AA11" s="54">
        <v>2.6769999999999999E-2</v>
      </c>
      <c r="AB11" s="55">
        <v>1.7000000000000001E-4</v>
      </c>
      <c r="AC11" s="169">
        <f t="shared" si="12"/>
        <v>0.63503922301083315</v>
      </c>
      <c r="AD11" s="175">
        <f t="shared" si="13"/>
        <v>1.508023268455152</v>
      </c>
      <c r="AE11" s="171">
        <f t="shared" si="14"/>
        <v>2.0983981544888479</v>
      </c>
      <c r="AF11" s="163">
        <f t="shared" si="15"/>
        <v>5.6924301271401309E-4</v>
      </c>
      <c r="AG11" s="765"/>
      <c r="AH11" s="161">
        <f>'Uncertainty calc'!BZ24</f>
        <v>17.100000000000001</v>
      </c>
      <c r="AI11" s="3">
        <f t="shared" si="16"/>
        <v>4.6388029347942108E-3</v>
      </c>
      <c r="AJ11" s="120">
        <v>-0.1</v>
      </c>
      <c r="AK11" s="55">
        <f t="shared" si="17"/>
        <v>2.6724491E-2</v>
      </c>
      <c r="AL11" s="2">
        <f t="shared" si="18"/>
        <v>7.9394730812883447E-7</v>
      </c>
      <c r="AM11" s="3">
        <f t="shared" si="19"/>
        <v>0.79394730812883452</v>
      </c>
      <c r="AY11" s="3"/>
      <c r="BA11" s="2"/>
    </row>
    <row r="12" spans="1:53" x14ac:dyDescent="0.35">
      <c r="A12" s="39">
        <v>2500</v>
      </c>
      <c r="B12" s="40">
        <f t="shared" si="0"/>
        <v>-135069.49999999988</v>
      </c>
      <c r="C12" s="41">
        <f t="shared" si="20"/>
        <v>28804.699999999953</v>
      </c>
      <c r="D12" s="65" t="s">
        <v>30</v>
      </c>
      <c r="E12" s="66"/>
      <c r="F12" s="144">
        <v>-0.27913470499999998</v>
      </c>
      <c r="G12" s="15">
        <f t="shared" si="5"/>
        <v>0.27913470499999998</v>
      </c>
      <c r="H12" s="3">
        <f t="shared" si="6"/>
        <v>4.2184086017802984E-2</v>
      </c>
      <c r="I12" s="50">
        <v>1.6791998300000001E-3</v>
      </c>
      <c r="J12" s="46">
        <f t="shared" si="1"/>
        <v>-0.6015732905730945</v>
      </c>
      <c r="K12" s="47">
        <v>-9.4818156499999993E-3</v>
      </c>
      <c r="L12" s="15">
        <f t="shared" si="7"/>
        <v>9.4818156499999993E-3</v>
      </c>
      <c r="M12" s="3">
        <f t="shared" si="8"/>
        <v>1.4329344213380795E-3</v>
      </c>
      <c r="N12" s="158">
        <f t="shared" si="9"/>
        <v>3.3968601826132656</v>
      </c>
      <c r="O12" s="48">
        <v>6.5990768799999996E-7</v>
      </c>
      <c r="P12" s="49">
        <f t="shared" si="10"/>
        <v>-0.26965288934999998</v>
      </c>
      <c r="Q12" s="50">
        <v>4.2189607900000002E-2</v>
      </c>
      <c r="R12" s="45">
        <v>9.2275371000000002E-5</v>
      </c>
      <c r="S12" s="46">
        <f t="shared" si="2"/>
        <v>0.21871587718642913</v>
      </c>
      <c r="T12" s="47">
        <v>-1.3518541199999999E-2</v>
      </c>
      <c r="U12" s="158">
        <f t="shared" si="11"/>
        <v>-32.042348513980855</v>
      </c>
      <c r="V12" s="148">
        <v>6.2460348200000005E-7</v>
      </c>
      <c r="W12" s="49">
        <f t="shared" si="3"/>
        <v>5.57081491E-2</v>
      </c>
      <c r="X12" s="51">
        <v>0.12189999999999999</v>
      </c>
      <c r="Y12" s="65">
        <v>1.64</v>
      </c>
      <c r="Z12" s="53">
        <f t="shared" si="4"/>
        <v>2.518357356251336E-2</v>
      </c>
      <c r="AA12" s="54">
        <v>2.4729999999999999E-2</v>
      </c>
      <c r="AB12" s="55">
        <v>1.4999999999999999E-4</v>
      </c>
      <c r="AC12" s="169">
        <f t="shared" si="12"/>
        <v>0.60655074807925602</v>
      </c>
      <c r="AD12" s="175">
        <f t="shared" si="13"/>
        <v>1.9901474833258417</v>
      </c>
      <c r="AE12" s="172">
        <f t="shared" si="14"/>
        <v>1.7485719344640942</v>
      </c>
      <c r="AF12" s="163">
        <f t="shared" si="15"/>
        <v>4.40352899409228E-4</v>
      </c>
      <c r="AG12" s="765"/>
      <c r="AH12" s="161">
        <f>'Uncertainty calc'!BZ25</f>
        <v>7.1999999999999993</v>
      </c>
      <c r="AI12" s="3">
        <f t="shared" si="16"/>
        <v>1.8132172965009618E-3</v>
      </c>
      <c r="AJ12" s="120">
        <v>-0.09</v>
      </c>
      <c r="AK12" s="55">
        <f t="shared" si="17"/>
        <v>2.4692163099999997E-2</v>
      </c>
      <c r="AL12" s="2">
        <f t="shared" si="18"/>
        <v>2.2120827674323216E-6</v>
      </c>
      <c r="AM12" s="3">
        <f t="shared" si="19"/>
        <v>2.2120827674323218</v>
      </c>
      <c r="AY12" s="3"/>
      <c r="BA12" s="2"/>
    </row>
    <row r="13" spans="1:53" x14ac:dyDescent="0.35">
      <c r="A13" s="39">
        <v>2600</v>
      </c>
      <c r="B13" s="40">
        <f t="shared" si="0"/>
        <v>-106264.79999999993</v>
      </c>
      <c r="C13" s="41">
        <f t="shared" si="20"/>
        <v>28804.699999999953</v>
      </c>
      <c r="D13" s="65"/>
      <c r="E13" s="66"/>
      <c r="F13" s="144">
        <v>-0.52960423499999998</v>
      </c>
      <c r="G13" s="15">
        <f t="shared" si="5"/>
        <v>0.52960423499999998</v>
      </c>
      <c r="H13" s="3">
        <f t="shared" si="6"/>
        <v>8.0036162485179863E-2</v>
      </c>
      <c r="I13" s="50">
        <v>2.8950263300000002E-3</v>
      </c>
      <c r="J13" s="46">
        <f t="shared" si="1"/>
        <v>-0.54663957322773304</v>
      </c>
      <c r="K13" s="47">
        <v>-9.4791482200000006E-3</v>
      </c>
      <c r="L13" s="15">
        <f t="shared" si="7"/>
        <v>9.4791482200000006E-3</v>
      </c>
      <c r="M13" s="3">
        <f t="shared" si="8"/>
        <v>1.4325313073771464E-3</v>
      </c>
      <c r="N13" s="152">
        <f t="shared" si="9"/>
        <v>1.7898550641310489</v>
      </c>
      <c r="O13" s="48">
        <v>4.3578187899999999E-7</v>
      </c>
      <c r="P13" s="49">
        <f t="shared" si="10"/>
        <v>-0.52012508678000002</v>
      </c>
      <c r="Q13" s="50">
        <v>9.3717241699999995E-2</v>
      </c>
      <c r="R13" s="45">
        <v>3.8181930300000002E-4</v>
      </c>
      <c r="S13" s="46">
        <f t="shared" si="2"/>
        <v>0.40741628335824143</v>
      </c>
      <c r="T13" s="47">
        <v>-1.35194336E-2</v>
      </c>
      <c r="U13" s="158">
        <f t="shared" si="11"/>
        <v>-14.42576985276339</v>
      </c>
      <c r="V13" s="148">
        <v>5.9308237900000001E-7</v>
      </c>
      <c r="W13" s="49">
        <f t="shared" si="3"/>
        <v>0.1072366753</v>
      </c>
      <c r="X13" s="51">
        <v>0.1103</v>
      </c>
      <c r="Y13" s="65">
        <v>1.66</v>
      </c>
      <c r="Z13" s="53">
        <f t="shared" si="4"/>
        <v>2.2741078225655815E-2</v>
      </c>
      <c r="AA13" s="54">
        <v>2.2395999999999999E-2</v>
      </c>
      <c r="AB13" s="55">
        <v>9.7999999999999997E-5</v>
      </c>
      <c r="AC13" s="169">
        <f t="shared" si="12"/>
        <v>0.43757813895338454</v>
      </c>
      <c r="AD13" s="175">
        <f t="shared" si="13"/>
        <v>1.6877417232779652</v>
      </c>
      <c r="AE13" s="171">
        <f t="shared" si="14"/>
        <v>1.7167045836980535</v>
      </c>
      <c r="AF13" s="163">
        <f t="shared" si="15"/>
        <v>3.9039713228219335E-4</v>
      </c>
      <c r="AG13" s="765"/>
      <c r="AH13" s="100">
        <f>'Uncertainty calc'!BZ26</f>
        <v>4.3</v>
      </c>
      <c r="AI13" s="3">
        <f t="shared" si="16"/>
        <v>9.7786636370319991E-4</v>
      </c>
      <c r="AJ13" s="120">
        <v>-8.5000000000000006E-2</v>
      </c>
      <c r="AK13" s="55">
        <f t="shared" si="17"/>
        <v>2.2363637780000001E-2</v>
      </c>
      <c r="AL13" s="2">
        <f t="shared" si="18"/>
        <v>4.7155492908431551E-6</v>
      </c>
      <c r="AM13" s="3">
        <f t="shared" si="19"/>
        <v>4.7155492908431551</v>
      </c>
      <c r="AY13" s="3"/>
      <c r="BA13" s="2"/>
    </row>
    <row r="14" spans="1:53" x14ac:dyDescent="0.35">
      <c r="A14" s="39">
        <v>2700</v>
      </c>
      <c r="B14" s="40">
        <f t="shared" si="0"/>
        <v>-77460.099999999977</v>
      </c>
      <c r="C14" s="41">
        <f t="shared" si="20"/>
        <v>28804.70000000007</v>
      </c>
      <c r="D14" s="65"/>
      <c r="E14" s="66"/>
      <c r="F14" s="144">
        <v>-0.86817966700000004</v>
      </c>
      <c r="G14" s="15">
        <f t="shared" si="5"/>
        <v>0.86817966700000004</v>
      </c>
      <c r="H14" s="3">
        <f t="shared" si="6"/>
        <v>0.13120319722205648</v>
      </c>
      <c r="I14" s="50">
        <v>4.66913643E-3</v>
      </c>
      <c r="J14" s="46">
        <f t="shared" si="1"/>
        <v>-0.53780762294678341</v>
      </c>
      <c r="K14" s="47">
        <v>-9.4775931000000008E-3</v>
      </c>
      <c r="L14" s="15">
        <f t="shared" si="7"/>
        <v>9.4775931000000008E-3</v>
      </c>
      <c r="M14" s="3">
        <f t="shared" si="8"/>
        <v>1.432296290682078E-3</v>
      </c>
      <c r="N14" s="152">
        <f t="shared" si="9"/>
        <v>1.0916626431427356</v>
      </c>
      <c r="O14" s="48">
        <v>6.1721416700000003E-7</v>
      </c>
      <c r="P14" s="49">
        <f t="shared" si="10"/>
        <v>-0.85870207390000008</v>
      </c>
      <c r="Q14" s="50">
        <v>0.16354263599999999</v>
      </c>
      <c r="R14" s="45">
        <v>5.8599843999999999E-4</v>
      </c>
      <c r="S14" s="46">
        <f t="shared" si="2"/>
        <v>0.35831539366896348</v>
      </c>
      <c r="T14" s="47">
        <v>-1.3520621300000001E-2</v>
      </c>
      <c r="U14" s="158">
        <f t="shared" si="11"/>
        <v>-8.267337270997638</v>
      </c>
      <c r="V14" s="148">
        <v>5.5694624200000005E-7</v>
      </c>
      <c r="W14" s="49">
        <f t="shared" si="3"/>
        <v>0.1770632573</v>
      </c>
      <c r="X14" s="51">
        <v>0.10009999999999999</v>
      </c>
      <c r="Y14" s="65">
        <v>1.64</v>
      </c>
      <c r="Z14" s="53">
        <f t="shared" si="4"/>
        <v>2.0640490566456983E-2</v>
      </c>
      <c r="AA14" s="54">
        <v>2.0250000000000001E-2</v>
      </c>
      <c r="AB14" s="55">
        <v>1E-4</v>
      </c>
      <c r="AC14" s="169">
        <f t="shared" si="12"/>
        <v>0.49382716049382713</v>
      </c>
      <c r="AD14" s="175">
        <f t="shared" si="13"/>
        <v>2.0671598136773754</v>
      </c>
      <c r="AE14" s="172">
        <f t="shared" si="14"/>
        <v>1.7127361923079094</v>
      </c>
      <c r="AF14" s="163">
        <f t="shared" si="15"/>
        <v>3.5351715220160855E-4</v>
      </c>
      <c r="AG14" s="765"/>
      <c r="AH14" s="100">
        <f>'Uncertainty calc'!BZ27</f>
        <v>3.1</v>
      </c>
      <c r="AI14" s="3">
        <f t="shared" si="16"/>
        <v>6.3985520756016647E-4</v>
      </c>
      <c r="AJ14" s="120">
        <v>-0.08</v>
      </c>
      <c r="AK14" s="55">
        <f t="shared" si="17"/>
        <v>2.0222460000000001E-2</v>
      </c>
      <c r="AL14" s="2">
        <f t="shared" si="18"/>
        <v>8.5784422967032974E-6</v>
      </c>
      <c r="AM14" s="3">
        <f t="shared" si="19"/>
        <v>8.5784422967032974</v>
      </c>
      <c r="AY14" s="3"/>
      <c r="BA14" s="2"/>
    </row>
    <row r="15" spans="1:53" x14ac:dyDescent="0.35">
      <c r="A15" s="39">
        <v>2800</v>
      </c>
      <c r="B15" s="40">
        <f t="shared" si="0"/>
        <v>-48655.399999999907</v>
      </c>
      <c r="C15" s="41">
        <f t="shared" si="20"/>
        <v>28804.699999999953</v>
      </c>
      <c r="D15" s="65"/>
      <c r="E15" s="66"/>
      <c r="F15" s="144">
        <v>-1.27938956</v>
      </c>
      <c r="G15" s="15">
        <f t="shared" si="5"/>
        <v>1.27938956</v>
      </c>
      <c r="H15" s="3">
        <f t="shared" si="6"/>
        <v>0.19334707681482716</v>
      </c>
      <c r="I15" s="50">
        <v>1.3755716600000001E-2</v>
      </c>
      <c r="J15" s="46">
        <f t="shared" si="1"/>
        <v>-1.0751781185395948</v>
      </c>
      <c r="K15" s="47">
        <v>-9.4756603299999999E-3</v>
      </c>
      <c r="L15" s="15">
        <f t="shared" si="7"/>
        <v>9.4756603299999999E-3</v>
      </c>
      <c r="M15" s="3">
        <f t="shared" si="8"/>
        <v>1.4320042018286599E-3</v>
      </c>
      <c r="N15" s="152">
        <f t="shared" si="9"/>
        <v>0.7406391787345834</v>
      </c>
      <c r="O15" s="48">
        <v>5.5095772499999996E-7</v>
      </c>
      <c r="P15" s="49">
        <f t="shared" si="10"/>
        <v>-1.2699138996700001</v>
      </c>
      <c r="Q15" s="50">
        <v>0.25876070400000001</v>
      </c>
      <c r="R15" s="45">
        <v>1.4241108300000001E-3</v>
      </c>
      <c r="S15" s="46">
        <f t="shared" si="2"/>
        <v>0.55035822981838844</v>
      </c>
      <c r="T15" s="47">
        <v>-1.35198705E-2</v>
      </c>
      <c r="U15" s="158">
        <f t="shared" si="11"/>
        <v>-5.2248545822475423</v>
      </c>
      <c r="V15" s="148">
        <v>4.6736537199999998E-7</v>
      </c>
      <c r="W15" s="49">
        <f t="shared" si="3"/>
        <v>0.27228057449999998</v>
      </c>
      <c r="X15" s="51">
        <v>0.10249999999999999</v>
      </c>
      <c r="Y15" s="65">
        <v>1.63</v>
      </c>
      <c r="Z15" s="53">
        <f t="shared" si="4"/>
        <v>2.1976890632902254E-2</v>
      </c>
      <c r="AA15" s="54">
        <v>2.146E-2</v>
      </c>
      <c r="AB15" s="55">
        <v>1.2999999999999999E-4</v>
      </c>
      <c r="AC15" s="169">
        <f t="shared" si="12"/>
        <v>0.60577819198508853</v>
      </c>
      <c r="AD15" s="175">
        <f t="shared" si="13"/>
        <v>2.6004865487196027</v>
      </c>
      <c r="AE15" s="172">
        <f t="shared" si="14"/>
        <v>1.738927030638354</v>
      </c>
      <c r="AF15" s="163">
        <f t="shared" si="15"/>
        <v>3.8216209170936571E-4</v>
      </c>
      <c r="AG15" s="765"/>
      <c r="AH15" s="100">
        <f>'Uncertainty calc'!BZ28</f>
        <v>3.4</v>
      </c>
      <c r="AI15" s="3">
        <f t="shared" si="16"/>
        <v>7.472142815186767E-4</v>
      </c>
      <c r="AJ15" s="120">
        <v>-0.11</v>
      </c>
      <c r="AK15" s="55">
        <f t="shared" si="17"/>
        <v>2.1419869800000001E-2</v>
      </c>
      <c r="AL15" s="2">
        <f t="shared" si="18"/>
        <v>1.2389403899219513E-5</v>
      </c>
      <c r="AM15" s="3">
        <f t="shared" si="19"/>
        <v>12.389403899219513</v>
      </c>
      <c r="AY15" s="3"/>
      <c r="BA15" s="2"/>
    </row>
    <row r="16" spans="1:53" x14ac:dyDescent="0.35">
      <c r="A16" s="39">
        <v>2900</v>
      </c>
      <c r="B16" s="40">
        <f t="shared" si="0"/>
        <v>-19850.699999999953</v>
      </c>
      <c r="C16" s="67">
        <f t="shared" si="20"/>
        <v>28804.70000000007</v>
      </c>
      <c r="D16" s="42"/>
      <c r="E16" s="43"/>
      <c r="F16" s="145">
        <v>-1.8619711400000001</v>
      </c>
      <c r="G16" s="15">
        <f t="shared" si="5"/>
        <v>1.8619711400000001</v>
      </c>
      <c r="H16" s="3">
        <f t="shared" si="6"/>
        <v>0.28138941280134511</v>
      </c>
      <c r="I16" s="73">
        <v>1.86336174E-2</v>
      </c>
      <c r="J16" s="70">
        <f t="shared" si="1"/>
        <v>-1.000746842939789</v>
      </c>
      <c r="K16" s="71">
        <v>-9.4746054299999997E-3</v>
      </c>
      <c r="L16" s="15">
        <f t="shared" si="7"/>
        <v>9.4746054299999997E-3</v>
      </c>
      <c r="M16" s="3">
        <f t="shared" si="8"/>
        <v>1.4318447806189606E-3</v>
      </c>
      <c r="N16" s="152">
        <f t="shared" si="9"/>
        <v>0.50884813553017794</v>
      </c>
      <c r="O16" s="72">
        <v>3.57407835E-7</v>
      </c>
      <c r="P16" s="76">
        <f t="shared" si="10"/>
        <v>-1.8524965345700002</v>
      </c>
      <c r="Q16" s="73">
        <v>0.41808320599999999</v>
      </c>
      <c r="R16" s="69">
        <v>1.4889963100000001E-3</v>
      </c>
      <c r="S16" s="70">
        <f t="shared" si="2"/>
        <v>0.35614831895448107</v>
      </c>
      <c r="T16" s="71">
        <v>-1.3520127700000001E-2</v>
      </c>
      <c r="U16" s="158">
        <f t="shared" si="11"/>
        <v>-3.2338365918481786</v>
      </c>
      <c r="V16" s="150">
        <v>4.2848827100000002E-7</v>
      </c>
      <c r="W16" s="76">
        <f t="shared" si="3"/>
        <v>0.43160333369999998</v>
      </c>
      <c r="X16" s="74">
        <v>0.1147</v>
      </c>
      <c r="Y16" s="42">
        <v>1.64</v>
      </c>
      <c r="Z16" s="53">
        <f t="shared" si="4"/>
        <v>2.6723344120522758E-2</v>
      </c>
      <c r="AA16" s="54">
        <v>2.6179999999999998E-2</v>
      </c>
      <c r="AB16" s="55">
        <v>1.2999999999999999E-4</v>
      </c>
      <c r="AC16" s="169">
        <f t="shared" si="12"/>
        <v>0.49656226126814362</v>
      </c>
      <c r="AD16" s="175">
        <f t="shared" si="13"/>
        <v>2.3015031306381961</v>
      </c>
      <c r="AE16" s="172">
        <f t="shared" si="14"/>
        <v>1.7135267956223303</v>
      </c>
      <c r="AF16" s="163">
        <f t="shared" si="15"/>
        <v>4.5791166219152208E-4</v>
      </c>
      <c r="AG16" s="765"/>
      <c r="AH16" s="100">
        <f>'Uncertainty calc'!BZ29</f>
        <v>3.1</v>
      </c>
      <c r="AI16" s="3">
        <f t="shared" si="16"/>
        <v>8.2842366773620553E-4</v>
      </c>
      <c r="AJ16" s="120">
        <v>-0.13</v>
      </c>
      <c r="AK16" s="55">
        <f t="shared" si="17"/>
        <v>2.6122142199999997E-2</v>
      </c>
      <c r="AL16" s="2">
        <f t="shared" si="18"/>
        <v>1.6150798034612032E-5</v>
      </c>
      <c r="AM16" s="3">
        <f t="shared" si="19"/>
        <v>16.150798034612031</v>
      </c>
      <c r="AY16" s="3"/>
      <c r="BA16" s="2"/>
    </row>
    <row r="17" spans="1:53" x14ac:dyDescent="0.35">
      <c r="A17" s="39">
        <v>3000</v>
      </c>
      <c r="B17" s="40">
        <f t="shared" si="0"/>
        <v>8954.0000000001164</v>
      </c>
      <c r="C17" s="77">
        <f t="shared" si="20"/>
        <v>28804.699999999953</v>
      </c>
      <c r="D17" s="65"/>
      <c r="E17" s="66"/>
      <c r="F17" s="144">
        <v>-2.5508560299999998</v>
      </c>
      <c r="G17" s="15">
        <f t="shared" si="5"/>
        <v>2.5508560299999998</v>
      </c>
      <c r="H17" s="3">
        <f t="shared" si="6"/>
        <v>0.38549678080535144</v>
      </c>
      <c r="I17" s="50">
        <v>2.5379778499999998E-2</v>
      </c>
      <c r="J17" s="46">
        <f t="shared" si="1"/>
        <v>-0.99495142812901127</v>
      </c>
      <c r="K17" s="47">
        <v>-9.4730771199999994E-3</v>
      </c>
      <c r="L17" s="15">
        <f t="shared" si="7"/>
        <v>9.4730771199999994E-3</v>
      </c>
      <c r="M17" s="3">
        <f t="shared" si="8"/>
        <v>1.4316138155710928E-3</v>
      </c>
      <c r="N17" s="152">
        <f t="shared" si="9"/>
        <v>0.37136855269719005</v>
      </c>
      <c r="O17" s="48">
        <v>6.02110092E-7</v>
      </c>
      <c r="P17" s="49">
        <f t="shared" si="10"/>
        <v>-2.5413829528799998</v>
      </c>
      <c r="Q17" s="50">
        <v>0.59766191700000004</v>
      </c>
      <c r="R17" s="45">
        <v>1.9460508400000001E-3</v>
      </c>
      <c r="S17" s="46">
        <f t="shared" si="2"/>
        <v>0.32561064786732929</v>
      </c>
      <c r="T17" s="47">
        <v>-1.3520739699999999E-2</v>
      </c>
      <c r="U17" s="152">
        <f t="shared" si="11"/>
        <v>-2.2622722504837127</v>
      </c>
      <c r="V17" s="148">
        <v>4.2444030700000001E-7</v>
      </c>
      <c r="W17" s="49">
        <f t="shared" si="3"/>
        <v>0.61118265670000005</v>
      </c>
      <c r="X17" s="51">
        <v>0.1295</v>
      </c>
      <c r="Y17" s="65">
        <v>1.63</v>
      </c>
      <c r="Z17" s="53">
        <f t="shared" si="4"/>
        <v>3.1143733750537701E-2</v>
      </c>
      <c r="AA17" s="54">
        <v>3.0630000000000001E-2</v>
      </c>
      <c r="AB17" s="55">
        <v>1.1E-4</v>
      </c>
      <c r="AC17" s="169">
        <f t="shared" si="12"/>
        <v>0.35912504080966373</v>
      </c>
      <c r="AD17" s="175">
        <f t="shared" si="13"/>
        <v>1.9024284954035127</v>
      </c>
      <c r="AE17" s="172">
        <f t="shared" si="14"/>
        <v>1.6690928059687222</v>
      </c>
      <c r="AF17" s="163">
        <f t="shared" si="15"/>
        <v>5.1981781954027766E-4</v>
      </c>
      <c r="AG17" s="765"/>
      <c r="AH17" s="100">
        <f>'Uncertainty calc'!BZ30</f>
        <v>2.9</v>
      </c>
      <c r="AI17" s="3">
        <f t="shared" si="16"/>
        <v>9.0316827876559327E-4</v>
      </c>
      <c r="AJ17" s="120">
        <v>-0.13</v>
      </c>
      <c r="AK17" s="55">
        <f t="shared" si="17"/>
        <v>3.0562307699999999E-2</v>
      </c>
      <c r="AL17" s="2">
        <f t="shared" si="18"/>
        <v>1.9624578786718145E-5</v>
      </c>
      <c r="AM17" s="3">
        <f t="shared" si="19"/>
        <v>19.624578786718146</v>
      </c>
      <c r="AY17" s="3"/>
      <c r="BA17" s="2"/>
    </row>
    <row r="18" spans="1:53" x14ac:dyDescent="0.35">
      <c r="A18" s="39">
        <v>3100</v>
      </c>
      <c r="B18" s="40">
        <f t="shared" si="0"/>
        <v>37758.70000000007</v>
      </c>
      <c r="C18" s="77">
        <f t="shared" si="20"/>
        <v>28804.70000000007</v>
      </c>
      <c r="D18" s="65"/>
      <c r="E18" s="66"/>
      <c r="F18" s="144">
        <v>-3.1390098499999999</v>
      </c>
      <c r="G18" s="15">
        <f t="shared" si="5"/>
        <v>3.1390098499999999</v>
      </c>
      <c r="H18" s="3">
        <f t="shared" si="6"/>
        <v>0.47438121864184124</v>
      </c>
      <c r="I18" s="50">
        <v>3.8240138700000002E-2</v>
      </c>
      <c r="J18" s="46">
        <f t="shared" si="1"/>
        <v>-1.2182229597017673</v>
      </c>
      <c r="K18" s="47">
        <v>-9.4712167799999997E-3</v>
      </c>
      <c r="L18" s="15">
        <f t="shared" si="7"/>
        <v>9.4712167799999997E-3</v>
      </c>
      <c r="M18" s="3">
        <f t="shared" si="8"/>
        <v>1.4313326726634692E-3</v>
      </c>
      <c r="N18" s="152">
        <f t="shared" si="9"/>
        <v>0.30172625230851063</v>
      </c>
      <c r="O18" s="48">
        <v>5.3328826500000004E-7</v>
      </c>
      <c r="P18" s="49">
        <f t="shared" si="10"/>
        <v>-3.1295386332199997</v>
      </c>
      <c r="Q18" s="50">
        <v>0.74417530600000004</v>
      </c>
      <c r="R18" s="45">
        <v>3.17202928E-3</v>
      </c>
      <c r="S18" s="46">
        <f t="shared" si="2"/>
        <v>0.42624758634493037</v>
      </c>
      <c r="T18" s="47">
        <v>-1.35204195E-2</v>
      </c>
      <c r="U18" s="152">
        <f t="shared" si="11"/>
        <v>-1.8168325918624342</v>
      </c>
      <c r="V18" s="148">
        <v>2.0740690999999999E-7</v>
      </c>
      <c r="W18" s="49">
        <f t="shared" si="3"/>
        <v>0.75769572550000008</v>
      </c>
      <c r="X18" s="51">
        <v>0.13750000000000001</v>
      </c>
      <c r="Y18" s="65">
        <v>1.63</v>
      </c>
      <c r="Z18" s="53">
        <f t="shared" si="4"/>
        <v>3.3290262388950088E-2</v>
      </c>
      <c r="AA18" s="54">
        <v>3.2731999999999997E-2</v>
      </c>
      <c r="AB18" s="55">
        <v>9.5000000000000005E-5</v>
      </c>
      <c r="AC18" s="169">
        <f t="shared" si="12"/>
        <v>0.29023585482097031</v>
      </c>
      <c r="AD18" s="175">
        <f t="shared" si="13"/>
        <v>1.8961010950617319</v>
      </c>
      <c r="AE18" s="172">
        <f t="shared" si="14"/>
        <v>1.6556378986431963</v>
      </c>
      <c r="AF18" s="163">
        <f t="shared" si="15"/>
        <v>5.5116620066921959E-4</v>
      </c>
      <c r="AG18" s="765"/>
      <c r="AH18" s="100">
        <f>'Uncertainty calc'!BZ31</f>
        <v>3.2</v>
      </c>
      <c r="AI18" s="3">
        <f t="shared" si="16"/>
        <v>1.0652883964464028E-3</v>
      </c>
      <c r="AJ18" s="120">
        <v>-0.11</v>
      </c>
      <c r="AK18" s="55">
        <f t="shared" si="17"/>
        <v>3.2670791159999997E-2</v>
      </c>
      <c r="AL18" s="2">
        <f t="shared" si="18"/>
        <v>2.2760280968872726E-5</v>
      </c>
      <c r="AM18" s="3">
        <f t="shared" si="19"/>
        <v>22.760280968872728</v>
      </c>
      <c r="AY18" s="3"/>
      <c r="BA18" s="2"/>
    </row>
    <row r="19" spans="1:53" x14ac:dyDescent="0.35">
      <c r="A19" s="39">
        <v>3200</v>
      </c>
      <c r="B19" s="40">
        <f t="shared" si="0"/>
        <v>66563.40000000014</v>
      </c>
      <c r="C19" s="41">
        <f t="shared" si="20"/>
        <v>28804.699999999953</v>
      </c>
      <c r="D19" s="65"/>
      <c r="E19" s="66"/>
      <c r="F19" s="144">
        <v>-3.6094263899999999</v>
      </c>
      <c r="G19" s="15">
        <f t="shared" si="5"/>
        <v>3.6094263899999999</v>
      </c>
      <c r="H19" s="3">
        <f t="shared" si="6"/>
        <v>0.54547267173635083</v>
      </c>
      <c r="I19" s="50">
        <v>3.6750655799999997E-2</v>
      </c>
      <c r="J19" s="46">
        <f t="shared" si="1"/>
        <v>-1.0181854906867902</v>
      </c>
      <c r="K19" s="47">
        <v>-9.4699286399999999E-3</v>
      </c>
      <c r="L19" s="15">
        <f t="shared" si="7"/>
        <v>9.4699286399999999E-3</v>
      </c>
      <c r="M19" s="3">
        <f t="shared" si="8"/>
        <v>1.4311380031809949E-3</v>
      </c>
      <c r="N19" s="152">
        <f t="shared" si="9"/>
        <v>0.2623665817437546</v>
      </c>
      <c r="O19" s="48">
        <v>4.8884728199999997E-7</v>
      </c>
      <c r="P19" s="49">
        <f t="shared" si="10"/>
        <v>-3.5999564613599997</v>
      </c>
      <c r="Q19" s="50">
        <v>0.85131550300000003</v>
      </c>
      <c r="R19" s="45">
        <v>2.9151968600000001E-3</v>
      </c>
      <c r="S19" s="46">
        <f t="shared" si="2"/>
        <v>0.34243436771995445</v>
      </c>
      <c r="T19" s="47">
        <v>-1.35203346E-2</v>
      </c>
      <c r="U19" s="152">
        <f t="shared" si="11"/>
        <v>-1.588169668278671</v>
      </c>
      <c r="V19" s="148">
        <v>3.22567575E-7</v>
      </c>
      <c r="W19" s="49">
        <f t="shared" si="3"/>
        <v>0.86483583760000005</v>
      </c>
      <c r="X19" s="51">
        <v>0.14219999999999999</v>
      </c>
      <c r="Y19" s="65">
        <v>1.63</v>
      </c>
      <c r="Z19" s="53">
        <f t="shared" si="4"/>
        <v>3.4161428735796563E-2</v>
      </c>
      <c r="AA19" s="54">
        <v>3.3631000000000001E-2</v>
      </c>
      <c r="AB19" s="55">
        <v>9.6000000000000002E-5</v>
      </c>
      <c r="AC19" s="169">
        <f t="shared" si="12"/>
        <v>0.28545092325532995</v>
      </c>
      <c r="AD19" s="175">
        <f t="shared" si="13"/>
        <v>1.7501770964210523</v>
      </c>
      <c r="AE19" s="171">
        <f t="shared" si="14"/>
        <v>1.6548057981489308</v>
      </c>
      <c r="AF19" s="163">
        <f t="shared" si="15"/>
        <v>5.6530530345047655E-4</v>
      </c>
      <c r="AG19" s="765"/>
      <c r="AH19" s="100">
        <f>'Uncertainty calc'!BZ32</f>
        <v>2.9</v>
      </c>
      <c r="AI19" s="3">
        <f t="shared" si="16"/>
        <v>9.906814333381002E-4</v>
      </c>
      <c r="AJ19" s="120">
        <v>-0.1</v>
      </c>
      <c r="AK19" s="55">
        <f t="shared" si="17"/>
        <v>3.3573827300000005E-2</v>
      </c>
      <c r="AL19" s="2">
        <f t="shared" si="18"/>
        <v>2.5316149517299576E-5</v>
      </c>
      <c r="AM19" s="3">
        <f t="shared" si="19"/>
        <v>25.316149517299575</v>
      </c>
      <c r="AY19" s="3"/>
      <c r="BA19" s="2"/>
    </row>
    <row r="20" spans="1:53" x14ac:dyDescent="0.35">
      <c r="A20" s="39">
        <v>3300</v>
      </c>
      <c r="B20" s="40">
        <f t="shared" si="0"/>
        <v>95368.100000000093</v>
      </c>
      <c r="C20" s="41">
        <f t="shared" si="20"/>
        <v>28804.699999999953</v>
      </c>
      <c r="D20" s="65"/>
      <c r="E20" s="66"/>
      <c r="F20" s="144">
        <v>-4.0328645300000003</v>
      </c>
      <c r="G20" s="15">
        <f t="shared" si="5"/>
        <v>4.0328645300000003</v>
      </c>
      <c r="H20" s="3">
        <f t="shared" si="6"/>
        <v>0.60946453874901241</v>
      </c>
      <c r="I20" s="50">
        <v>4.15534761E-2</v>
      </c>
      <c r="J20" s="46">
        <f t="shared" si="1"/>
        <v>-1.0303712359016433</v>
      </c>
      <c r="K20" s="47">
        <v>-9.4690318900000001E-3</v>
      </c>
      <c r="L20" s="15">
        <f t="shared" si="7"/>
        <v>9.4690318900000001E-3</v>
      </c>
      <c r="M20" s="3">
        <f t="shared" si="8"/>
        <v>1.4310024823071699E-3</v>
      </c>
      <c r="N20" s="152">
        <f t="shared" si="9"/>
        <v>0.23479667664413215</v>
      </c>
      <c r="O20" s="48">
        <v>7.4786730599999995E-7</v>
      </c>
      <c r="P20" s="49">
        <f t="shared" si="10"/>
        <v>-4.0233954981100002</v>
      </c>
      <c r="Q20" s="50">
        <v>0.95235896099999995</v>
      </c>
      <c r="R20" s="45">
        <v>3.56519167E-3</v>
      </c>
      <c r="S20" s="46">
        <f t="shared" si="2"/>
        <v>0.37435376953417465</v>
      </c>
      <c r="T20" s="47">
        <v>-1.3520880000000001E-2</v>
      </c>
      <c r="U20" s="152">
        <f t="shared" si="11"/>
        <v>-1.41972518280321</v>
      </c>
      <c r="V20" s="148">
        <v>5.4884052199999997E-7</v>
      </c>
      <c r="W20" s="49">
        <f t="shared" si="3"/>
        <v>0.96587984099999991</v>
      </c>
      <c r="X20" s="51">
        <v>0.14549999999999999</v>
      </c>
      <c r="Y20" s="65">
        <v>1.63</v>
      </c>
      <c r="Z20" s="53">
        <f t="shared" si="4"/>
        <v>3.4929580482832692E-2</v>
      </c>
      <c r="AA20" s="54">
        <v>3.4394000000000001E-2</v>
      </c>
      <c r="AB20" s="55">
        <v>8.8999999999999995E-5</v>
      </c>
      <c r="AC20" s="169">
        <f t="shared" si="12"/>
        <v>0.25876606384834561</v>
      </c>
      <c r="AD20" s="175">
        <f t="shared" si="13"/>
        <v>1.7128122141101969</v>
      </c>
      <c r="AE20" s="171">
        <f t="shared" si="14"/>
        <v>1.6504120321300271</v>
      </c>
      <c r="AF20" s="163">
        <f t="shared" si="15"/>
        <v>5.7648199906121234E-4</v>
      </c>
      <c r="AG20" s="765"/>
      <c r="AH20" s="100">
        <f>'Uncertainty calc'!BZ33</f>
        <v>2.9</v>
      </c>
      <c r="AI20" s="3">
        <f t="shared" si="16"/>
        <v>1.012957834002148E-3</v>
      </c>
      <c r="AJ20" s="120">
        <v>-0.09</v>
      </c>
      <c r="AK20" s="55">
        <f t="shared" si="17"/>
        <v>3.434137718E-2</v>
      </c>
      <c r="AL20" s="2">
        <f t="shared" si="18"/>
        <v>2.7652202736151203E-5</v>
      </c>
      <c r="AM20" s="3">
        <f t="shared" si="19"/>
        <v>27.652202736151203</v>
      </c>
      <c r="AY20" s="3"/>
      <c r="BA20" s="2"/>
    </row>
    <row r="21" spans="1:53" x14ac:dyDescent="0.35">
      <c r="A21" s="39">
        <v>3400</v>
      </c>
      <c r="B21" s="40">
        <f t="shared" si="0"/>
        <v>124172.80000000005</v>
      </c>
      <c r="C21" s="41">
        <f t="shared" si="20"/>
        <v>28804.70000000007</v>
      </c>
      <c r="D21" s="65"/>
      <c r="E21" s="66"/>
      <c r="F21" s="144">
        <v>-4.4234534099999996</v>
      </c>
      <c r="G21" s="15">
        <f t="shared" si="5"/>
        <v>4.4234534099999996</v>
      </c>
      <c r="H21" s="3">
        <f t="shared" si="6"/>
        <v>0.66849207855821413</v>
      </c>
      <c r="I21" s="50">
        <v>4.44887224E-2</v>
      </c>
      <c r="J21" s="46">
        <f t="shared" si="1"/>
        <v>-1.0057463767884469</v>
      </c>
      <c r="K21" s="47">
        <v>-9.4674401999999998E-3</v>
      </c>
      <c r="L21" s="15">
        <f t="shared" si="7"/>
        <v>9.4674401999999998E-3</v>
      </c>
      <c r="M21" s="3">
        <f t="shared" si="8"/>
        <v>1.4307619389900153E-3</v>
      </c>
      <c r="N21" s="152">
        <f t="shared" si="9"/>
        <v>0.21402825626233962</v>
      </c>
      <c r="O21" s="48">
        <v>7.2127218599999999E-7</v>
      </c>
      <c r="P21" s="49">
        <f t="shared" si="10"/>
        <v>-4.4139859697999997</v>
      </c>
      <c r="Q21" s="50">
        <v>1.0552988999999999</v>
      </c>
      <c r="R21" s="45">
        <v>6.0864214799999997E-3</v>
      </c>
      <c r="S21" s="46">
        <f t="shared" si="2"/>
        <v>0.5767485856376805</v>
      </c>
      <c r="T21" s="47">
        <v>-1.3521750399999999E-2</v>
      </c>
      <c r="U21" s="152">
        <f t="shared" si="11"/>
        <v>-1.2813194820917562</v>
      </c>
      <c r="V21" s="148">
        <v>6.7262035499999996E-7</v>
      </c>
      <c r="W21" s="49">
        <f t="shared" si="3"/>
        <v>1.0688206504</v>
      </c>
      <c r="X21" s="51">
        <v>0.14779999999999999</v>
      </c>
      <c r="Y21" s="65">
        <v>1.63</v>
      </c>
      <c r="Z21" s="53">
        <f t="shared" si="4"/>
        <v>3.5788897656210218E-2</v>
      </c>
      <c r="AA21" s="54">
        <v>3.5340000000000003E-2</v>
      </c>
      <c r="AB21" s="55">
        <v>9.0000000000000006E-5</v>
      </c>
      <c r="AC21" s="169">
        <f t="shared" si="12"/>
        <v>0.25466893039049238</v>
      </c>
      <c r="AD21" s="175">
        <f t="shared" si="13"/>
        <v>1.4254062711710485</v>
      </c>
      <c r="AE21" s="171">
        <f t="shared" si="14"/>
        <v>1.6497746100926143</v>
      </c>
      <c r="AF21" s="163">
        <f t="shared" si="15"/>
        <v>5.9043614676418691E-4</v>
      </c>
      <c r="AG21" s="765"/>
      <c r="AH21" s="100">
        <f>'Uncertainty calc'!BZ34</f>
        <v>3</v>
      </c>
      <c r="AI21" s="3">
        <f t="shared" si="16"/>
        <v>1.0736669296863065E-3</v>
      </c>
      <c r="AJ21" s="120">
        <v>-0.09</v>
      </c>
      <c r="AK21" s="55">
        <f t="shared" si="17"/>
        <v>3.5285929800000004E-2</v>
      </c>
      <c r="AL21" s="2">
        <f t="shared" si="18"/>
        <v>2.9864587075778078E-5</v>
      </c>
      <c r="AM21" s="3">
        <f t="shared" si="19"/>
        <v>29.864587075778079</v>
      </c>
      <c r="AY21" s="3"/>
      <c r="BA21" s="2"/>
    </row>
    <row r="22" spans="1:53" x14ac:dyDescent="0.35">
      <c r="A22" s="39">
        <v>3500</v>
      </c>
      <c r="B22" s="40">
        <f t="shared" si="0"/>
        <v>152977.50000000012</v>
      </c>
      <c r="C22" s="41">
        <f t="shared" si="20"/>
        <v>28804.699999999953</v>
      </c>
      <c r="D22" s="65"/>
      <c r="E22" s="66"/>
      <c r="F22" s="144">
        <v>-4.69460371</v>
      </c>
      <c r="G22" s="15">
        <f t="shared" si="5"/>
        <v>4.69460371</v>
      </c>
      <c r="H22" s="3">
        <f t="shared" si="6"/>
        <v>0.70946952555447029</v>
      </c>
      <c r="I22" s="50">
        <v>4.8847433000000003E-2</v>
      </c>
      <c r="J22" s="46">
        <f t="shared" si="1"/>
        <v>-1.0405017338513542</v>
      </c>
      <c r="K22" s="47">
        <v>-9.4675094899999996E-3</v>
      </c>
      <c r="L22" s="15">
        <f t="shared" si="7"/>
        <v>9.4675094899999996E-3</v>
      </c>
      <c r="M22" s="3">
        <f t="shared" si="8"/>
        <v>1.4307724104049551E-3</v>
      </c>
      <c r="N22" s="152">
        <f t="shared" si="9"/>
        <v>0.20166791650237076</v>
      </c>
      <c r="O22" s="48">
        <v>5.49803471E-7</v>
      </c>
      <c r="P22" s="49">
        <f t="shared" si="10"/>
        <v>-4.6851362005099997</v>
      </c>
      <c r="Q22" s="50">
        <v>1.13735655</v>
      </c>
      <c r="R22" s="45">
        <v>5.9385790500000001E-3</v>
      </c>
      <c r="S22" s="46">
        <f t="shared" si="2"/>
        <v>0.52213873037439318</v>
      </c>
      <c r="T22" s="47">
        <v>-1.3522295599999999E-2</v>
      </c>
      <c r="U22" s="152">
        <f t="shared" si="11"/>
        <v>-1.1889231745313289</v>
      </c>
      <c r="V22" s="148">
        <v>5.71283059E-7</v>
      </c>
      <c r="W22" s="49">
        <f t="shared" si="3"/>
        <v>1.1508788456000001</v>
      </c>
      <c r="X22" s="51">
        <v>0.14810000000000001</v>
      </c>
      <c r="Y22" s="65">
        <v>1.63</v>
      </c>
      <c r="Z22" s="53">
        <f t="shared" si="4"/>
        <v>3.6379979095336919E-2</v>
      </c>
      <c r="AA22" s="54">
        <v>3.5982E-2</v>
      </c>
      <c r="AB22" s="55">
        <v>9.2E-5</v>
      </c>
      <c r="AC22" s="169">
        <f t="shared" si="12"/>
        <v>0.25568339725418265</v>
      </c>
      <c r="AD22" s="175">
        <f t="shared" si="13"/>
        <v>1.2437420014250897</v>
      </c>
      <c r="AE22" s="171">
        <f t="shared" si="14"/>
        <v>1.6499315136185015</v>
      </c>
      <c r="AF22" s="163">
        <f t="shared" si="15"/>
        <v>6.0024473974178681E-4</v>
      </c>
      <c r="AG22" s="765"/>
      <c r="AH22" s="100">
        <f>'Uncertainty calc'!BZ35</f>
        <v>3</v>
      </c>
      <c r="AI22" s="3">
        <f t="shared" si="16"/>
        <v>1.0913993728601074E-3</v>
      </c>
      <c r="AJ22" s="120">
        <v>-0.08</v>
      </c>
      <c r="AK22" s="55">
        <f t="shared" si="17"/>
        <v>3.5933064479999999E-2</v>
      </c>
      <c r="AL22" s="2">
        <f t="shared" si="18"/>
        <v>3.1634950712424038E-5</v>
      </c>
      <c r="AM22" s="3">
        <f t="shared" si="19"/>
        <v>31.634950712424036</v>
      </c>
      <c r="AY22" s="3"/>
      <c r="BA22" s="2"/>
    </row>
    <row r="23" spans="1:53" x14ac:dyDescent="0.35">
      <c r="A23" s="39">
        <v>3600</v>
      </c>
      <c r="B23" s="40">
        <f t="shared" si="0"/>
        <v>181782.20000000007</v>
      </c>
      <c r="C23" s="41">
        <f t="shared" si="20"/>
        <v>28804.70000000007</v>
      </c>
      <c r="D23" s="65"/>
      <c r="E23" s="66"/>
      <c r="F23" s="144">
        <v>-4.7775955899999998</v>
      </c>
      <c r="G23" s="15">
        <f t="shared" si="5"/>
        <v>4.7775955899999998</v>
      </c>
      <c r="H23" s="3">
        <f t="shared" si="6"/>
        <v>0.7220116299291276</v>
      </c>
      <c r="I23" s="50">
        <v>4.9975203500000002E-2</v>
      </c>
      <c r="J23" s="46">
        <f t="shared" si="1"/>
        <v>-1.046032519047934</v>
      </c>
      <c r="K23" s="47">
        <v>-9.4670315400000003E-3</v>
      </c>
      <c r="L23" s="15">
        <f t="shared" si="7"/>
        <v>9.4670315400000003E-3</v>
      </c>
      <c r="M23" s="3">
        <f t="shared" si="8"/>
        <v>1.430700180461666E-3</v>
      </c>
      <c r="N23" s="152">
        <f t="shared" si="9"/>
        <v>0.19815472786804045</v>
      </c>
      <c r="O23" s="48">
        <v>3.9679434899999999E-7</v>
      </c>
      <c r="P23" s="49">
        <f t="shared" si="10"/>
        <v>-4.7681285584599999</v>
      </c>
      <c r="Q23" s="50">
        <v>1.1872215399999999</v>
      </c>
      <c r="R23" s="45">
        <v>5.8361452499999999E-3</v>
      </c>
      <c r="S23" s="46">
        <f t="shared" si="2"/>
        <v>0.491580135077401</v>
      </c>
      <c r="T23" s="47">
        <v>-1.3523255200000001E-2</v>
      </c>
      <c r="U23" s="152">
        <f t="shared" si="11"/>
        <v>-1.1390675408399347</v>
      </c>
      <c r="V23" s="148">
        <v>6.5061189300000001E-7</v>
      </c>
      <c r="W23" s="49">
        <f t="shared" si="3"/>
        <v>1.2007447951999999</v>
      </c>
      <c r="X23" s="51">
        <v>0.1447</v>
      </c>
      <c r="Y23" s="65">
        <v>1.63</v>
      </c>
      <c r="Z23" s="53">
        <f t="shared" si="4"/>
        <v>3.6439405887486523E-2</v>
      </c>
      <c r="AA23" s="54">
        <v>3.585E-2</v>
      </c>
      <c r="AB23" s="55">
        <v>1E-4</v>
      </c>
      <c r="AC23" s="169">
        <f t="shared" si="12"/>
        <v>0.2789400278940028</v>
      </c>
      <c r="AD23" s="175">
        <f t="shared" si="13"/>
        <v>1.7565299125171339</v>
      </c>
      <c r="AE23" s="171">
        <f t="shared" si="14"/>
        <v>1.6536951167496101</v>
      </c>
      <c r="AF23" s="163">
        <f t="shared" si="15"/>
        <v>6.0259667573393458E-4</v>
      </c>
      <c r="AG23" s="765"/>
      <c r="AH23" s="100">
        <f>'Uncertainty calc'!BZ36</f>
        <v>3</v>
      </c>
      <c r="AI23" s="3">
        <f t="shared" si="16"/>
        <v>1.0931821766245956E-3</v>
      </c>
      <c r="AJ23" s="120">
        <v>-6.5000000000000002E-2</v>
      </c>
      <c r="AK23" s="55">
        <f t="shared" si="17"/>
        <v>3.581038575E-2</v>
      </c>
      <c r="AL23" s="2">
        <f t="shared" si="18"/>
        <v>3.2951821412992397E-5</v>
      </c>
      <c r="AM23" s="3">
        <f t="shared" si="19"/>
        <v>32.951821412992395</v>
      </c>
      <c r="AY23" s="3"/>
      <c r="BA23" s="2"/>
    </row>
    <row r="24" spans="1:53" x14ac:dyDescent="0.35">
      <c r="A24" s="39">
        <v>3700</v>
      </c>
      <c r="B24" s="40">
        <f t="shared" si="0"/>
        <v>210586.90000000014</v>
      </c>
      <c r="C24" s="41">
        <f t="shared" si="20"/>
        <v>28804.699999999953</v>
      </c>
      <c r="D24" s="65"/>
      <c r="E24" s="66"/>
      <c r="F24" s="144">
        <v>-4.94338678</v>
      </c>
      <c r="G24" s="15">
        <f t="shared" si="5"/>
        <v>4.94338678</v>
      </c>
      <c r="H24" s="3">
        <f t="shared" si="6"/>
        <v>0.74706673663810508</v>
      </c>
      <c r="I24" s="50">
        <v>5.3121661399999999E-2</v>
      </c>
      <c r="J24" s="46">
        <f t="shared" si="1"/>
        <v>-1.0746005474408782</v>
      </c>
      <c r="K24" s="47">
        <v>-9.4659887899999993E-3</v>
      </c>
      <c r="L24" s="15">
        <f t="shared" si="7"/>
        <v>9.4659887899999993E-3</v>
      </c>
      <c r="M24" s="3">
        <f t="shared" si="8"/>
        <v>1.4305425954143495E-3</v>
      </c>
      <c r="N24" s="152">
        <f t="shared" si="9"/>
        <v>0.19148792540971271</v>
      </c>
      <c r="O24" s="48">
        <v>4.5979411999999998E-7</v>
      </c>
      <c r="P24" s="49">
        <f t="shared" si="10"/>
        <v>-4.9339207912100003</v>
      </c>
      <c r="Q24" s="50">
        <v>1.4272224200000001</v>
      </c>
      <c r="R24" s="45">
        <v>9.0547845199999994E-3</v>
      </c>
      <c r="S24" s="46">
        <f t="shared" si="2"/>
        <v>0.63443401624814721</v>
      </c>
      <c r="T24" s="47">
        <v>-1.3523373199999999E-2</v>
      </c>
      <c r="U24" s="152">
        <f t="shared" si="11"/>
        <v>-0.94753088309809474</v>
      </c>
      <c r="V24" s="148">
        <v>5.7303805500000004E-7</v>
      </c>
      <c r="W24" s="49">
        <f t="shared" si="3"/>
        <v>1.4407457932000001</v>
      </c>
      <c r="X24" s="51">
        <v>0.1449</v>
      </c>
      <c r="Y24" s="65">
        <v>1.33</v>
      </c>
      <c r="Z24" s="53">
        <f t="shared" si="4"/>
        <v>4.2312001807285289E-2</v>
      </c>
      <c r="AA24" s="54">
        <v>4.1169999999999998E-2</v>
      </c>
      <c r="AB24" s="55">
        <v>2.5999999999999998E-4</v>
      </c>
      <c r="AC24" s="169">
        <f t="shared" si="12"/>
        <v>0.63152781151323778</v>
      </c>
      <c r="AD24" s="175">
        <f t="shared" si="13"/>
        <v>3.0366122153763011</v>
      </c>
      <c r="AE24" s="172">
        <f t="shared" si="14"/>
        <v>1.47232040558932</v>
      </c>
      <c r="AF24" s="163">
        <f t="shared" si="15"/>
        <v>6.2296823662198319E-4</v>
      </c>
      <c r="AG24" s="765"/>
      <c r="AH24" s="100">
        <f>'Uncertainty calc'!BZ37</f>
        <v>3.2</v>
      </c>
      <c r="AI24" s="3">
        <f t="shared" si="16"/>
        <v>1.3539840578331293E-3</v>
      </c>
      <c r="AJ24" s="120">
        <v>-0.15</v>
      </c>
      <c r="AK24" s="55">
        <f t="shared" si="17"/>
        <v>4.1065016499999996E-2</v>
      </c>
      <c r="AL24" s="2">
        <f t="shared" si="18"/>
        <v>3.4050523058730159E-5</v>
      </c>
      <c r="AM24" s="3">
        <f t="shared" si="19"/>
        <v>34.050523058730157</v>
      </c>
      <c r="AY24" s="3"/>
      <c r="BA24" s="2"/>
    </row>
    <row r="25" spans="1:53" x14ac:dyDescent="0.35">
      <c r="A25" s="39">
        <v>3800</v>
      </c>
      <c r="B25" s="40">
        <f t="shared" si="0"/>
        <v>239391.60000000009</v>
      </c>
      <c r="C25" s="41">
        <f t="shared" si="20"/>
        <v>28804.699999999953</v>
      </c>
      <c r="D25" s="65"/>
      <c r="E25" s="66"/>
      <c r="F25" s="144">
        <v>-5.4794788900000002</v>
      </c>
      <c r="G25" s="15">
        <f t="shared" si="5"/>
        <v>5.4794788900000002</v>
      </c>
      <c r="H25" s="3">
        <f t="shared" si="6"/>
        <v>0.82808337583281033</v>
      </c>
      <c r="I25" s="50">
        <v>5.72370824E-2</v>
      </c>
      <c r="J25" s="46">
        <f t="shared" si="1"/>
        <v>-1.0445716380887453</v>
      </c>
      <c r="K25" s="47">
        <v>-9.4657070099999994E-3</v>
      </c>
      <c r="L25" s="15">
        <f t="shared" si="7"/>
        <v>9.4657070099999994E-3</v>
      </c>
      <c r="M25" s="3">
        <f t="shared" si="8"/>
        <v>1.4305000115595111E-3</v>
      </c>
      <c r="N25" s="152">
        <f t="shared" si="9"/>
        <v>0.17274830691062301</v>
      </c>
      <c r="O25" s="48">
        <v>6.36014498E-7</v>
      </c>
      <c r="P25" s="49">
        <f t="shared" si="10"/>
        <v>-5.4700131829899998</v>
      </c>
      <c r="Q25" s="50">
        <v>2.1375048099999998</v>
      </c>
      <c r="R25" s="45">
        <v>1.4545376699999999E-2</v>
      </c>
      <c r="S25" s="46">
        <f t="shared" si="2"/>
        <v>0.68048392836131211</v>
      </c>
      <c r="T25" s="47">
        <v>-1.3523280299999999E-2</v>
      </c>
      <c r="U25" s="152">
        <f t="shared" si="11"/>
        <v>-0.63266666052554998</v>
      </c>
      <c r="V25" s="148">
        <v>3.92250208E-7</v>
      </c>
      <c r="W25" s="49">
        <f t="shared" si="3"/>
        <v>2.1510280902999996</v>
      </c>
      <c r="X25" s="51">
        <v>0.15670000000000001</v>
      </c>
      <c r="Y25" s="65">
        <v>0.79</v>
      </c>
      <c r="Z25" s="53">
        <f t="shared" si="4"/>
        <v>6.1620711042923673E-2</v>
      </c>
      <c r="AA25" s="54">
        <v>6.0400000000000002E-2</v>
      </c>
      <c r="AB25" s="55">
        <v>4.2000000000000002E-4</v>
      </c>
      <c r="AC25" s="169">
        <f t="shared" si="12"/>
        <v>0.69536423841059603</v>
      </c>
      <c r="AD25" s="175">
        <f t="shared" si="13"/>
        <v>2.369099712073488</v>
      </c>
      <c r="AE25" s="170">
        <f t="shared" si="14"/>
        <v>1.0524406985955779</v>
      </c>
      <c r="AF25" s="163">
        <f t="shared" si="15"/>
        <v>6.485214417797083E-4</v>
      </c>
      <c r="AG25" s="765"/>
      <c r="AH25" s="100">
        <f>'Uncertainty calc'!BZ38</f>
        <v>3</v>
      </c>
      <c r="AI25" s="3">
        <f t="shared" si="16"/>
        <v>1.8486213312877101E-3</v>
      </c>
      <c r="AJ25" s="120">
        <v>-0.2</v>
      </c>
      <c r="AK25" s="55">
        <f t="shared" si="17"/>
        <v>6.0194640000000001E-2</v>
      </c>
      <c r="AL25" s="2">
        <f t="shared" si="18"/>
        <v>3.4907550625335037E-5</v>
      </c>
      <c r="AM25" s="3">
        <f t="shared" si="19"/>
        <v>34.907550625335034</v>
      </c>
      <c r="AY25" s="3"/>
      <c r="BA25" s="2"/>
    </row>
    <row r="26" spans="1:53" x14ac:dyDescent="0.35">
      <c r="A26" s="39">
        <v>3900</v>
      </c>
      <c r="B26" s="40">
        <f t="shared" si="0"/>
        <v>268196.30000000005</v>
      </c>
      <c r="C26" s="67">
        <f t="shared" si="20"/>
        <v>28804.699999999953</v>
      </c>
      <c r="D26" s="42"/>
      <c r="E26" s="43"/>
      <c r="F26" s="145">
        <v>-6.0408513800000003</v>
      </c>
      <c r="G26" s="15">
        <f t="shared" si="5"/>
        <v>6.0408513800000003</v>
      </c>
      <c r="H26" s="3">
        <f t="shared" si="6"/>
        <v>0.91292049920730534</v>
      </c>
      <c r="I26" s="73">
        <v>6.8256838700000003E-2</v>
      </c>
      <c r="J26" s="70">
        <f t="shared" si="1"/>
        <v>-1.1299208407275865</v>
      </c>
      <c r="K26" s="71">
        <v>-9.4648159900000001E-3</v>
      </c>
      <c r="L26" s="15">
        <f t="shared" si="7"/>
        <v>9.4648159900000001E-3</v>
      </c>
      <c r="M26" s="3">
        <f t="shared" si="8"/>
        <v>1.4303653566289335E-3</v>
      </c>
      <c r="N26" s="152">
        <f t="shared" si="9"/>
        <v>0.156680166331124</v>
      </c>
      <c r="O26" s="72">
        <v>5.85650041E-7</v>
      </c>
      <c r="P26" s="78">
        <f t="shared" si="10"/>
        <v>-6.03138656401</v>
      </c>
      <c r="Q26" s="73">
        <v>2.8937779899999998</v>
      </c>
      <c r="R26" s="69">
        <v>1.2979930900000001E-2</v>
      </c>
      <c r="S26" s="70">
        <f t="shared" si="2"/>
        <v>0.44854618926727002</v>
      </c>
      <c r="T26" s="71">
        <v>-1.35231528E-2</v>
      </c>
      <c r="U26" s="152">
        <f t="shared" si="11"/>
        <v>-0.46731825477738193</v>
      </c>
      <c r="V26" s="150">
        <v>7.0414766599999997E-7</v>
      </c>
      <c r="W26" s="78">
        <f t="shared" si="3"/>
        <v>2.9073011427999997</v>
      </c>
      <c r="X26" s="74">
        <v>0.1691</v>
      </c>
      <c r="Y26" s="42">
        <v>0.65</v>
      </c>
      <c r="Z26" s="53">
        <f t="shared" si="4"/>
        <v>8.1511045267942603E-2</v>
      </c>
      <c r="AA26" s="54">
        <v>8.0509999999999998E-2</v>
      </c>
      <c r="AB26" s="55">
        <v>3.6000000000000002E-4</v>
      </c>
      <c r="AC26" s="169">
        <f t="shared" si="12"/>
        <v>0.44714942243199607</v>
      </c>
      <c r="AD26" s="175">
        <f t="shared" si="13"/>
        <v>1.5022106744109165</v>
      </c>
      <c r="AE26" s="170">
        <f t="shared" si="14"/>
        <v>0.78895031908306357</v>
      </c>
      <c r="AF26" s="163">
        <f t="shared" si="15"/>
        <v>6.4308165172937348E-4</v>
      </c>
      <c r="AG26" s="765"/>
      <c r="AH26" s="100">
        <f>'Uncertainty calc'!BZ39</f>
        <v>2.8000000000000003</v>
      </c>
      <c r="AI26" s="3">
        <f t="shared" si="16"/>
        <v>2.2823092675023932E-3</v>
      </c>
      <c r="AJ26" s="120">
        <v>-0.15</v>
      </c>
      <c r="AK26" s="55">
        <f t="shared" si="17"/>
        <v>8.0304699499999993E-2</v>
      </c>
      <c r="AL26" s="2">
        <f t="shared" si="18"/>
        <v>3.5667572820875222E-5</v>
      </c>
      <c r="AM26" s="3">
        <f t="shared" si="19"/>
        <v>35.667572820875222</v>
      </c>
      <c r="AY26" s="3"/>
      <c r="BA26" s="2"/>
    </row>
    <row r="27" spans="1:53" ht="15" thickBot="1" x14ac:dyDescent="0.4">
      <c r="A27" s="79">
        <v>4000</v>
      </c>
      <c r="B27" s="80">
        <f t="shared" si="0"/>
        <v>297001</v>
      </c>
      <c r="C27" s="81" t="e">
        <f>#REF!-B27</f>
        <v>#REF!</v>
      </c>
      <c r="D27" s="82" t="s">
        <v>30</v>
      </c>
      <c r="E27" s="83"/>
      <c r="F27" s="146">
        <v>-6.61706182</v>
      </c>
      <c r="G27" s="15">
        <f t="shared" si="5"/>
        <v>6.61706182</v>
      </c>
      <c r="H27" s="3">
        <f t="shared" si="6"/>
        <v>1</v>
      </c>
      <c r="I27" s="90">
        <v>7.0878873699999997E-2</v>
      </c>
      <c r="J27" s="86">
        <f t="shared" si="1"/>
        <v>-1.0711532645164255</v>
      </c>
      <c r="K27" s="87">
        <v>-9.4643324699999996E-3</v>
      </c>
      <c r="L27" s="15">
        <f t="shared" si="7"/>
        <v>9.4643324699999996E-3</v>
      </c>
      <c r="M27" s="3">
        <f t="shared" si="8"/>
        <v>1.4302922849223131E-3</v>
      </c>
      <c r="N27" s="152">
        <f t="shared" si="9"/>
        <v>0.14302922849223132</v>
      </c>
      <c r="O27" s="88">
        <v>3.3147047300000001E-7</v>
      </c>
      <c r="P27" s="89">
        <f t="shared" si="10"/>
        <v>-6.6075974875299996</v>
      </c>
      <c r="Q27" s="90">
        <v>3.5474708800000001</v>
      </c>
      <c r="R27" s="85">
        <v>1.7099475699999998E-2</v>
      </c>
      <c r="S27" s="86">
        <f t="shared" si="2"/>
        <v>0.48201877558470607</v>
      </c>
      <c r="T27" s="87">
        <v>-1.3522566E-2</v>
      </c>
      <c r="U27" s="152">
        <f t="shared" si="11"/>
        <v>-0.38118892183830977</v>
      </c>
      <c r="V27" s="151">
        <v>5.7966868200000004E-7</v>
      </c>
      <c r="W27" s="89">
        <f t="shared" si="3"/>
        <v>3.5609934459999999</v>
      </c>
      <c r="X27" s="91">
        <v>0.17979999999999999</v>
      </c>
      <c r="Y27" s="82">
        <v>0.49</v>
      </c>
      <c r="Z27" s="93">
        <f t="shared" si="4"/>
        <v>9.6898550917958445E-2</v>
      </c>
      <c r="AA27" s="94">
        <v>9.5990000000000006E-2</v>
      </c>
      <c r="AB27" s="95">
        <v>3.2000000000000003E-4</v>
      </c>
      <c r="AC27" s="173">
        <f t="shared" si="12"/>
        <v>0.33336805917283047</v>
      </c>
      <c r="AD27" s="176">
        <f t="shared" si="13"/>
        <v>1.1442427952256007</v>
      </c>
      <c r="AE27" s="174">
        <f t="shared" si="14"/>
        <v>0.59265020279812586</v>
      </c>
      <c r="AF27" s="164">
        <f t="shared" si="15"/>
        <v>5.7426945852372601E-4</v>
      </c>
      <c r="AG27" s="766"/>
      <c r="AH27" s="100">
        <f>'Uncertainty calc'!BZ40</f>
        <v>2.6</v>
      </c>
      <c r="AI27" s="3">
        <f t="shared" si="16"/>
        <v>2.5193623238669196E-3</v>
      </c>
      <c r="AJ27" s="120">
        <v>-0.115</v>
      </c>
      <c r="AK27" s="55">
        <f t="shared" si="17"/>
        <v>9.5802339550000004E-2</v>
      </c>
      <c r="AL27" s="2">
        <f t="shared" si="18"/>
        <v>3.6749707939543938E-5</v>
      </c>
      <c r="AM27" s="3">
        <f t="shared" si="19"/>
        <v>36.749707939543939</v>
      </c>
      <c r="AY27" s="3"/>
      <c r="BA27" s="2"/>
    </row>
    <row r="28" spans="1:53" ht="15" thickBot="1" x14ac:dyDescent="0.4">
      <c r="AJ28"/>
      <c r="BA28" s="2"/>
    </row>
    <row r="29" spans="1:53" ht="35.5" customHeight="1" thickBot="1" x14ac:dyDescent="0.4">
      <c r="A29" s="725" t="s">
        <v>0</v>
      </c>
      <c r="B29" s="728" t="s">
        <v>1</v>
      </c>
      <c r="C29" s="731" t="s">
        <v>2</v>
      </c>
      <c r="D29" s="734" t="s">
        <v>3</v>
      </c>
      <c r="E29" s="735"/>
      <c r="F29" s="736" t="s">
        <v>4</v>
      </c>
      <c r="G29" s="724"/>
      <c r="H29" s="724"/>
      <c r="I29" s="724"/>
      <c r="J29" s="724"/>
      <c r="K29" s="724"/>
      <c r="L29" s="724"/>
      <c r="M29" s="724"/>
      <c r="N29" s="724"/>
      <c r="O29" s="724"/>
      <c r="P29" s="737"/>
      <c r="Q29" s="724" t="s">
        <v>5</v>
      </c>
      <c r="R29" s="724"/>
      <c r="S29" s="724"/>
      <c r="T29" s="724"/>
      <c r="U29" s="724"/>
      <c r="V29" s="724"/>
      <c r="W29" s="724"/>
      <c r="X29" s="738" t="s">
        <v>6</v>
      </c>
      <c r="Y29" s="738" t="s">
        <v>7</v>
      </c>
      <c r="Z29" s="738" t="s">
        <v>8</v>
      </c>
      <c r="AA29" s="738" t="s">
        <v>9</v>
      </c>
      <c r="AB29" s="754" t="s">
        <v>10</v>
      </c>
      <c r="AC29" s="738" t="s">
        <v>11</v>
      </c>
      <c r="AD29" s="738" t="s">
        <v>12</v>
      </c>
      <c r="AE29" s="738" t="s">
        <v>13</v>
      </c>
      <c r="AF29" s="1"/>
      <c r="AG29" s="738" t="s">
        <v>14</v>
      </c>
      <c r="AH29" s="2"/>
      <c r="AY29" s="3"/>
      <c r="BA29" s="2"/>
    </row>
    <row r="30" spans="1:53" ht="20.25" customHeight="1" x14ac:dyDescent="0.35">
      <c r="A30" s="726"/>
      <c r="B30" s="729"/>
      <c r="C30" s="732"/>
      <c r="D30" s="742" t="s">
        <v>17</v>
      </c>
      <c r="E30" s="744" t="s">
        <v>18</v>
      </c>
      <c r="F30" s="746" t="s">
        <v>19</v>
      </c>
      <c r="G30" s="747"/>
      <c r="H30" s="747"/>
      <c r="I30" s="747"/>
      <c r="J30" s="747"/>
      <c r="K30" s="748" t="s">
        <v>20</v>
      </c>
      <c r="L30" s="749"/>
      <c r="M30" s="749"/>
      <c r="N30" s="749"/>
      <c r="O30" s="749"/>
      <c r="P30" s="750"/>
      <c r="Q30" s="747" t="s">
        <v>19</v>
      </c>
      <c r="R30" s="747"/>
      <c r="S30" s="747"/>
      <c r="T30" s="748" t="s">
        <v>20</v>
      </c>
      <c r="U30" s="749"/>
      <c r="V30" s="749"/>
      <c r="W30" s="750"/>
      <c r="X30" s="739"/>
      <c r="Y30" s="739"/>
      <c r="Z30" s="739"/>
      <c r="AA30" s="739"/>
      <c r="AB30" s="755"/>
      <c r="AC30" s="739"/>
      <c r="AD30" s="739"/>
      <c r="AE30" s="739"/>
      <c r="AF30" s="4"/>
      <c r="AG30" s="739"/>
      <c r="AH30" s="2"/>
      <c r="AY30" s="3"/>
      <c r="BA30" s="2"/>
    </row>
    <row r="31" spans="1:53" ht="20.25" customHeight="1" thickBot="1" x14ac:dyDescent="0.4">
      <c r="A31" s="727"/>
      <c r="B31" s="730"/>
      <c r="C31" s="733"/>
      <c r="D31" s="743"/>
      <c r="E31" s="745"/>
      <c r="F31" s="5" t="s">
        <v>21</v>
      </c>
      <c r="G31" s="142"/>
      <c r="H31" s="142"/>
      <c r="I31" s="6" t="s">
        <v>22</v>
      </c>
      <c r="J31" s="7" t="s">
        <v>23</v>
      </c>
      <c r="K31" s="5" t="s">
        <v>21</v>
      </c>
      <c r="L31" s="142"/>
      <c r="M31" s="142"/>
      <c r="N31" s="142"/>
      <c r="O31" s="6" t="s">
        <v>22</v>
      </c>
      <c r="P31" s="8" t="s">
        <v>24</v>
      </c>
      <c r="Q31" s="9" t="s">
        <v>21</v>
      </c>
      <c r="R31" s="6" t="s">
        <v>22</v>
      </c>
      <c r="S31" s="7" t="s">
        <v>23</v>
      </c>
      <c r="T31" s="5" t="s">
        <v>21</v>
      </c>
      <c r="U31" s="142"/>
      <c r="V31" s="6" t="s">
        <v>22</v>
      </c>
      <c r="W31" s="8" t="s">
        <v>24</v>
      </c>
      <c r="X31" s="740"/>
      <c r="Y31" s="740"/>
      <c r="Z31" s="740"/>
      <c r="AA31" s="740"/>
      <c r="AB31" s="756"/>
      <c r="AC31" s="740"/>
      <c r="AD31" s="740"/>
      <c r="AE31" s="740"/>
      <c r="AF31" s="10"/>
      <c r="AG31" s="740"/>
      <c r="AH31" s="2"/>
      <c r="AY31" s="3"/>
      <c r="BA31" s="2"/>
    </row>
    <row r="32" spans="1:53" ht="30.75" customHeight="1" thickBot="1" x14ac:dyDescent="0.4">
      <c r="A32" s="757" t="s">
        <v>31</v>
      </c>
      <c r="B32" s="759"/>
      <c r="C32" s="759"/>
      <c r="D32" s="12">
        <v>0.2</v>
      </c>
      <c r="E32" s="13">
        <v>1.6</v>
      </c>
      <c r="F32" s="760"/>
      <c r="G32" s="761"/>
      <c r="H32" s="761"/>
      <c r="I32" s="761"/>
      <c r="J32" s="761"/>
      <c r="K32" s="14"/>
      <c r="P32" s="16"/>
      <c r="Q32" s="761"/>
      <c r="R32" s="761"/>
      <c r="S32" s="761"/>
      <c r="T32" s="14"/>
      <c r="U32" s="15"/>
      <c r="V32" s="15"/>
      <c r="W32" s="16"/>
      <c r="X32" s="17"/>
      <c r="Z32" s="19"/>
      <c r="AA32" s="20"/>
      <c r="AB32" s="19"/>
      <c r="AC32" s="19"/>
      <c r="AD32" s="19"/>
      <c r="AE32" s="19"/>
      <c r="AF32" s="19"/>
      <c r="AG32" s="20"/>
      <c r="AH32" s="2"/>
      <c r="AY32" s="3"/>
      <c r="BA32" s="2"/>
    </row>
    <row r="33" spans="1:53" x14ac:dyDescent="0.35">
      <c r="A33" s="21">
        <v>2000</v>
      </c>
      <c r="B33" s="22">
        <f t="shared" ref="B33:B53" si="21">A33*$K$56-$K$57</f>
        <v>-279093</v>
      </c>
      <c r="C33" s="23">
        <f>B34-B33</f>
        <v>28804.70000000007</v>
      </c>
      <c r="D33" s="762">
        <v>1</v>
      </c>
      <c r="E33" s="763"/>
      <c r="F33" s="24">
        <v>0.231357177</v>
      </c>
      <c r="G33" s="30"/>
      <c r="H33" s="30"/>
      <c r="I33" s="25">
        <v>5.0566539900000001E-4</v>
      </c>
      <c r="J33" s="26">
        <f t="shared" ref="J33:J53" si="22">I33*100/F33</f>
        <v>0.21856482066255503</v>
      </c>
      <c r="K33" s="27">
        <v>9.4872781999999992E-3</v>
      </c>
      <c r="L33" s="147"/>
      <c r="M33" s="147"/>
      <c r="N33" s="152">
        <f>K33*100/F33</f>
        <v>4.1007062426250123</v>
      </c>
      <c r="O33" s="28">
        <v>1.4686505100000001E-6</v>
      </c>
      <c r="P33" s="29">
        <f>F33-K33</f>
        <v>0.22186989879999999</v>
      </c>
      <c r="Q33" s="30">
        <v>-3.9875464999999999E-2</v>
      </c>
      <c r="R33" s="25">
        <v>1.7452801499999999E-4</v>
      </c>
      <c r="S33" s="26">
        <f t="shared" ref="S33:S53" si="23">R33*100/Q33</f>
        <v>-0.4376827079007104</v>
      </c>
      <c r="T33" s="27">
        <v>1.3413104E-2</v>
      </c>
      <c r="U33" s="152">
        <f>T33*100/Q33</f>
        <v>-33.637486108312466</v>
      </c>
      <c r="V33" s="28">
        <v>6.9582395500000005E-7</v>
      </c>
      <c r="W33" s="29">
        <f t="shared" ref="W33:W53" si="24">Q33-T33</f>
        <v>-5.3288569000000001E-2</v>
      </c>
      <c r="X33" s="31">
        <v>0.1134</v>
      </c>
      <c r="Y33" s="32">
        <v>6.12</v>
      </c>
      <c r="Z33" s="33">
        <f t="shared" ref="Z33:Z53" si="25">X33*(-W33/P33)</f>
        <v>2.7236338761064963E-2</v>
      </c>
      <c r="AA33" s="102">
        <v>2.6759999999999999E-2</v>
      </c>
      <c r="AB33" s="35">
        <v>2.9E-4</v>
      </c>
      <c r="AC33" s="36">
        <f>AB33*100/AA33</f>
        <v>1.0837070254110615</v>
      </c>
      <c r="AD33" s="103">
        <f>ABS(Z33-AA33)/AA33*100</f>
        <v>1.7800402132472508</v>
      </c>
      <c r="AE33" s="36">
        <f>SQRT(SUMSQ(Y33,AC33))</f>
        <v>6.2152088393653591</v>
      </c>
      <c r="AF33" s="38">
        <f>AE33/100*Z33</f>
        <v>1.6927953341972031E-3</v>
      </c>
      <c r="AG33" s="764" t="s">
        <v>29</v>
      </c>
      <c r="AH33" s="2"/>
      <c r="AY33" s="3"/>
      <c r="BA33" s="2"/>
    </row>
    <row r="34" spans="1:53" x14ac:dyDescent="0.35">
      <c r="A34" s="39">
        <v>2100</v>
      </c>
      <c r="B34" s="40">
        <f t="shared" si="21"/>
        <v>-250288.29999999993</v>
      </c>
      <c r="C34" s="41">
        <f>B35-B34</f>
        <v>28804.699999999953</v>
      </c>
      <c r="D34" s="42">
        <v>23.5</v>
      </c>
      <c r="E34" s="43">
        <v>54.8</v>
      </c>
      <c r="F34" s="44">
        <v>0.66439467900000004</v>
      </c>
      <c r="G34" s="50"/>
      <c r="H34" s="50"/>
      <c r="I34" s="45">
        <v>4.1147698799999998E-3</v>
      </c>
      <c r="J34" s="46">
        <f t="shared" si="22"/>
        <v>0.61932613400716285</v>
      </c>
      <c r="K34" s="47">
        <v>9.4770959300000002E-3</v>
      </c>
      <c r="L34" s="148"/>
      <c r="M34" s="148"/>
      <c r="N34" s="152">
        <f t="shared" ref="N34:N53" si="26">K34*100/F34</f>
        <v>1.4264256216296398</v>
      </c>
      <c r="O34" s="48">
        <v>1.8405582200000001E-6</v>
      </c>
      <c r="P34" s="49">
        <f t="shared" ref="P34:P53" si="27">F34-K34</f>
        <v>0.65491758307000003</v>
      </c>
      <c r="Q34" s="50">
        <v>-0.13429839399999999</v>
      </c>
      <c r="R34" s="45">
        <v>1.1113863600000001E-3</v>
      </c>
      <c r="S34" s="46">
        <f t="shared" si="23"/>
        <v>-0.82755000033730874</v>
      </c>
      <c r="T34" s="47">
        <v>1.34151172E-2</v>
      </c>
      <c r="U34" s="152">
        <f t="shared" ref="U34:U53" si="28">T34*100/Q34</f>
        <v>-9.9890376946726569</v>
      </c>
      <c r="V34" s="48">
        <v>1.6025276600000001E-6</v>
      </c>
      <c r="W34" s="49">
        <f t="shared" si="24"/>
        <v>-0.14771351119999998</v>
      </c>
      <c r="X34" s="51">
        <v>0.1163</v>
      </c>
      <c r="Y34" s="52">
        <v>4.25</v>
      </c>
      <c r="Z34" s="53">
        <f t="shared" si="25"/>
        <v>2.6230905684393319E-2</v>
      </c>
      <c r="AA34" s="104">
        <v>2.6200000000000001E-2</v>
      </c>
      <c r="AB34" s="55">
        <v>2.0000000000000001E-4</v>
      </c>
      <c r="AC34" s="56">
        <f t="shared" ref="AC34:AC53" si="29">AB34*100/AA34</f>
        <v>0.76335877862595414</v>
      </c>
      <c r="AD34" s="64">
        <f t="shared" ref="AD34:AD53" si="30">ABS(Z34-AA34)/AA34*100</f>
        <v>0.11796062745541042</v>
      </c>
      <c r="AE34" s="56">
        <f t="shared" ref="AE34:AE53" si="31">SQRT(SUMSQ(Y34,AC34))</f>
        <v>4.318010725427313</v>
      </c>
      <c r="AF34" s="58">
        <f t="shared" ref="AF34:AF53" si="32">AE34/100*Z34</f>
        <v>1.1326533208288264E-3</v>
      </c>
      <c r="AG34" s="765"/>
      <c r="AH34" s="2"/>
      <c r="AY34" s="3"/>
      <c r="BA34" s="2"/>
    </row>
    <row r="35" spans="1:53" x14ac:dyDescent="0.35">
      <c r="A35" s="39">
        <v>2200</v>
      </c>
      <c r="B35" s="40">
        <f t="shared" si="21"/>
        <v>-221483.59999999998</v>
      </c>
      <c r="C35" s="41">
        <f t="shared" ref="C35" si="33">B36-B35</f>
        <v>28804.70000000007</v>
      </c>
      <c r="D35" s="767"/>
      <c r="E35" s="768"/>
      <c r="F35" s="44">
        <v>1.5263496999999999</v>
      </c>
      <c r="G35" s="50"/>
      <c r="H35" s="50"/>
      <c r="I35" s="45">
        <v>1.6642790599999999E-2</v>
      </c>
      <c r="J35" s="59">
        <f t="shared" si="22"/>
        <v>1.090365504051922</v>
      </c>
      <c r="K35" s="60">
        <v>9.4702501099999999E-3</v>
      </c>
      <c r="L35" s="149"/>
      <c r="M35" s="149"/>
      <c r="N35" s="152">
        <f t="shared" si="26"/>
        <v>0.62045087767239715</v>
      </c>
      <c r="O35" s="61">
        <v>2.67537617E-6</v>
      </c>
      <c r="P35" s="49">
        <f t="shared" si="27"/>
        <v>1.51687944989</v>
      </c>
      <c r="Q35" s="50">
        <v>-0.31426127300000001</v>
      </c>
      <c r="R35" s="45">
        <v>2.3189712900000001E-3</v>
      </c>
      <c r="S35" s="59">
        <f t="shared" si="23"/>
        <v>-0.73791188709402322</v>
      </c>
      <c r="T35" s="60">
        <v>1.34153811E-2</v>
      </c>
      <c r="U35" s="152">
        <f t="shared" si="28"/>
        <v>-4.268862329721423</v>
      </c>
      <c r="V35" s="61">
        <v>1.5922115399999999E-6</v>
      </c>
      <c r="W35" s="49">
        <f t="shared" si="24"/>
        <v>-0.32767665410000002</v>
      </c>
      <c r="X35" s="62">
        <v>0.12089999999999999</v>
      </c>
      <c r="Y35" s="63">
        <v>2.29</v>
      </c>
      <c r="Z35" s="53">
        <f t="shared" si="25"/>
        <v>2.6116846321283377E-2</v>
      </c>
      <c r="AA35" s="104">
        <v>2.564E-2</v>
      </c>
      <c r="AB35" s="55">
        <v>1.7000000000000001E-4</v>
      </c>
      <c r="AC35" s="56">
        <f t="shared" si="29"/>
        <v>0.66302652106084248</v>
      </c>
      <c r="AD35" s="64">
        <f t="shared" si="30"/>
        <v>1.8597750440069343</v>
      </c>
      <c r="AE35" s="105">
        <f t="shared" si="31"/>
        <v>2.3840520480119651</v>
      </c>
      <c r="AF35" s="58">
        <f t="shared" si="32"/>
        <v>6.22639209598694E-4</v>
      </c>
      <c r="AG35" s="765"/>
      <c r="AH35" s="2"/>
      <c r="AY35" s="3"/>
      <c r="BA35" s="2"/>
    </row>
    <row r="36" spans="1:53" x14ac:dyDescent="0.35">
      <c r="A36" s="39">
        <v>2300</v>
      </c>
      <c r="B36" s="40">
        <f t="shared" si="21"/>
        <v>-192678.89999999991</v>
      </c>
      <c r="C36" s="41">
        <f>B37-B36</f>
        <v>28804.699999999953</v>
      </c>
      <c r="D36" s="65"/>
      <c r="E36" s="66"/>
      <c r="F36" s="44">
        <v>3.1198480900000001</v>
      </c>
      <c r="G36" s="50"/>
      <c r="H36" s="50"/>
      <c r="I36" s="45">
        <v>3.3958440800000003E-2</v>
      </c>
      <c r="J36" s="46">
        <f t="shared" si="22"/>
        <v>1.0884645604651861</v>
      </c>
      <c r="K36" s="47">
        <v>9.4653009100000001E-3</v>
      </c>
      <c r="L36" s="148"/>
      <c r="M36" s="148"/>
      <c r="N36" s="152">
        <f t="shared" si="26"/>
        <v>0.30338980094380169</v>
      </c>
      <c r="O36" s="48">
        <v>1.9458634500000001E-6</v>
      </c>
      <c r="P36" s="49">
        <f t="shared" si="27"/>
        <v>3.11038278909</v>
      </c>
      <c r="Q36" s="50">
        <v>-0.64288391099999997</v>
      </c>
      <c r="R36" s="45">
        <v>4.5682484800000003E-3</v>
      </c>
      <c r="S36" s="46">
        <f t="shared" si="23"/>
        <v>-0.71058684185985177</v>
      </c>
      <c r="T36" s="47">
        <v>1.34164373E-2</v>
      </c>
      <c r="U36" s="152">
        <f t="shared" si="28"/>
        <v>-2.0869144600509375</v>
      </c>
      <c r="V36" s="48">
        <v>1.8241401700000001E-6</v>
      </c>
      <c r="W36" s="49">
        <f t="shared" si="24"/>
        <v>-0.65630034829999995</v>
      </c>
      <c r="X36" s="51">
        <v>0.127</v>
      </c>
      <c r="Y36" s="52">
        <v>2.02</v>
      </c>
      <c r="Z36" s="53">
        <f t="shared" si="25"/>
        <v>2.6797391152773714E-2</v>
      </c>
      <c r="AA36" s="104">
        <v>2.5999999999999999E-2</v>
      </c>
      <c r="AB36" s="55">
        <v>1.6000000000000001E-4</v>
      </c>
      <c r="AC36" s="56">
        <f t="shared" si="29"/>
        <v>0.61538461538461542</v>
      </c>
      <c r="AD36" s="106">
        <f t="shared" si="30"/>
        <v>3.0668890491296743</v>
      </c>
      <c r="AE36" s="105">
        <f t="shared" si="31"/>
        <v>2.1116576959469713</v>
      </c>
      <c r="AF36" s="58">
        <f t="shared" si="32"/>
        <v>5.6586917259055891E-4</v>
      </c>
      <c r="AG36" s="765"/>
      <c r="AH36" s="2"/>
      <c r="AY36" s="3"/>
      <c r="BA36" s="2"/>
    </row>
    <row r="37" spans="1:53" x14ac:dyDescent="0.35">
      <c r="A37" s="39">
        <v>2400</v>
      </c>
      <c r="B37" s="40">
        <f t="shared" si="21"/>
        <v>-163874.19999999995</v>
      </c>
      <c r="C37" s="67">
        <f t="shared" ref="C37:C52" si="34">B38-B37</f>
        <v>28804.70000000007</v>
      </c>
      <c r="D37" s="65"/>
      <c r="E37" s="66"/>
      <c r="F37" s="68">
        <v>4.1405376599999997</v>
      </c>
      <c r="G37" s="73"/>
      <c r="H37" s="73"/>
      <c r="I37" s="69">
        <v>4.6566930499999999E-2</v>
      </c>
      <c r="J37" s="70">
        <f t="shared" si="22"/>
        <v>1.1246590255623954</v>
      </c>
      <c r="K37" s="71">
        <v>9.4611855500000008E-3</v>
      </c>
      <c r="L37" s="150"/>
      <c r="M37" s="150"/>
      <c r="N37" s="152">
        <f t="shared" si="26"/>
        <v>0.22850137655794203</v>
      </c>
      <c r="O37" s="72">
        <v>1.2280819599999999E-6</v>
      </c>
      <c r="P37" s="49">
        <f t="shared" si="27"/>
        <v>4.1310764744499995</v>
      </c>
      <c r="Q37" s="73">
        <v>-0.85326971900000004</v>
      </c>
      <c r="R37" s="69">
        <v>6.0070279700000003E-3</v>
      </c>
      <c r="S37" s="70">
        <f t="shared" si="23"/>
        <v>-0.70400107213930097</v>
      </c>
      <c r="T37" s="71">
        <v>1.3416113699999999E-2</v>
      </c>
      <c r="U37" s="152">
        <f t="shared" si="28"/>
        <v>-1.5723180374575085</v>
      </c>
      <c r="V37" s="72">
        <v>1.4170963500000001E-6</v>
      </c>
      <c r="W37" s="49">
        <f t="shared" si="24"/>
        <v>-0.86668583269999999</v>
      </c>
      <c r="X37" s="74">
        <v>0.13039999999999999</v>
      </c>
      <c r="Y37" s="75">
        <v>2</v>
      </c>
      <c r="Z37" s="53">
        <f t="shared" si="25"/>
        <v>2.7357477713875197E-2</v>
      </c>
      <c r="AA37" s="104">
        <v>2.6769999999999999E-2</v>
      </c>
      <c r="AB37" s="55">
        <v>1.7000000000000001E-4</v>
      </c>
      <c r="AC37" s="56">
        <f t="shared" si="29"/>
        <v>0.63503922301083315</v>
      </c>
      <c r="AD37" s="106">
        <f t="shared" si="30"/>
        <v>2.1945375938558014</v>
      </c>
      <c r="AE37" s="105">
        <f t="shared" si="31"/>
        <v>2.0983981544888479</v>
      </c>
      <c r="AF37" s="58">
        <f t="shared" si="32"/>
        <v>5.7406880746265507E-4</v>
      </c>
      <c r="AG37" s="765"/>
      <c r="AH37" s="2"/>
      <c r="AY37" s="3"/>
      <c r="BA37" s="2"/>
    </row>
    <row r="38" spans="1:53" x14ac:dyDescent="0.35">
      <c r="A38" s="39">
        <v>2500</v>
      </c>
      <c r="B38" s="40">
        <f t="shared" si="21"/>
        <v>-135069.49999999988</v>
      </c>
      <c r="C38" s="41">
        <f t="shared" si="34"/>
        <v>28804.699999999953</v>
      </c>
      <c r="D38" s="65"/>
      <c r="E38" s="66"/>
      <c r="F38" s="44">
        <v>4.8550775899999996</v>
      </c>
      <c r="G38" s="50"/>
      <c r="H38" s="50"/>
      <c r="I38" s="45">
        <v>5.7181386600000002E-2</v>
      </c>
      <c r="J38" s="46">
        <f t="shared" si="22"/>
        <v>1.1777646297100683</v>
      </c>
      <c r="K38" s="47">
        <v>9.4581479399999998E-3</v>
      </c>
      <c r="L38" s="148"/>
      <c r="M38" s="148"/>
      <c r="N38" s="152">
        <f t="shared" si="26"/>
        <v>0.19480940859690773</v>
      </c>
      <c r="O38" s="48">
        <v>2.2417342400000002E-6</v>
      </c>
      <c r="P38" s="49">
        <f t="shared" si="27"/>
        <v>4.8456194420599994</v>
      </c>
      <c r="Q38" s="50">
        <v>-1.0012002200000001</v>
      </c>
      <c r="R38" s="45">
        <v>7.1797662299999997E-3</v>
      </c>
      <c r="S38" s="46">
        <f t="shared" si="23"/>
        <v>-0.71711592612314834</v>
      </c>
      <c r="T38" s="47">
        <v>1.34145311E-2</v>
      </c>
      <c r="U38" s="152">
        <f t="shared" si="28"/>
        <v>-1.3398450012326204</v>
      </c>
      <c r="V38" s="48">
        <v>1.0477120799999999E-6</v>
      </c>
      <c r="W38" s="49">
        <f t="shared" si="24"/>
        <v>-1.0146147511000001</v>
      </c>
      <c r="X38" s="51">
        <v>0.12189999999999999</v>
      </c>
      <c r="Y38" s="52">
        <v>1.64</v>
      </c>
      <c r="Z38" s="53">
        <f t="shared" si="25"/>
        <v>2.5524401913516705E-2</v>
      </c>
      <c r="AA38" s="104">
        <v>2.4729999999999999E-2</v>
      </c>
      <c r="AB38" s="55">
        <v>1.4999999999999999E-4</v>
      </c>
      <c r="AC38" s="56">
        <f t="shared" si="29"/>
        <v>0.60655074807925602</v>
      </c>
      <c r="AD38" s="107">
        <f t="shared" si="30"/>
        <v>3.2123004994610063</v>
      </c>
      <c r="AE38" s="108">
        <f t="shared" si="31"/>
        <v>1.7485719344640942</v>
      </c>
      <c r="AF38" s="58">
        <f t="shared" si="32"/>
        <v>4.4631252829956933E-4</v>
      </c>
      <c r="AG38" s="765"/>
      <c r="AH38" s="2"/>
      <c r="AY38" s="3"/>
      <c r="BA38" s="2"/>
    </row>
    <row r="39" spans="1:53" x14ac:dyDescent="0.35">
      <c r="A39" s="39">
        <v>2600</v>
      </c>
      <c r="B39" s="40">
        <f t="shared" si="21"/>
        <v>-106264.79999999993</v>
      </c>
      <c r="C39" s="41">
        <f t="shared" si="34"/>
        <v>28804.699999999953</v>
      </c>
      <c r="D39" s="65"/>
      <c r="E39" s="66"/>
      <c r="F39" s="44">
        <v>5.3006368999999998</v>
      </c>
      <c r="G39" s="50"/>
      <c r="H39" s="50"/>
      <c r="I39" s="45">
        <v>6.8721186000000004E-2</v>
      </c>
      <c r="J39" s="46">
        <f t="shared" si="22"/>
        <v>1.2964703543455316</v>
      </c>
      <c r="K39" s="47">
        <v>9.4556618400000007E-3</v>
      </c>
      <c r="L39" s="148"/>
      <c r="M39" s="148"/>
      <c r="N39" s="152">
        <f t="shared" si="26"/>
        <v>0.1783872771968214</v>
      </c>
      <c r="O39" s="48">
        <v>1.9233527299999999E-6</v>
      </c>
      <c r="P39" s="49">
        <f t="shared" si="27"/>
        <v>5.2911812381600001</v>
      </c>
      <c r="Q39" s="50">
        <v>-1.0869416300000001</v>
      </c>
      <c r="R39" s="45">
        <v>1.27216555E-2</v>
      </c>
      <c r="S39" s="46">
        <f t="shared" si="23"/>
        <v>-1.1704083410624357</v>
      </c>
      <c r="T39" s="47">
        <v>1.34147161E-2</v>
      </c>
      <c r="U39" s="152">
        <f t="shared" si="28"/>
        <v>-1.2341707898334888</v>
      </c>
      <c r="V39" s="48">
        <v>2.8779814599999999E-6</v>
      </c>
      <c r="W39" s="49">
        <f t="shared" si="24"/>
        <v>-1.1003563461000001</v>
      </c>
      <c r="X39" s="51">
        <v>0.1103</v>
      </c>
      <c r="Y39" s="52">
        <v>1.66</v>
      </c>
      <c r="Z39" s="53">
        <f t="shared" si="25"/>
        <v>2.2938035858517669E-2</v>
      </c>
      <c r="AA39" s="104">
        <v>2.2395999999999999E-2</v>
      </c>
      <c r="AB39" s="55">
        <v>9.7999999999999997E-5</v>
      </c>
      <c r="AC39" s="56">
        <f t="shared" si="29"/>
        <v>0.43757813895338454</v>
      </c>
      <c r="AD39" s="106">
        <f t="shared" si="30"/>
        <v>2.4202351246547149</v>
      </c>
      <c r="AE39" s="105">
        <f t="shared" si="31"/>
        <v>1.7167045836980535</v>
      </c>
      <c r="AF39" s="58">
        <f t="shared" si="32"/>
        <v>3.9377831299347598E-4</v>
      </c>
      <c r="AG39" s="765"/>
      <c r="AH39" s="2"/>
      <c r="AY39" s="3"/>
      <c r="BA39" s="2"/>
    </row>
    <row r="40" spans="1:53" x14ac:dyDescent="0.35">
      <c r="A40" s="39">
        <v>2700</v>
      </c>
      <c r="B40" s="40">
        <f t="shared" si="21"/>
        <v>-77460.099999999977</v>
      </c>
      <c r="C40" s="41">
        <f t="shared" si="34"/>
        <v>28804.70000000007</v>
      </c>
      <c r="D40" s="65"/>
      <c r="E40" s="66"/>
      <c r="F40" s="44">
        <v>5.9584698700000001</v>
      </c>
      <c r="G40" s="50"/>
      <c r="H40" s="50"/>
      <c r="I40" s="45">
        <v>7.00689434E-2</v>
      </c>
      <c r="J40" s="46">
        <f t="shared" si="22"/>
        <v>1.1759553195491781</v>
      </c>
      <c r="K40" s="47">
        <v>9.4537256099999998E-3</v>
      </c>
      <c r="L40" s="148"/>
      <c r="M40" s="148"/>
      <c r="N40" s="152">
        <f t="shared" si="26"/>
        <v>0.1586602905822867</v>
      </c>
      <c r="O40" s="48">
        <v>2.6459119100000002E-6</v>
      </c>
      <c r="P40" s="49">
        <f t="shared" si="27"/>
        <v>5.9490161443899998</v>
      </c>
      <c r="Q40" s="50">
        <v>-1.2180486100000001</v>
      </c>
      <c r="R40" s="45">
        <v>1.37366269E-2</v>
      </c>
      <c r="S40" s="46">
        <f t="shared" si="23"/>
        <v>-1.1277568717064583</v>
      </c>
      <c r="T40" s="47">
        <v>1.34145037E-2</v>
      </c>
      <c r="U40" s="152">
        <f t="shared" si="28"/>
        <v>-1.101311030600002</v>
      </c>
      <c r="V40" s="48">
        <v>1.61192236E-6</v>
      </c>
      <c r="W40" s="49">
        <f t="shared" si="24"/>
        <v>-1.2314631137000001</v>
      </c>
      <c r="X40" s="51">
        <v>0.10009999999999999</v>
      </c>
      <c r="Y40" s="52">
        <v>1.64</v>
      </c>
      <c r="Z40" s="53">
        <f t="shared" si="25"/>
        <v>2.0720982207724333E-2</v>
      </c>
      <c r="AA40" s="104">
        <v>2.0250000000000001E-2</v>
      </c>
      <c r="AB40" s="55">
        <v>1E-4</v>
      </c>
      <c r="AC40" s="56">
        <f t="shared" si="29"/>
        <v>0.49382716049382713</v>
      </c>
      <c r="AD40" s="107">
        <f t="shared" si="30"/>
        <v>2.3258380628362101</v>
      </c>
      <c r="AE40" s="108">
        <f t="shared" si="31"/>
        <v>1.7127361923079094</v>
      </c>
      <c r="AF40" s="58">
        <f t="shared" si="32"/>
        <v>3.5489576167337713E-4</v>
      </c>
      <c r="AG40" s="765"/>
      <c r="AH40" s="2"/>
      <c r="AY40" s="3"/>
      <c r="BA40" s="2"/>
    </row>
    <row r="41" spans="1:53" x14ac:dyDescent="0.35">
      <c r="A41" s="39">
        <v>2800</v>
      </c>
      <c r="B41" s="40">
        <f t="shared" si="21"/>
        <v>-48655.399999999907</v>
      </c>
      <c r="C41" s="41">
        <f t="shared" si="34"/>
        <v>28804.699999999953</v>
      </c>
      <c r="D41" s="65"/>
      <c r="E41" s="66"/>
      <c r="F41" s="44">
        <v>7.0980033300000001</v>
      </c>
      <c r="G41" s="50"/>
      <c r="H41" s="50"/>
      <c r="I41" s="45">
        <v>8.2400421500000001E-2</v>
      </c>
      <c r="J41" s="46">
        <f t="shared" si="22"/>
        <v>1.1608957853222084</v>
      </c>
      <c r="K41" s="47">
        <v>9.4534881000000008E-3</v>
      </c>
      <c r="L41" s="148"/>
      <c r="M41" s="148"/>
      <c r="N41" s="152">
        <f t="shared" si="26"/>
        <v>0.13318517420306705</v>
      </c>
      <c r="O41" s="48">
        <v>1.48205326E-6</v>
      </c>
      <c r="P41" s="49">
        <f t="shared" si="27"/>
        <v>7.0885498418999999</v>
      </c>
      <c r="Q41" s="50">
        <v>-1.5388702000000001</v>
      </c>
      <c r="R41" s="45">
        <v>1.8071760499999999E-2</v>
      </c>
      <c r="S41" s="46">
        <f t="shared" si="23"/>
        <v>-1.1743524892482808</v>
      </c>
      <c r="T41" s="47">
        <v>1.3413198600000001E-2</v>
      </c>
      <c r="U41" s="152">
        <f t="shared" si="28"/>
        <v>-0.87162637888497674</v>
      </c>
      <c r="V41" s="48">
        <v>3.0679217499999998E-6</v>
      </c>
      <c r="W41" s="49">
        <f t="shared" si="24"/>
        <v>-1.5522833986</v>
      </c>
      <c r="X41" s="51">
        <v>0.10249999999999999</v>
      </c>
      <c r="Y41" s="52">
        <v>1.63</v>
      </c>
      <c r="Z41" s="53">
        <f t="shared" si="25"/>
        <v>2.2445923624041662E-2</v>
      </c>
      <c r="AA41" s="104">
        <v>2.146E-2</v>
      </c>
      <c r="AB41" s="55">
        <v>1.2999999999999999E-4</v>
      </c>
      <c r="AC41" s="56">
        <f t="shared" si="29"/>
        <v>0.60577819198508853</v>
      </c>
      <c r="AD41" s="107">
        <f t="shared" si="30"/>
        <v>4.5942386954411081</v>
      </c>
      <c r="AE41" s="108">
        <f t="shared" si="31"/>
        <v>1.738927030638354</v>
      </c>
      <c r="AF41" s="58">
        <f t="shared" si="32"/>
        <v>3.9031823317490046E-4</v>
      </c>
      <c r="AG41" s="765"/>
      <c r="AH41" s="2"/>
      <c r="AY41" s="3"/>
      <c r="BA41" s="2"/>
    </row>
    <row r="42" spans="1:53" x14ac:dyDescent="0.35">
      <c r="A42" s="39">
        <v>2900</v>
      </c>
      <c r="B42" s="40">
        <f t="shared" si="21"/>
        <v>-19850.699999999953</v>
      </c>
      <c r="C42" s="67">
        <f t="shared" si="34"/>
        <v>28804.70000000007</v>
      </c>
      <c r="D42" s="42"/>
      <c r="E42" s="43"/>
      <c r="F42" s="68">
        <v>9.7344148800000002E-2</v>
      </c>
      <c r="G42" s="73"/>
      <c r="H42" s="73"/>
      <c r="I42" s="69">
        <v>1.7896272600000001E-4</v>
      </c>
      <c r="J42" s="70">
        <f t="shared" si="22"/>
        <v>0.18384538588723068</v>
      </c>
      <c r="K42" s="71">
        <v>9.4422176699999992E-3</v>
      </c>
      <c r="L42" s="150"/>
      <c r="M42" s="150"/>
      <c r="N42" s="152">
        <f>K42*100/F42</f>
        <v>9.6998307411364397</v>
      </c>
      <c r="O42" s="72">
        <v>7.4449351400000001E-7</v>
      </c>
      <c r="P42" s="76">
        <f t="shared" si="27"/>
        <v>8.7901931129999999E-2</v>
      </c>
      <c r="Q42" s="73">
        <v>-1.13132905E-2</v>
      </c>
      <c r="R42" s="69">
        <v>8.1042936300000003E-5</v>
      </c>
      <c r="S42" s="70">
        <f t="shared" si="23"/>
        <v>-0.71635158930993603</v>
      </c>
      <c r="T42" s="71">
        <v>9.4771995500000008E-3</v>
      </c>
      <c r="U42" s="152">
        <f t="shared" si="28"/>
        <v>-83.770495860598658</v>
      </c>
      <c r="V42" s="72">
        <v>8.3534704899999996E-7</v>
      </c>
      <c r="W42" s="76">
        <f t="shared" si="24"/>
        <v>-2.0790490049999999E-2</v>
      </c>
      <c r="X42" s="74">
        <v>0.1147</v>
      </c>
      <c r="Y42" s="75">
        <v>1.64</v>
      </c>
      <c r="Z42" s="53">
        <f t="shared" si="25"/>
        <v>2.7128746525582729E-2</v>
      </c>
      <c r="AA42" s="104">
        <v>2.6179999999999998E-2</v>
      </c>
      <c r="AB42" s="55">
        <v>1.2999999999999999E-4</v>
      </c>
      <c r="AC42" s="56">
        <f t="shared" si="29"/>
        <v>0.49656226126814362</v>
      </c>
      <c r="AD42" s="107">
        <f t="shared" si="30"/>
        <v>3.623936308566579</v>
      </c>
      <c r="AE42" s="108">
        <f t="shared" si="31"/>
        <v>1.7135267956223303</v>
      </c>
      <c r="AF42" s="58">
        <f t="shared" si="32"/>
        <v>4.6485834103232202E-4</v>
      </c>
      <c r="AG42" s="765"/>
      <c r="AH42" s="2"/>
      <c r="AY42" s="3"/>
      <c r="BA42" s="2"/>
    </row>
    <row r="43" spans="1:53" x14ac:dyDescent="0.35">
      <c r="A43" s="39">
        <v>3000</v>
      </c>
      <c r="B43" s="40">
        <f t="shared" si="21"/>
        <v>8954.0000000001164</v>
      </c>
      <c r="C43" s="77">
        <f t="shared" si="34"/>
        <v>28804.699999999953</v>
      </c>
      <c r="D43" s="65"/>
      <c r="E43" s="66"/>
      <c r="F43" s="44">
        <v>0.11243209799999999</v>
      </c>
      <c r="G43" s="50"/>
      <c r="H43" s="50"/>
      <c r="I43" s="45">
        <v>8.0853965600000003E-4</v>
      </c>
      <c r="J43" s="46">
        <f t="shared" si="22"/>
        <v>0.71913596773761179</v>
      </c>
      <c r="K43" s="47">
        <v>9.4414268700000002E-3</v>
      </c>
      <c r="L43" s="148"/>
      <c r="M43" s="148"/>
      <c r="N43" s="152">
        <f t="shared" si="26"/>
        <v>8.3974479156299306</v>
      </c>
      <c r="O43" s="48">
        <v>5.0330343399999998E-7</v>
      </c>
      <c r="P43" s="49">
        <f t="shared" si="27"/>
        <v>0.10299067112999999</v>
      </c>
      <c r="Q43" s="50">
        <v>-1.55889299E-2</v>
      </c>
      <c r="R43" s="45">
        <v>1.00117132E-4</v>
      </c>
      <c r="S43" s="46">
        <f t="shared" si="23"/>
        <v>-0.642232229166673</v>
      </c>
      <c r="T43" s="47">
        <v>9.4767069599999993E-3</v>
      </c>
      <c r="U43" s="152">
        <f t="shared" si="28"/>
        <v>-60.791260341737761</v>
      </c>
      <c r="V43" s="48">
        <v>6.6195628800000001E-7</v>
      </c>
      <c r="W43" s="49">
        <f t="shared" si="24"/>
        <v>-2.5065636859999997E-2</v>
      </c>
      <c r="X43" s="51">
        <v>0.1295</v>
      </c>
      <c r="Y43" s="52">
        <v>1.63</v>
      </c>
      <c r="Z43" s="53">
        <f t="shared" si="25"/>
        <v>3.1517417429708129E-2</v>
      </c>
      <c r="AA43" s="104">
        <v>3.0630000000000001E-2</v>
      </c>
      <c r="AB43" s="55">
        <v>1.1E-4</v>
      </c>
      <c r="AC43" s="56">
        <f t="shared" si="29"/>
        <v>0.35912504080966373</v>
      </c>
      <c r="AD43" s="107">
        <f t="shared" si="30"/>
        <v>2.897216551446713</v>
      </c>
      <c r="AE43" s="108">
        <f t="shared" si="31"/>
        <v>1.6690928059687222</v>
      </c>
      <c r="AF43" s="58">
        <f t="shared" si="32"/>
        <v>5.2605494694639052E-4</v>
      </c>
      <c r="AG43" s="765"/>
      <c r="AH43" s="2"/>
      <c r="AY43" s="3"/>
      <c r="BA43" s="2"/>
    </row>
    <row r="44" spans="1:53" x14ac:dyDescent="0.35">
      <c r="A44" s="39">
        <v>3100</v>
      </c>
      <c r="B44" s="40">
        <f t="shared" si="21"/>
        <v>37758.70000000007</v>
      </c>
      <c r="C44" s="77">
        <f t="shared" si="34"/>
        <v>28804.70000000007</v>
      </c>
      <c r="D44" s="65"/>
      <c r="E44" s="66"/>
      <c r="F44" s="44">
        <v>0.119248677</v>
      </c>
      <c r="G44" s="50"/>
      <c r="H44" s="50"/>
      <c r="I44" s="45">
        <v>8.5798157199999995E-4</v>
      </c>
      <c r="J44" s="46">
        <f t="shared" si="22"/>
        <v>0.71948938435602094</v>
      </c>
      <c r="K44" s="47">
        <v>9.4416936900000008E-3</v>
      </c>
      <c r="L44" s="148"/>
      <c r="M44" s="148"/>
      <c r="N44" s="152">
        <f t="shared" si="26"/>
        <v>7.9176506838729965</v>
      </c>
      <c r="O44" s="48">
        <v>9.9523886100000006E-7</v>
      </c>
      <c r="P44" s="49">
        <f t="shared" si="27"/>
        <v>0.10980698330999999</v>
      </c>
      <c r="Q44" s="50">
        <v>-1.7302883500000001E-2</v>
      </c>
      <c r="R44" s="45">
        <v>1.00121155E-4</v>
      </c>
      <c r="S44" s="46">
        <f t="shared" si="23"/>
        <v>-0.5786385546663364</v>
      </c>
      <c r="T44" s="47">
        <v>9.4769268000000004E-3</v>
      </c>
      <c r="U44" s="152">
        <f t="shared" si="28"/>
        <v>-54.770794705980656</v>
      </c>
      <c r="V44" s="48">
        <v>2.0363079700000002E-6</v>
      </c>
      <c r="W44" s="49">
        <f t="shared" si="24"/>
        <v>-2.6779810300000002E-2</v>
      </c>
      <c r="X44" s="51">
        <v>0.13750000000000001</v>
      </c>
      <c r="Y44" s="52">
        <v>1.63</v>
      </c>
      <c r="Z44" s="53">
        <f t="shared" si="25"/>
        <v>3.3533604195778548E-2</v>
      </c>
      <c r="AA44" s="104">
        <v>3.2731999999999997E-2</v>
      </c>
      <c r="AB44" s="55">
        <v>9.5000000000000005E-5</v>
      </c>
      <c r="AC44" s="56">
        <f t="shared" si="29"/>
        <v>0.29023585482097031</v>
      </c>
      <c r="AD44" s="107">
        <f t="shared" si="30"/>
        <v>2.4489924104196219</v>
      </c>
      <c r="AE44" s="108">
        <f t="shared" si="31"/>
        <v>1.6556378986431963</v>
      </c>
      <c r="AF44" s="58">
        <f t="shared" si="32"/>
        <v>5.5519505984631473E-4</v>
      </c>
      <c r="AG44" s="765"/>
      <c r="AH44" s="2"/>
      <c r="AY44" s="3"/>
      <c r="BA44" s="2"/>
    </row>
    <row r="45" spans="1:53" x14ac:dyDescent="0.35">
      <c r="A45" s="39">
        <v>3200</v>
      </c>
      <c r="B45" s="40">
        <f t="shared" si="21"/>
        <v>66563.40000000014</v>
      </c>
      <c r="C45" s="41">
        <f t="shared" si="34"/>
        <v>28804.699999999953</v>
      </c>
      <c r="D45" s="65"/>
      <c r="E45" s="66"/>
      <c r="F45" s="44">
        <v>0.121850825</v>
      </c>
      <c r="G45" s="50"/>
      <c r="H45" s="50"/>
      <c r="I45" s="45">
        <v>8.9381867600000001E-4</v>
      </c>
      <c r="J45" s="46">
        <f t="shared" si="22"/>
        <v>0.73353518615897761</v>
      </c>
      <c r="K45" s="47">
        <v>9.4415375399999994E-3</v>
      </c>
      <c r="L45" s="148"/>
      <c r="M45" s="148"/>
      <c r="N45" s="152">
        <f t="shared" si="26"/>
        <v>7.748439569448955</v>
      </c>
      <c r="O45" s="48">
        <v>6.4525908700000002E-7</v>
      </c>
      <c r="P45" s="49">
        <f t="shared" si="27"/>
        <v>0.11240928745999999</v>
      </c>
      <c r="Q45" s="50">
        <v>-1.7760920900000001E-2</v>
      </c>
      <c r="R45" s="45">
        <v>1.36059483E-4</v>
      </c>
      <c r="S45" s="46">
        <f t="shared" si="23"/>
        <v>-0.76606097040835308</v>
      </c>
      <c r="T45" s="47">
        <v>9.4766413500000004E-3</v>
      </c>
      <c r="U45" s="152">
        <f t="shared" si="28"/>
        <v>-53.356700383705892</v>
      </c>
      <c r="V45" s="48">
        <v>2.2458099900000002E-6</v>
      </c>
      <c r="W45" s="49">
        <f t="shared" si="24"/>
        <v>-2.723756225E-2</v>
      </c>
      <c r="X45" s="51">
        <v>0.14219999999999999</v>
      </c>
      <c r="Y45" s="52">
        <v>1.63</v>
      </c>
      <c r="Z45" s="53">
        <f t="shared" si="25"/>
        <v>3.4456061767389481E-2</v>
      </c>
      <c r="AA45" s="104">
        <v>3.3631000000000001E-2</v>
      </c>
      <c r="AB45" s="55">
        <v>9.6000000000000002E-5</v>
      </c>
      <c r="AC45" s="56">
        <f t="shared" si="29"/>
        <v>0.28545092325532995</v>
      </c>
      <c r="AD45" s="106">
        <f t="shared" si="30"/>
        <v>2.453277533791681</v>
      </c>
      <c r="AE45" s="105">
        <f t="shared" si="31"/>
        <v>1.6548057981489308</v>
      </c>
      <c r="AF45" s="58">
        <f t="shared" si="32"/>
        <v>5.7018090794053807E-4</v>
      </c>
      <c r="AG45" s="765"/>
      <c r="AH45" s="2"/>
      <c r="AY45" s="3"/>
      <c r="BA45" s="2"/>
    </row>
    <row r="46" spans="1:53" x14ac:dyDescent="0.35">
      <c r="A46" s="39">
        <v>3300</v>
      </c>
      <c r="B46" s="40">
        <f t="shared" si="21"/>
        <v>95368.100000000093</v>
      </c>
      <c r="C46" s="41">
        <f t="shared" si="34"/>
        <v>28804.699999999953</v>
      </c>
      <c r="D46" s="65"/>
      <c r="E46" s="66"/>
      <c r="F46" s="44">
        <v>0.124485874</v>
      </c>
      <c r="G46" s="50"/>
      <c r="H46" s="50"/>
      <c r="I46" s="45">
        <v>9.0240045499999995E-4</v>
      </c>
      <c r="J46" s="46">
        <f t="shared" si="22"/>
        <v>0.72490189127804161</v>
      </c>
      <c r="K46" s="47">
        <v>9.4406428300000001E-3</v>
      </c>
      <c r="L46" s="148"/>
      <c r="M46" s="148"/>
      <c r="N46" s="152">
        <f t="shared" si="26"/>
        <v>7.5837061078914063</v>
      </c>
      <c r="O46" s="48">
        <v>8.9040389500000003E-7</v>
      </c>
      <c r="P46" s="49">
        <f t="shared" si="27"/>
        <v>0.11504523117</v>
      </c>
      <c r="Q46" s="50">
        <v>-1.8207791500000001E-2</v>
      </c>
      <c r="R46" s="45">
        <v>1.3093529400000001E-4</v>
      </c>
      <c r="S46" s="46">
        <f t="shared" si="23"/>
        <v>-0.71911683522957748</v>
      </c>
      <c r="T46" s="47">
        <v>9.4771622399999998E-3</v>
      </c>
      <c r="U46" s="152">
        <f t="shared" si="28"/>
        <v>-52.050037150304583</v>
      </c>
      <c r="V46" s="48">
        <v>2.1083406099999999E-6</v>
      </c>
      <c r="W46" s="49">
        <f t="shared" si="24"/>
        <v>-2.7684953740000001E-2</v>
      </c>
      <c r="X46" s="51">
        <v>0.14549999999999999</v>
      </c>
      <c r="Y46" s="52">
        <v>1.63</v>
      </c>
      <c r="Z46" s="53">
        <f t="shared" si="25"/>
        <v>3.5013713547306174E-2</v>
      </c>
      <c r="AA46" s="104">
        <v>3.4394000000000001E-2</v>
      </c>
      <c r="AB46" s="55">
        <v>8.8999999999999995E-5</v>
      </c>
      <c r="AC46" s="56">
        <f t="shared" si="29"/>
        <v>0.25876606384834561</v>
      </c>
      <c r="AD46" s="106">
        <f t="shared" si="30"/>
        <v>1.8018071387630792</v>
      </c>
      <c r="AE46" s="105">
        <f t="shared" si="31"/>
        <v>1.6504120321300271</v>
      </c>
      <c r="AF46" s="58">
        <f t="shared" si="32"/>
        <v>5.778705412802825E-4</v>
      </c>
      <c r="AG46" s="765"/>
      <c r="AH46" s="2"/>
      <c r="AY46" s="3"/>
      <c r="BA46" s="2"/>
    </row>
    <row r="47" spans="1:53" x14ac:dyDescent="0.35">
      <c r="A47" s="39">
        <v>3400</v>
      </c>
      <c r="B47" s="40">
        <f t="shared" si="21"/>
        <v>124172.80000000005</v>
      </c>
      <c r="C47" s="41">
        <f t="shared" si="34"/>
        <v>28804.70000000007</v>
      </c>
      <c r="D47" s="65"/>
      <c r="E47" s="66"/>
      <c r="F47" s="44">
        <v>0.125326781</v>
      </c>
      <c r="G47" s="50"/>
      <c r="H47" s="50"/>
      <c r="I47" s="45">
        <v>9.3843629399999998E-4</v>
      </c>
      <c r="J47" s="46">
        <f t="shared" si="22"/>
        <v>0.74879150849649612</v>
      </c>
      <c r="K47" s="47">
        <v>9.4399457299999996E-3</v>
      </c>
      <c r="L47" s="148"/>
      <c r="M47" s="148"/>
      <c r="N47" s="152">
        <f t="shared" si="26"/>
        <v>7.5322653743097421</v>
      </c>
      <c r="O47" s="48">
        <v>1.6009190500000001E-6</v>
      </c>
      <c r="P47" s="49">
        <f t="shared" si="27"/>
        <v>0.11588683527</v>
      </c>
      <c r="Q47" s="50">
        <v>-1.8776147199999999E-2</v>
      </c>
      <c r="R47" s="45">
        <v>1.3857655000000001E-4</v>
      </c>
      <c r="S47" s="46">
        <f t="shared" si="23"/>
        <v>-0.73804571578987199</v>
      </c>
      <c r="T47" s="47">
        <v>9.4768300299999993E-3</v>
      </c>
      <c r="U47" s="152">
        <f t="shared" si="28"/>
        <v>-50.472708426572197</v>
      </c>
      <c r="V47" s="48">
        <v>1.28591959E-6</v>
      </c>
      <c r="W47" s="49">
        <f t="shared" si="24"/>
        <v>-2.8252977229999997E-2</v>
      </c>
      <c r="X47" s="51">
        <v>0.14779999999999999</v>
      </c>
      <c r="Y47" s="52">
        <v>1.63</v>
      </c>
      <c r="Z47" s="53">
        <f t="shared" si="25"/>
        <v>3.6033342569628347E-2</v>
      </c>
      <c r="AA47" s="104">
        <v>3.5340000000000003E-2</v>
      </c>
      <c r="AB47" s="55">
        <v>9.0000000000000006E-5</v>
      </c>
      <c r="AC47" s="56">
        <f t="shared" si="29"/>
        <v>0.25466893039049238</v>
      </c>
      <c r="AD47" s="106">
        <f t="shared" si="30"/>
        <v>1.9619201177938428</v>
      </c>
      <c r="AE47" s="105">
        <f t="shared" si="31"/>
        <v>1.6497746100926143</v>
      </c>
      <c r="AF47" s="58">
        <f t="shared" si="32"/>
        <v>5.9446893688142207E-4</v>
      </c>
      <c r="AG47" s="765"/>
      <c r="AH47" s="2"/>
      <c r="AY47" s="3"/>
      <c r="BA47" s="2"/>
    </row>
    <row r="48" spans="1:53" x14ac:dyDescent="0.35">
      <c r="A48" s="39">
        <v>3500</v>
      </c>
      <c r="B48" s="40">
        <f t="shared" si="21"/>
        <v>152977.50000000012</v>
      </c>
      <c r="C48" s="41">
        <f t="shared" si="34"/>
        <v>28804.699999999953</v>
      </c>
      <c r="D48" s="65"/>
      <c r="E48" s="66"/>
      <c r="F48" s="44">
        <v>0.123032815</v>
      </c>
      <c r="G48" s="50"/>
      <c r="H48" s="50"/>
      <c r="I48" s="45">
        <v>9.0974236500000001E-4</v>
      </c>
      <c r="J48" s="46">
        <f t="shared" si="22"/>
        <v>0.73943066733862828</v>
      </c>
      <c r="K48" s="47">
        <v>9.4391782000000004E-3</v>
      </c>
      <c r="L48" s="148"/>
      <c r="M48" s="148"/>
      <c r="N48" s="152">
        <f t="shared" si="26"/>
        <v>7.6720817937881041</v>
      </c>
      <c r="O48" s="48">
        <v>2.7644352400000001E-6</v>
      </c>
      <c r="P48" s="49">
        <f t="shared" si="27"/>
        <v>0.11359363680000001</v>
      </c>
      <c r="Q48" s="50">
        <v>-1.8518507399999998E-2</v>
      </c>
      <c r="R48" s="45">
        <v>1.0927738599999999E-4</v>
      </c>
      <c r="S48" s="46">
        <f t="shared" si="23"/>
        <v>-0.59009823869498246</v>
      </c>
      <c r="T48" s="47">
        <v>9.4771413000000002E-3</v>
      </c>
      <c r="U48" s="152">
        <f t="shared" si="28"/>
        <v>-51.176593746426889</v>
      </c>
      <c r="V48" s="48">
        <v>6.1237763600000004E-7</v>
      </c>
      <c r="W48" s="49">
        <f t="shared" si="24"/>
        <v>-2.79956487E-2</v>
      </c>
      <c r="X48" s="51">
        <v>0.14810000000000001</v>
      </c>
      <c r="Y48" s="52">
        <v>1.63</v>
      </c>
      <c r="Z48" s="53">
        <f t="shared" si="25"/>
        <v>3.6499892857290751E-2</v>
      </c>
      <c r="AA48" s="104">
        <v>3.5982E-2</v>
      </c>
      <c r="AB48" s="55">
        <v>9.2E-5</v>
      </c>
      <c r="AC48" s="56">
        <f t="shared" si="29"/>
        <v>0.25568339725418265</v>
      </c>
      <c r="AD48" s="106">
        <f t="shared" si="30"/>
        <v>1.4393109257149441</v>
      </c>
      <c r="AE48" s="105">
        <f t="shared" si="31"/>
        <v>1.6499315136185015</v>
      </c>
      <c r="AF48" s="58">
        <f t="shared" si="32"/>
        <v>6.0222323468942863E-4</v>
      </c>
      <c r="AG48" s="765"/>
      <c r="AH48" s="2"/>
      <c r="AY48" s="3"/>
      <c r="BA48" s="2"/>
    </row>
    <row r="49" spans="1:53" x14ac:dyDescent="0.35">
      <c r="A49" s="39">
        <v>3600</v>
      </c>
      <c r="B49" s="40">
        <f t="shared" si="21"/>
        <v>181782.20000000007</v>
      </c>
      <c r="C49" s="41">
        <f t="shared" si="34"/>
        <v>28804.70000000007</v>
      </c>
      <c r="D49" s="65"/>
      <c r="E49" s="66"/>
      <c r="F49" s="44">
        <v>0.11723389400000001</v>
      </c>
      <c r="G49" s="50"/>
      <c r="H49" s="50"/>
      <c r="I49" s="45">
        <v>8.6722899E-4</v>
      </c>
      <c r="J49" s="46">
        <f t="shared" si="22"/>
        <v>0.73974254408029816</v>
      </c>
      <c r="K49" s="47">
        <v>9.4401998099999992E-3</v>
      </c>
      <c r="L49" s="148"/>
      <c r="M49" s="148"/>
      <c r="N49" s="152">
        <f t="shared" si="26"/>
        <v>8.0524492430491126</v>
      </c>
      <c r="O49" s="48">
        <v>1.01475196E-6</v>
      </c>
      <c r="P49" s="49">
        <f t="shared" si="27"/>
        <v>0.10779369419000001</v>
      </c>
      <c r="Q49" s="50">
        <v>-1.7911418700000001E-2</v>
      </c>
      <c r="R49" s="45">
        <v>1.12349551E-4</v>
      </c>
      <c r="S49" s="46">
        <f t="shared" si="23"/>
        <v>-0.62725098933676304</v>
      </c>
      <c r="T49" s="47">
        <v>9.47633841E-3</v>
      </c>
      <c r="U49" s="152">
        <f t="shared" si="28"/>
        <v>-52.906688011262894</v>
      </c>
      <c r="V49" s="48">
        <v>1.38086591E-6</v>
      </c>
      <c r="W49" s="49">
        <f t="shared" si="24"/>
        <v>-2.7387757110000001E-2</v>
      </c>
      <c r="X49" s="51">
        <v>0.1447</v>
      </c>
      <c r="Y49" s="52">
        <v>1.63</v>
      </c>
      <c r="Z49" s="53">
        <f t="shared" si="25"/>
        <v>3.6764752183292809E-2</v>
      </c>
      <c r="AA49" s="104">
        <v>3.585E-2</v>
      </c>
      <c r="AB49" s="55">
        <v>1E-4</v>
      </c>
      <c r="AC49" s="56">
        <f t="shared" si="29"/>
        <v>0.2789400278940028</v>
      </c>
      <c r="AD49" s="106">
        <f t="shared" si="30"/>
        <v>2.5516099952379618</v>
      </c>
      <c r="AE49" s="105">
        <f t="shared" si="31"/>
        <v>1.6536951167496101</v>
      </c>
      <c r="AF49" s="58">
        <f t="shared" si="32"/>
        <v>6.0797691154020886E-4</v>
      </c>
      <c r="AG49" s="765"/>
      <c r="AH49" s="2"/>
      <c r="AY49" s="3"/>
      <c r="BA49" s="2"/>
    </row>
    <row r="50" spans="1:53" x14ac:dyDescent="0.35">
      <c r="A50" s="39">
        <v>3700</v>
      </c>
      <c r="B50" s="40">
        <f t="shared" si="21"/>
        <v>210586.90000000014</v>
      </c>
      <c r="C50" s="41">
        <f t="shared" si="34"/>
        <v>28804.699999999953</v>
      </c>
      <c r="D50" s="65"/>
      <c r="E50" s="66"/>
      <c r="F50" s="44">
        <v>0.114930962</v>
      </c>
      <c r="G50" s="50"/>
      <c r="H50" s="50"/>
      <c r="I50" s="45">
        <v>8.8684243799999998E-4</v>
      </c>
      <c r="J50" s="46">
        <f t="shared" si="22"/>
        <v>0.77163057070730856</v>
      </c>
      <c r="K50" s="47">
        <v>9.4408560899999997E-3</v>
      </c>
      <c r="L50" s="148"/>
      <c r="M50" s="148"/>
      <c r="N50" s="152">
        <f t="shared" si="26"/>
        <v>8.2143714154241572</v>
      </c>
      <c r="O50" s="48">
        <v>8.6600104200000002E-7</v>
      </c>
      <c r="P50" s="49">
        <f t="shared" si="27"/>
        <v>0.10549010590999999</v>
      </c>
      <c r="Q50" s="50">
        <v>-2.2676620000000001E-2</v>
      </c>
      <c r="R50" s="45">
        <v>1.52591514E-4</v>
      </c>
      <c r="S50" s="46">
        <f t="shared" si="23"/>
        <v>-0.6729023725758071</v>
      </c>
      <c r="T50" s="47">
        <v>9.4773058000000004E-3</v>
      </c>
      <c r="U50" s="152">
        <f t="shared" si="28"/>
        <v>-41.793291063659396</v>
      </c>
      <c r="V50" s="48">
        <v>2.9884554699999999E-6</v>
      </c>
      <c r="W50" s="49">
        <f t="shared" si="24"/>
        <v>-3.2153925800000004E-2</v>
      </c>
      <c r="X50" s="51">
        <v>0.1449</v>
      </c>
      <c r="Y50" s="52">
        <v>1.33</v>
      </c>
      <c r="Z50" s="53">
        <f t="shared" si="25"/>
        <v>4.4166263823784239E-2</v>
      </c>
      <c r="AA50" s="104">
        <v>4.1169999999999998E-2</v>
      </c>
      <c r="AB50" s="55">
        <v>2.5999999999999998E-4</v>
      </c>
      <c r="AC50" s="56">
        <f t="shared" si="29"/>
        <v>0.63152781151323778</v>
      </c>
      <c r="AD50" s="57">
        <f t="shared" si="30"/>
        <v>7.2777843667336448</v>
      </c>
      <c r="AE50" s="56">
        <f t="shared" si="31"/>
        <v>1.47232040558932</v>
      </c>
      <c r="AF50" s="58">
        <f t="shared" si="32"/>
        <v>6.5026891466398926E-4</v>
      </c>
      <c r="AG50" s="765"/>
      <c r="AH50" s="2"/>
      <c r="AY50" s="3"/>
      <c r="BA50" s="2"/>
    </row>
    <row r="51" spans="1:53" x14ac:dyDescent="0.35">
      <c r="A51" s="39">
        <v>3800</v>
      </c>
      <c r="B51" s="40">
        <f t="shared" si="21"/>
        <v>239391.60000000009</v>
      </c>
      <c r="C51" s="41">
        <f t="shared" si="34"/>
        <v>28804.699999999953</v>
      </c>
      <c r="D51" s="65"/>
      <c r="E51" s="66"/>
      <c r="F51" s="44">
        <v>0.121121298</v>
      </c>
      <c r="G51" s="50"/>
      <c r="H51" s="50"/>
      <c r="I51" s="45">
        <v>9.2592245499999995E-4</v>
      </c>
      <c r="J51" s="46">
        <f t="shared" si="22"/>
        <v>0.76445882787682795</v>
      </c>
      <c r="K51" s="47">
        <v>9.4410801800000003E-3</v>
      </c>
      <c r="L51" s="148"/>
      <c r="M51" s="148"/>
      <c r="N51" s="152">
        <f t="shared" si="26"/>
        <v>7.7947316746886246</v>
      </c>
      <c r="O51" s="48">
        <v>1.0572638899999999E-6</v>
      </c>
      <c r="P51" s="49">
        <f t="shared" si="27"/>
        <v>0.11168021782</v>
      </c>
      <c r="Q51" s="50">
        <v>-3.6417588799999998E-2</v>
      </c>
      <c r="R51" s="45">
        <v>2.5360108799999997E-4</v>
      </c>
      <c r="S51" s="46">
        <f t="shared" si="23"/>
        <v>-0.69636979370803365</v>
      </c>
      <c r="T51" s="47">
        <v>9.4775010699999999E-3</v>
      </c>
      <c r="U51" s="152">
        <f t="shared" si="28"/>
        <v>-26.024515576934625</v>
      </c>
      <c r="V51" s="48">
        <v>2.91766788E-6</v>
      </c>
      <c r="W51" s="49">
        <f t="shared" si="24"/>
        <v>-4.5895089869999996E-2</v>
      </c>
      <c r="X51" s="51">
        <v>0.15670000000000001</v>
      </c>
      <c r="Y51" s="52">
        <v>0.79</v>
      </c>
      <c r="Z51" s="53">
        <f t="shared" si="25"/>
        <v>6.4396011424514607E-2</v>
      </c>
      <c r="AA51" s="104">
        <v>6.0400000000000002E-2</v>
      </c>
      <c r="AB51" s="55">
        <v>4.2000000000000002E-4</v>
      </c>
      <c r="AC51" s="56">
        <f t="shared" si="29"/>
        <v>0.69536423841059603</v>
      </c>
      <c r="AD51" s="57">
        <f t="shared" si="30"/>
        <v>6.6159129544943784</v>
      </c>
      <c r="AE51" s="56">
        <f t="shared" si="31"/>
        <v>1.0524406985955779</v>
      </c>
      <c r="AF51" s="58">
        <f t="shared" si="32"/>
        <v>6.7772983250384967E-4</v>
      </c>
      <c r="AG51" s="765"/>
      <c r="AH51" s="2"/>
      <c r="AY51" s="3"/>
      <c r="BA51" s="2"/>
    </row>
    <row r="52" spans="1:53" x14ac:dyDescent="0.35">
      <c r="A52" s="39">
        <v>3900</v>
      </c>
      <c r="B52" s="40">
        <f t="shared" si="21"/>
        <v>268196.30000000005</v>
      </c>
      <c r="C52" s="67">
        <f t="shared" si="34"/>
        <v>28804.699999999953</v>
      </c>
      <c r="D52" s="42"/>
      <c r="E52" s="43"/>
      <c r="F52" s="68">
        <v>0.12618294599999999</v>
      </c>
      <c r="G52" s="73"/>
      <c r="H52" s="73"/>
      <c r="I52" s="69">
        <v>9.7661279900000003E-4</v>
      </c>
      <c r="J52" s="70">
        <f t="shared" si="22"/>
        <v>0.77396576158556341</v>
      </c>
      <c r="K52" s="71">
        <v>9.4411527799999999E-3</v>
      </c>
      <c r="L52" s="150"/>
      <c r="M52" s="150"/>
      <c r="N52" s="152">
        <f t="shared" si="26"/>
        <v>7.4821147225394471</v>
      </c>
      <c r="O52" s="72">
        <v>8.09295148E-7</v>
      </c>
      <c r="P52" s="78">
        <f t="shared" si="27"/>
        <v>0.11674179321999999</v>
      </c>
      <c r="Q52" s="73">
        <v>-4.7999230599999998E-2</v>
      </c>
      <c r="R52" s="69">
        <v>3.3086978299999998E-4</v>
      </c>
      <c r="S52" s="70">
        <f t="shared" si="23"/>
        <v>-0.68932309719147877</v>
      </c>
      <c r="T52" s="71">
        <v>9.4785129300000003E-3</v>
      </c>
      <c r="U52" s="152">
        <f t="shared" si="28"/>
        <v>-19.747218468956042</v>
      </c>
      <c r="V52" s="72">
        <v>2.7065631799999999E-6</v>
      </c>
      <c r="W52" s="78">
        <f t="shared" si="24"/>
        <v>-5.747774353E-2</v>
      </c>
      <c r="X52" s="74">
        <v>0.1691</v>
      </c>
      <c r="Y52" s="75">
        <v>0.65</v>
      </c>
      <c r="Z52" s="53">
        <f t="shared" si="25"/>
        <v>8.3256271493162878E-2</v>
      </c>
      <c r="AA52" s="104">
        <v>8.0509999999999998E-2</v>
      </c>
      <c r="AB52" s="55">
        <v>3.6000000000000002E-4</v>
      </c>
      <c r="AC52" s="56">
        <f t="shared" si="29"/>
        <v>0.44714942243199607</v>
      </c>
      <c r="AD52" s="57">
        <f t="shared" si="30"/>
        <v>3.4110936444701032</v>
      </c>
      <c r="AE52" s="56">
        <f t="shared" si="31"/>
        <v>0.78895031908306357</v>
      </c>
      <c r="AF52" s="58">
        <f t="shared" si="32"/>
        <v>6.5685061960197016E-4</v>
      </c>
      <c r="AG52" s="765"/>
      <c r="AH52" s="2"/>
      <c r="AY52" s="3"/>
      <c r="BA52" s="2"/>
    </row>
    <row r="53" spans="1:53" ht="15" thickBot="1" x14ac:dyDescent="0.4">
      <c r="A53" s="79">
        <v>4000</v>
      </c>
      <c r="B53" s="80">
        <f t="shared" si="21"/>
        <v>297001</v>
      </c>
      <c r="C53" s="81" t="e">
        <f>#REF!-B53</f>
        <v>#REF!</v>
      </c>
      <c r="D53" s="82" t="s">
        <v>30</v>
      </c>
      <c r="E53" s="83"/>
      <c r="F53" s="84">
        <v>0.127051149</v>
      </c>
      <c r="G53" s="90"/>
      <c r="H53" s="90"/>
      <c r="I53" s="85">
        <v>9.33703496E-4</v>
      </c>
      <c r="J53" s="86">
        <f t="shared" si="22"/>
        <v>0.73490362216244098</v>
      </c>
      <c r="K53" s="87">
        <v>9.4411953399999998E-3</v>
      </c>
      <c r="L53" s="151"/>
      <c r="M53" s="151"/>
      <c r="N53" s="152">
        <f t="shared" si="26"/>
        <v>7.4310192503650629</v>
      </c>
      <c r="O53" s="88">
        <v>8.4997747000000003E-7</v>
      </c>
      <c r="P53" s="89">
        <f t="shared" si="27"/>
        <v>0.11760995366</v>
      </c>
      <c r="Q53" s="90">
        <v>-5.4426722199999999E-2</v>
      </c>
      <c r="R53" s="85">
        <v>3.35358083E-4</v>
      </c>
      <c r="S53" s="86">
        <f t="shared" si="23"/>
        <v>-0.61616439396749112</v>
      </c>
      <c r="T53" s="87">
        <v>9.4777681000000006E-3</v>
      </c>
      <c r="U53" s="152">
        <f t="shared" si="28"/>
        <v>-17.413813871010589</v>
      </c>
      <c r="V53" s="88">
        <v>2.72952654E-6</v>
      </c>
      <c r="W53" s="89">
        <f t="shared" si="24"/>
        <v>-6.3904490300000005E-2</v>
      </c>
      <c r="X53" s="91">
        <v>0.17979999999999999</v>
      </c>
      <c r="Y53" s="92">
        <v>0.49</v>
      </c>
      <c r="Z53" s="93">
        <f t="shared" si="25"/>
        <v>9.7696045261242551E-2</v>
      </c>
      <c r="AA53" s="109">
        <v>9.5990000000000006E-2</v>
      </c>
      <c r="AB53" s="95">
        <v>3.2000000000000003E-4</v>
      </c>
      <c r="AC53" s="96">
        <f t="shared" si="29"/>
        <v>0.33336805917283047</v>
      </c>
      <c r="AD53" s="97">
        <f t="shared" si="30"/>
        <v>1.777315617504474</v>
      </c>
      <c r="AE53" s="96">
        <f t="shared" si="31"/>
        <v>0.59265020279812586</v>
      </c>
      <c r="AF53" s="98">
        <f t="shared" si="32"/>
        <v>5.7899581036650286E-4</v>
      </c>
      <c r="AG53" s="766"/>
      <c r="AH53" s="2"/>
      <c r="AY53" s="3"/>
      <c r="BA53" s="2"/>
    </row>
    <row r="54" spans="1:53" x14ac:dyDescent="0.35">
      <c r="B54" s="2"/>
      <c r="Z54" s="2"/>
      <c r="AA54" s="2"/>
      <c r="AB54" s="2"/>
      <c r="AC54" s="2"/>
      <c r="AD54" s="2"/>
      <c r="AE54" s="2"/>
      <c r="AF54" s="2"/>
      <c r="AG54" s="2"/>
      <c r="AH54" s="2"/>
      <c r="BA54" s="2"/>
    </row>
    <row r="55" spans="1:53" ht="15.5" x14ac:dyDescent="0.35">
      <c r="B55" s="2"/>
      <c r="K55" s="15" t="s">
        <v>33</v>
      </c>
      <c r="Q55" s="110" t="s">
        <v>34</v>
      </c>
      <c r="R55" s="110" t="s">
        <v>35</v>
      </c>
      <c r="S55" s="111" t="s">
        <v>36</v>
      </c>
      <c r="Z55" s="2"/>
      <c r="AA55" s="2"/>
      <c r="AB55" s="2"/>
      <c r="AC55" s="2"/>
      <c r="AD55" s="2"/>
      <c r="AE55" s="2"/>
      <c r="AF55" s="2"/>
      <c r="AG55" s="2"/>
      <c r="AH55" s="2"/>
      <c r="BA55" s="2"/>
    </row>
    <row r="56" spans="1:53" ht="18.5" x14ac:dyDescent="0.35">
      <c r="B56" s="2"/>
      <c r="K56" s="18">
        <v>288.04700000000003</v>
      </c>
      <c r="L56" s="18"/>
      <c r="M56" s="18"/>
      <c r="N56" s="18"/>
      <c r="P56" s="2">
        <f>K56*6330-K57</f>
        <v>968150.51000000024</v>
      </c>
      <c r="Q56" s="112"/>
      <c r="R56" s="113">
        <v>9050</v>
      </c>
      <c r="S56" s="114">
        <f>R56*K56-K57</f>
        <v>1751638.35</v>
      </c>
      <c r="Z56" s="2"/>
      <c r="AA56" s="2"/>
      <c r="AB56" s="2"/>
      <c r="AC56" s="2"/>
      <c r="AD56" s="2"/>
      <c r="AE56" s="2"/>
      <c r="AF56" s="2"/>
      <c r="AG56" s="2"/>
      <c r="AH56" s="2"/>
      <c r="BA56" s="2"/>
    </row>
    <row r="57" spans="1:53" x14ac:dyDescent="0.35">
      <c r="B57" s="2"/>
      <c r="K57" s="115">
        <v>855187</v>
      </c>
      <c r="L57" s="115"/>
      <c r="M57" s="115"/>
      <c r="N57" s="115"/>
      <c r="Z57" s="2"/>
      <c r="AA57" s="2"/>
      <c r="AB57" s="2"/>
      <c r="AC57" s="2"/>
      <c r="AD57" s="2"/>
      <c r="AE57" s="2"/>
      <c r="AF57" s="2"/>
      <c r="AG57" s="2"/>
      <c r="AH57" s="2"/>
      <c r="BA57" s="2"/>
    </row>
    <row r="58" spans="1:53" x14ac:dyDescent="0.35">
      <c r="B58" s="2"/>
      <c r="I58" s="2">
        <v>2000</v>
      </c>
      <c r="J58" s="2">
        <f>I58*$K$56-$K$57</f>
        <v>-279093</v>
      </c>
      <c r="K58" s="99">
        <v>5500</v>
      </c>
      <c r="L58" s="99"/>
      <c r="M58" s="99"/>
      <c r="N58" s="99"/>
      <c r="O58" s="99">
        <f t="shared" ref="O58:O63" si="35">K58*$K$56-$K$57</f>
        <v>729071.50000000023</v>
      </c>
      <c r="P58" s="99">
        <f>O58-O60</f>
        <v>288047.00000000023</v>
      </c>
      <c r="Z58" s="2"/>
      <c r="AA58" s="2"/>
      <c r="AB58" s="2"/>
      <c r="AC58" s="2"/>
      <c r="AD58" s="2"/>
      <c r="AE58" s="2"/>
      <c r="AF58" s="2"/>
      <c r="AG58" s="2"/>
      <c r="AH58" s="2"/>
      <c r="BA58" s="2"/>
    </row>
    <row r="59" spans="1:53" x14ac:dyDescent="0.35">
      <c r="B59" s="2"/>
      <c r="E59" s="100">
        <v>6970</v>
      </c>
      <c r="I59" s="2">
        <v>2500</v>
      </c>
      <c r="J59" s="2">
        <f>I59*$K$56-$K$57</f>
        <v>-135069.49999999988</v>
      </c>
      <c r="K59" s="99">
        <v>5000</v>
      </c>
      <c r="L59" s="99"/>
      <c r="M59" s="99"/>
      <c r="N59" s="99"/>
      <c r="O59" s="99">
        <f t="shared" si="35"/>
        <v>585048.00000000023</v>
      </c>
      <c r="Z59" s="2"/>
      <c r="AA59" s="2"/>
      <c r="AB59" s="2"/>
      <c r="AC59" s="2"/>
      <c r="AD59" s="2"/>
      <c r="AE59" s="2"/>
      <c r="AF59" s="2"/>
      <c r="AG59" s="2"/>
      <c r="AH59" s="2"/>
      <c r="BA59" s="2"/>
    </row>
    <row r="60" spans="1:53" x14ac:dyDescent="0.35">
      <c r="B60" s="2"/>
      <c r="K60" s="99">
        <v>4500</v>
      </c>
      <c r="L60" s="99"/>
      <c r="M60" s="99"/>
      <c r="N60" s="99"/>
      <c r="O60" s="99">
        <f t="shared" si="35"/>
        <v>441024.5</v>
      </c>
      <c r="P60" s="99">
        <f>O60-O61</f>
        <v>288046.99999999988</v>
      </c>
      <c r="Z60" s="2"/>
      <c r="AA60" s="2"/>
      <c r="AB60" s="2"/>
      <c r="AC60" s="2"/>
      <c r="AD60" s="2"/>
      <c r="AE60" s="2"/>
      <c r="AF60" s="2"/>
      <c r="AG60" s="2"/>
      <c r="AH60" s="2"/>
      <c r="BA60" s="2"/>
    </row>
    <row r="61" spans="1:53" x14ac:dyDescent="0.35">
      <c r="B61" s="2"/>
      <c r="K61" s="99">
        <v>3500</v>
      </c>
      <c r="L61" s="99"/>
      <c r="M61" s="99"/>
      <c r="N61" s="99"/>
      <c r="O61" s="99">
        <f t="shared" si="35"/>
        <v>152977.50000000012</v>
      </c>
      <c r="Z61" s="2"/>
      <c r="AA61" s="2"/>
      <c r="AB61" s="2"/>
      <c r="AC61" s="2"/>
      <c r="AD61" s="2"/>
      <c r="AE61" s="2"/>
      <c r="AF61" s="2"/>
      <c r="AG61" s="2"/>
      <c r="AH61" s="2"/>
      <c r="BA61" s="2"/>
    </row>
    <row r="62" spans="1:53" x14ac:dyDescent="0.35">
      <c r="B62" s="2"/>
      <c r="E62" s="100">
        <v>9658</v>
      </c>
      <c r="I62" s="2">
        <f>J58-J59</f>
        <v>-144023.50000000012</v>
      </c>
      <c r="J62" s="2" t="s">
        <v>30</v>
      </c>
      <c r="K62" s="99">
        <f>E62-40</f>
        <v>9618</v>
      </c>
      <c r="L62" s="99"/>
      <c r="M62" s="99"/>
      <c r="N62" s="99"/>
      <c r="O62" s="99">
        <f t="shared" si="35"/>
        <v>1915249.0460000001</v>
      </c>
      <c r="Z62" s="2"/>
      <c r="AA62" s="2"/>
      <c r="AB62" s="2"/>
      <c r="AC62" s="2"/>
      <c r="AD62" s="2"/>
      <c r="AE62" s="2"/>
      <c r="AF62" s="2"/>
      <c r="AG62" s="2"/>
      <c r="AH62" s="2"/>
      <c r="BA62" s="2"/>
    </row>
    <row r="63" spans="1:53" x14ac:dyDescent="0.35">
      <c r="B63" s="2"/>
      <c r="K63" s="99">
        <f>E62+40</f>
        <v>9698</v>
      </c>
      <c r="L63" s="99"/>
      <c r="M63" s="99"/>
      <c r="N63" s="99"/>
      <c r="O63" s="99">
        <f t="shared" si="35"/>
        <v>1938292.8060000003</v>
      </c>
      <c r="Z63" s="2"/>
      <c r="AA63" s="2"/>
      <c r="AB63" s="2"/>
      <c r="AC63" s="2"/>
      <c r="AD63" s="2"/>
      <c r="AE63" s="2"/>
      <c r="AF63" s="2"/>
      <c r="AG63" s="2"/>
      <c r="AH63" s="2"/>
    </row>
    <row r="64" spans="1:53" x14ac:dyDescent="0.35">
      <c r="B64" s="2"/>
      <c r="Z64" s="2"/>
      <c r="AA64" s="2"/>
      <c r="AB64" s="2"/>
      <c r="AC64" s="2"/>
      <c r="AD64" s="2"/>
      <c r="AE64" s="2"/>
      <c r="AF64" s="2"/>
      <c r="AG64" s="2"/>
      <c r="AH64" s="2"/>
    </row>
  </sheetData>
  <mergeCells count="61">
    <mergeCell ref="AK2:AK6"/>
    <mergeCell ref="AG7:AG27"/>
    <mergeCell ref="D9:E9"/>
    <mergeCell ref="AD1:AD5"/>
    <mergeCell ref="AE1:AE5"/>
    <mergeCell ref="AG1:AG5"/>
    <mergeCell ref="D3:E3"/>
    <mergeCell ref="Q3:W3"/>
    <mergeCell ref="F3:P3"/>
    <mergeCell ref="D4:D5"/>
    <mergeCell ref="E4:E5"/>
    <mergeCell ref="F4:J4"/>
    <mergeCell ref="K4:P4"/>
    <mergeCell ref="Q4:S4"/>
    <mergeCell ref="T4:W4"/>
    <mergeCell ref="X1:X5"/>
    <mergeCell ref="AC29:AC31"/>
    <mergeCell ref="A29:A31"/>
    <mergeCell ref="B29:B31"/>
    <mergeCell ref="C29:C31"/>
    <mergeCell ref="D29:E29"/>
    <mergeCell ref="F29:P29"/>
    <mergeCell ref="Q29:W29"/>
    <mergeCell ref="AG33:AG53"/>
    <mergeCell ref="D35:E35"/>
    <mergeCell ref="AD29:AD31"/>
    <mergeCell ref="AE29:AE31"/>
    <mergeCell ref="AG29:AG31"/>
    <mergeCell ref="D30:D31"/>
    <mergeCell ref="E30:E31"/>
    <mergeCell ref="F30:J30"/>
    <mergeCell ref="K30:P30"/>
    <mergeCell ref="Q30:S30"/>
    <mergeCell ref="T30:W30"/>
    <mergeCell ref="X29:X31"/>
    <mergeCell ref="Y29:Y31"/>
    <mergeCell ref="Z29:Z31"/>
    <mergeCell ref="AA29:AA31"/>
    <mergeCell ref="AB29:AB31"/>
    <mergeCell ref="A32:C32"/>
    <mergeCell ref="F32:J32"/>
    <mergeCell ref="Q32:S32"/>
    <mergeCell ref="D33:E33"/>
    <mergeCell ref="A6:C6"/>
    <mergeCell ref="F6:J6"/>
    <mergeCell ref="Q6:S6"/>
    <mergeCell ref="D7:E7"/>
    <mergeCell ref="AH1:AH5"/>
    <mergeCell ref="A1:A5"/>
    <mergeCell ref="B1:B5"/>
    <mergeCell ref="C1:C5"/>
    <mergeCell ref="D2:E2"/>
    <mergeCell ref="F2:K2"/>
    <mergeCell ref="Z1:Z5"/>
    <mergeCell ref="AA1:AA5"/>
    <mergeCell ref="AB1:AB5"/>
    <mergeCell ref="AC1:AC5"/>
    <mergeCell ref="D1:E1"/>
    <mergeCell ref="F1:P1"/>
    <mergeCell ref="Q1:W1"/>
    <mergeCell ref="Y1:Y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7133C-2A39-4C02-8D7F-0CF13A48FBDB}">
  <dimension ref="A7:B12"/>
  <sheetViews>
    <sheetView workbookViewId="0">
      <selection activeCell="B7" sqref="B7"/>
    </sheetView>
  </sheetViews>
  <sheetFormatPr defaultRowHeight="14.5" x14ac:dyDescent="0.35"/>
  <sheetData>
    <row r="7" spans="1:2" x14ac:dyDescent="0.35">
      <c r="A7" t="s">
        <v>292</v>
      </c>
      <c r="B7">
        <v>6.61706182</v>
      </c>
    </row>
    <row r="8" spans="1:2" x14ac:dyDescent="0.35">
      <c r="A8" t="s">
        <v>293</v>
      </c>
      <c r="B8">
        <v>5.9999999999999995E-4</v>
      </c>
    </row>
    <row r="9" spans="1:2" x14ac:dyDescent="0.35">
      <c r="A9" s="271" t="s">
        <v>294</v>
      </c>
      <c r="B9">
        <v>2.0000000000000002E-5</v>
      </c>
    </row>
    <row r="10" spans="1:2" x14ac:dyDescent="0.35">
      <c r="A10" s="271" t="s">
        <v>295</v>
      </c>
      <c r="B10">
        <v>2.0000000000000002E-5</v>
      </c>
    </row>
    <row r="11" spans="1:2" x14ac:dyDescent="0.35">
      <c r="A11" s="271" t="s">
        <v>85</v>
      </c>
      <c r="B11" s="272">
        <f>(B7-B8)/SQRT(SUMSQ(B9,B10))</f>
        <v>233927.25101919429</v>
      </c>
    </row>
    <row r="12" spans="1:2" x14ac:dyDescent="0.35">
      <c r="A12" s="271" t="s">
        <v>278</v>
      </c>
      <c r="B12" s="273">
        <f>1*100/B11</f>
        <v>4.2748332895937275E-4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C2EC7730FFA14386CA2BFA946C6B6D" ma:contentTypeVersion="16" ma:contentTypeDescription="Create a new document." ma:contentTypeScope="" ma:versionID="cb224a3c322877fa7fd84aa2321eab64">
  <xsd:schema xmlns:xsd="http://www.w3.org/2001/XMLSchema" xmlns:xs="http://www.w3.org/2001/XMLSchema" xmlns:p="http://schemas.microsoft.com/office/2006/metadata/properties" xmlns:ns2="fa26c5a3-a88d-4b32-866a-f49592dbdacd" xmlns:ns3="b3bb28de-e8e2-475d-a59f-f896f40b632f" targetNamespace="http://schemas.microsoft.com/office/2006/metadata/properties" ma:root="true" ma:fieldsID="6e7ae0302d891ce0d39886dc0127cd76" ns2:_="" ns3:_="">
    <xsd:import namespace="fa26c5a3-a88d-4b32-866a-f49592dbdacd"/>
    <xsd:import namespace="b3bb28de-e8e2-475d-a59f-f896f40b6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6c5a3-a88d-4b32-866a-f49592dbd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a08de8c-21c0-4d44-a8d6-d49cbc5eaf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b28de-e8e2-475d-a59f-f896f40b63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f064c5-fb15-41b1-b8fd-6a0c06d53c97}" ma:internalName="TaxCatchAll" ma:showField="CatchAllData" ma:web="b3bb28de-e8e2-475d-a59f-f896f40b6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6c5a3-a88d-4b32-866a-f49592dbdacd">
      <Terms xmlns="http://schemas.microsoft.com/office/infopath/2007/PartnerControls"/>
    </lcf76f155ced4ddcb4097134ff3c332f>
    <TaxCatchAll xmlns="b3bb28de-e8e2-475d-a59f-f896f40b632f" xsi:nil="true"/>
  </documentManagement>
</p:properties>
</file>

<file path=customXml/itemProps1.xml><?xml version="1.0" encoding="utf-8"?>
<ds:datastoreItem xmlns:ds="http://schemas.openxmlformats.org/officeDocument/2006/customXml" ds:itemID="{037F77C2-4626-457E-958B-EBE57E0E8D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DF7A37-DA90-40F2-8641-854FA1B96D2B}"/>
</file>

<file path=customXml/itemProps3.xml><?xml version="1.0" encoding="utf-8"?>
<ds:datastoreItem xmlns:ds="http://schemas.openxmlformats.org/officeDocument/2006/customXml" ds:itemID="{223923F2-10A7-4022-9FF3-182D8F8A9C78}">
  <ds:schemaRefs>
    <ds:schemaRef ds:uri="http://purl.org/dc/elements/1.1/"/>
    <ds:schemaRef ds:uri="fa26c5a3-a88d-4b32-866a-f49592dbdacd"/>
    <ds:schemaRef ds:uri="b3bb28de-e8e2-475d-a59f-f896f40b632f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Response calculation</vt:lpstr>
      <vt:lpstr>Uncertainty calc</vt:lpstr>
      <vt:lpstr>Temp coeff</vt:lpstr>
      <vt:lpstr>Wavelength Uc</vt:lpstr>
      <vt:lpstr>Source stability</vt:lpstr>
      <vt:lpstr>DVM</vt:lpstr>
      <vt:lpstr>Drift is STD</vt:lpstr>
      <vt:lpstr>RAW</vt:lpstr>
      <vt:lpstr>S_N ratio</vt:lpstr>
      <vt:lpstr>Sheet1</vt:lpstr>
      <vt:lpstr>Uncertainty calcCOPYMSc</vt:lpstr>
      <vt:lpstr>MScTables</vt:lpstr>
      <vt:lpstr>'Uncertainty calc'!Print_Area</vt:lpstr>
      <vt:lpstr>'Uncertainty calcCOPYMSc'!Print_Area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Irma Rabe</dc:creator>
  <cp:keywords/>
  <dc:description/>
  <cp:lastModifiedBy>Irma Rabe</cp:lastModifiedBy>
  <cp:revision/>
  <dcterms:created xsi:type="dcterms:W3CDTF">2015-06-05T18:17:20Z</dcterms:created>
  <dcterms:modified xsi:type="dcterms:W3CDTF">2021-09-04T13:27:44Z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0x01010059C2EC7730FFA14386CA2BFA946C6B6D</vt:lpwstr>
  </property>
</Properties>
</file>