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misaorg.sharepoint.com/sites/pr/Shared Documents/PROJECT PLANNING/Maintenance of NMS for RA SR/Spectral response/600 to 1 100 nm/ORW-522.RA Cal/Absolute/"/>
    </mc:Choice>
  </mc:AlternateContent>
  <xr:revisionPtr revIDLastSave="334" documentId="13_ncr:1_{C054EEA6-05D2-4346-A202-3057F8C9E4E2}" xr6:coauthVersionLast="47" xr6:coauthVersionMax="47" xr10:uidLastSave="{77710825-F422-49F7-AD5B-03BC8DF16068}"/>
  <bookViews>
    <workbookView xWindow="28680" yWindow="-120" windowWidth="29040" windowHeight="15840" activeTab="1" xr2:uid="{00000000-000D-0000-FFFF-FFFF00000000}"/>
  </bookViews>
  <sheets>
    <sheet name="5 Sep" sheetId="1" r:id="rId1"/>
    <sheet name="6 Sep" sheetId="2" r:id="rId2"/>
    <sheet name="7 Sep" sheetId="3" r:id="rId3"/>
    <sheet name="10 Sep" sheetId="4" r:id="rId4"/>
    <sheet name="13 Sep" sheetId="5" r:id="rId5"/>
    <sheet name="14 Sep" sheetId="6" r:id="rId6"/>
    <sheet name="22 Nov" sheetId="8" r:id="rId7"/>
    <sheet name="7 Jan 2019" sheetId="12" r:id="rId8"/>
    <sheet name="16 - 21 Jan 2019" sheetId="13" r:id="rId9"/>
    <sheet name="Averaged data" sheetId="11" r:id="rId10"/>
    <sheet name="13 Dec" sheetId="10" r:id="rId11"/>
    <sheet name="Sheet3" sheetId="9" r:id="rId12"/>
  </sheets>
  <externalReferences>
    <externalReference r:id="rId13"/>
  </externalReferences>
  <definedNames>
    <definedName name="_xlnm.Print_Area" localSheetId="4">'13 Sep'!#REF!</definedName>
    <definedName name="_xlnm.Print_Area" localSheetId="1">'6 Sep'!$A$1:$U$47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2" l="1"/>
  <c r="AC31" i="5"/>
  <c r="AD50" i="5"/>
  <c r="AD31" i="5"/>
  <c r="O8" i="2"/>
  <c r="O7" i="2"/>
  <c r="N48" i="2"/>
  <c r="AD46" i="5"/>
  <c r="V30" i="5" l="1"/>
  <c r="AB46" i="5"/>
  <c r="AC46" i="5"/>
  <c r="R8" i="2" l="1"/>
  <c r="R7" i="2" l="1"/>
  <c r="O48" i="2"/>
  <c r="T18" i="2" l="1"/>
  <c r="S18" i="2"/>
  <c r="O18" i="2"/>
  <c r="N7" i="2"/>
  <c r="N8" i="2"/>
  <c r="L6" i="2"/>
  <c r="N9" i="2"/>
  <c r="L8" i="2"/>
  <c r="N6" i="2"/>
  <c r="L7" i="2"/>
  <c r="M57" i="2" l="1"/>
  <c r="G31" i="5"/>
  <c r="M16" i="5"/>
  <c r="E15" i="13" l="1"/>
  <c r="E16" i="13"/>
  <c r="E17" i="13"/>
  <c r="E25" i="13" s="1"/>
  <c r="E26" i="13" s="1"/>
  <c r="E18" i="13"/>
  <c r="E24" i="13" s="1"/>
  <c r="D45" i="13" s="1"/>
  <c r="E19" i="13"/>
  <c r="E20" i="13"/>
  <c r="E21" i="13"/>
  <c r="E22" i="13"/>
  <c r="E23" i="13"/>
  <c r="E14" i="13"/>
  <c r="C24" i="13"/>
  <c r="S61" i="13"/>
  <c r="R48" i="13" l="1"/>
  <c r="E33" i="13" l="1"/>
  <c r="E32" i="13"/>
  <c r="L37" i="13"/>
  <c r="S161" i="13" l="1"/>
  <c r="S162" i="13" s="1"/>
  <c r="S156" i="13"/>
  <c r="S157" i="13" s="1"/>
  <c r="L165" i="13"/>
  <c r="L164" i="13"/>
  <c r="L163" i="13"/>
  <c r="L162" i="13"/>
  <c r="L155" i="13"/>
  <c r="L154" i="13"/>
  <c r="L153" i="13"/>
  <c r="L152" i="13"/>
  <c r="L141" i="13"/>
  <c r="L142" i="13"/>
  <c r="L144" i="13" s="1"/>
  <c r="L143" i="13"/>
  <c r="L140" i="13"/>
  <c r="L131" i="13"/>
  <c r="L132" i="13"/>
  <c r="L134" i="13" s="1"/>
  <c r="L133" i="13"/>
  <c r="L130" i="13"/>
  <c r="S138" i="13"/>
  <c r="S139" i="13" s="1"/>
  <c r="S133" i="13"/>
  <c r="S134" i="13" s="1"/>
  <c r="L109" i="13"/>
  <c r="L110" i="13"/>
  <c r="L111" i="13"/>
  <c r="L119" i="13"/>
  <c r="L120" i="13"/>
  <c r="L121" i="13"/>
  <c r="L118" i="13"/>
  <c r="L108" i="13"/>
  <c r="S116" i="13"/>
  <c r="S117" i="13" s="1"/>
  <c r="S111" i="13"/>
  <c r="S112" i="13" s="1"/>
  <c r="L87" i="13"/>
  <c r="L88" i="13"/>
  <c r="L89" i="13"/>
  <c r="L97" i="13"/>
  <c r="L98" i="13"/>
  <c r="L99" i="13"/>
  <c r="S92" i="13"/>
  <c r="S93" i="13" s="1"/>
  <c r="S87" i="13"/>
  <c r="S88" i="13" s="1"/>
  <c r="L122" i="13" l="1"/>
  <c r="L156" i="13"/>
  <c r="L166" i="13"/>
  <c r="L112" i="13"/>
  <c r="L96" i="13"/>
  <c r="L100" i="13" s="1"/>
  <c r="L86" i="13"/>
  <c r="L90" i="13" s="1"/>
  <c r="L65" i="13"/>
  <c r="L66" i="13"/>
  <c r="L67" i="13"/>
  <c r="L75" i="13"/>
  <c r="L76" i="13"/>
  <c r="L77" i="13"/>
  <c r="L74" i="13"/>
  <c r="L64" i="13"/>
  <c r="N42" i="13"/>
  <c r="L36" i="13"/>
  <c r="L32" i="13"/>
  <c r="L31" i="13"/>
  <c r="N32" i="13" s="1"/>
  <c r="N33" i="13" s="1"/>
  <c r="N34" i="13" s="1"/>
  <c r="C29" i="13"/>
  <c r="L68" i="13" l="1"/>
  <c r="N67" i="13" s="1"/>
  <c r="N68" i="13" s="1"/>
  <c r="N69" i="13" s="1"/>
  <c r="L78" i="13"/>
  <c r="L38" i="13"/>
  <c r="L33" i="13"/>
  <c r="C6" i="12"/>
  <c r="H26" i="12"/>
  <c r="I26" i="12" s="1"/>
  <c r="N45" i="13" l="1"/>
  <c r="N46" i="13" s="1"/>
  <c r="N47" i="13" s="1"/>
  <c r="N48" i="13" s="1"/>
  <c r="I81" i="13" s="1"/>
  <c r="N38" i="13"/>
  <c r="L39" i="13"/>
  <c r="L40" i="12"/>
  <c r="L44" i="12" s="1"/>
  <c r="L30" i="12"/>
  <c r="L34" i="12" s="1"/>
  <c r="D20" i="12"/>
  <c r="N17" i="12" s="1"/>
  <c r="L13" i="12"/>
  <c r="L14" i="12" s="1"/>
  <c r="L16" i="12" s="1"/>
  <c r="L9" i="12"/>
  <c r="L8" i="12"/>
  <c r="L10" i="12" l="1"/>
  <c r="N10" i="12" s="1"/>
  <c r="N39" i="13"/>
  <c r="O43" i="13"/>
  <c r="L40" i="13"/>
  <c r="L41" i="13"/>
  <c r="L125" i="13"/>
  <c r="L103" i="13"/>
  <c r="L81" i="13"/>
  <c r="L147" i="13"/>
  <c r="L169" i="13"/>
  <c r="O119" i="13"/>
  <c r="H147" i="13"/>
  <c r="N179" i="13" s="1"/>
  <c r="O164" i="13"/>
  <c r="O141" i="13"/>
  <c r="H125" i="13"/>
  <c r="N178" i="13" s="1"/>
  <c r="H169" i="13"/>
  <c r="N176" i="13" s="1"/>
  <c r="O95" i="13"/>
  <c r="H103" i="13"/>
  <c r="N177" i="13" s="1"/>
  <c r="H81" i="13"/>
  <c r="N16" i="12"/>
  <c r="N20" i="12" l="1"/>
  <c r="N21" i="12" s="1"/>
  <c r="N22" i="12" s="1"/>
  <c r="L47" i="12" s="1"/>
  <c r="N40" i="13"/>
  <c r="P41" i="13"/>
  <c r="S41" i="13" s="1"/>
  <c r="P42" i="13"/>
  <c r="N175" i="13"/>
  <c r="N81" i="13"/>
  <c r="N41" i="13"/>
  <c r="O41" i="13"/>
  <c r="N182" i="13"/>
  <c r="L57" i="8"/>
  <c r="L47" i="8"/>
  <c r="L51" i="8" s="1"/>
  <c r="L61" i="8"/>
  <c r="N43" i="13" l="1"/>
  <c r="O46" i="13"/>
  <c r="O47" i="13" s="1"/>
  <c r="D37" i="8"/>
  <c r="N34" i="8" l="1"/>
  <c r="L26" i="8"/>
  <c r="L30" i="8"/>
  <c r="L31" i="8" s="1"/>
  <c r="L33" i="8" s="1"/>
  <c r="H34" i="8" s="1"/>
  <c r="L27" i="8"/>
  <c r="N37" i="8" s="1"/>
  <c r="N38" i="8" s="1"/>
  <c r="N39" i="8" s="1"/>
  <c r="N64" i="8" s="1"/>
  <c r="O64" i="8" s="1"/>
  <c r="L25" i="8"/>
  <c r="B4" i="11" l="1"/>
  <c r="C4" i="11"/>
  <c r="D4" i="11"/>
  <c r="F4" i="11"/>
  <c r="H4" i="11" s="1"/>
  <c r="P4" i="11" s="1"/>
  <c r="G4" i="11"/>
  <c r="K4" i="11"/>
  <c r="O4" i="11"/>
  <c r="B5" i="11"/>
  <c r="C5" i="11"/>
  <c r="D5" i="11"/>
  <c r="G5" i="11"/>
  <c r="K5" i="11"/>
  <c r="O5" i="11"/>
  <c r="B6" i="11"/>
  <c r="C6" i="11"/>
  <c r="D6" i="11"/>
  <c r="F6" i="11" s="1"/>
  <c r="H6" i="11" s="1"/>
  <c r="P6" i="11" s="1"/>
  <c r="G6" i="11"/>
  <c r="K6" i="11"/>
  <c r="O6" i="11"/>
  <c r="B7" i="11"/>
  <c r="C7" i="11"/>
  <c r="D7" i="11"/>
  <c r="G7" i="11"/>
  <c r="K7" i="11"/>
  <c r="O7" i="11"/>
  <c r="B8" i="11"/>
  <c r="C8" i="11"/>
  <c r="D8" i="11"/>
  <c r="G8" i="11"/>
  <c r="K8" i="11"/>
  <c r="O8" i="11"/>
  <c r="B9" i="11"/>
  <c r="C9" i="11"/>
  <c r="D9" i="11"/>
  <c r="G9" i="11"/>
  <c r="K9" i="11"/>
  <c r="O9" i="11"/>
  <c r="B10" i="11"/>
  <c r="C10" i="11"/>
  <c r="D10" i="11"/>
  <c r="G10" i="11"/>
  <c r="K10" i="11"/>
  <c r="O10" i="11"/>
  <c r="B11" i="11"/>
  <c r="C11" i="11"/>
  <c r="D11" i="11"/>
  <c r="G11" i="11"/>
  <c r="K11" i="11"/>
  <c r="O11" i="11"/>
  <c r="B12" i="11"/>
  <c r="C12" i="11"/>
  <c r="F12" i="11" s="1"/>
  <c r="H12" i="11" s="1"/>
  <c r="P12" i="11" s="1"/>
  <c r="D12" i="11"/>
  <c r="G12" i="11"/>
  <c r="K12" i="11"/>
  <c r="O12" i="11"/>
  <c r="B13" i="11"/>
  <c r="C13" i="11"/>
  <c r="D13" i="11"/>
  <c r="G13" i="11"/>
  <c r="K13" i="11"/>
  <c r="O13" i="11"/>
  <c r="B14" i="11"/>
  <c r="C14" i="11"/>
  <c r="F14" i="11" s="1"/>
  <c r="H14" i="11" s="1"/>
  <c r="P14" i="11" s="1"/>
  <c r="D14" i="11"/>
  <c r="G14" i="11"/>
  <c r="K14" i="11"/>
  <c r="O14" i="11"/>
  <c r="B15" i="11"/>
  <c r="C15" i="11"/>
  <c r="D15" i="11"/>
  <c r="G15" i="11"/>
  <c r="K15" i="11"/>
  <c r="O15" i="11"/>
  <c r="B16" i="11"/>
  <c r="C16" i="11"/>
  <c r="D16" i="11"/>
  <c r="G16" i="11"/>
  <c r="K16" i="11"/>
  <c r="O16" i="11"/>
  <c r="B17" i="11"/>
  <c r="C17" i="11"/>
  <c r="D17" i="11"/>
  <c r="G17" i="11"/>
  <c r="K17" i="11"/>
  <c r="O17" i="11"/>
  <c r="B18" i="11"/>
  <c r="C18" i="11"/>
  <c r="D18" i="11"/>
  <c r="G18" i="11"/>
  <c r="K18" i="11"/>
  <c r="O18" i="11"/>
  <c r="B19" i="11"/>
  <c r="C19" i="11"/>
  <c r="D19" i="11"/>
  <c r="G19" i="11"/>
  <c r="K19" i="11"/>
  <c r="O19" i="11"/>
  <c r="B20" i="11"/>
  <c r="F20" i="11" s="1"/>
  <c r="H20" i="11" s="1"/>
  <c r="P20" i="11" s="1"/>
  <c r="C20" i="11"/>
  <c r="D20" i="11"/>
  <c r="G20" i="11"/>
  <c r="K20" i="11"/>
  <c r="O20" i="11"/>
  <c r="B21" i="11"/>
  <c r="C21" i="11"/>
  <c r="D21" i="11"/>
  <c r="G21" i="11"/>
  <c r="K21" i="11"/>
  <c r="O21" i="11"/>
  <c r="B22" i="11"/>
  <c r="C22" i="11"/>
  <c r="F22" i="11" s="1"/>
  <c r="H22" i="11" s="1"/>
  <c r="P22" i="11" s="1"/>
  <c r="D22" i="11"/>
  <c r="G22" i="11"/>
  <c r="K22" i="11"/>
  <c r="O22" i="11"/>
  <c r="B23" i="11"/>
  <c r="C23" i="11"/>
  <c r="D23" i="11"/>
  <c r="G23" i="11"/>
  <c r="K23" i="11"/>
  <c r="O23" i="11"/>
  <c r="B24" i="11"/>
  <c r="C24" i="11"/>
  <c r="D24" i="11"/>
  <c r="G24" i="11"/>
  <c r="K24" i="11"/>
  <c r="O24" i="11"/>
  <c r="B25" i="11"/>
  <c r="C25" i="11"/>
  <c r="D25" i="11"/>
  <c r="G25" i="11"/>
  <c r="K25" i="11"/>
  <c r="O25" i="11"/>
  <c r="B26" i="11"/>
  <c r="C26" i="11"/>
  <c r="D26" i="11"/>
  <c r="G26" i="11"/>
  <c r="K26" i="11"/>
  <c r="O26" i="11"/>
  <c r="B27" i="11"/>
  <c r="C27" i="11"/>
  <c r="D27" i="11"/>
  <c r="G27" i="11"/>
  <c r="K27" i="11"/>
  <c r="O27" i="11"/>
  <c r="B28" i="11"/>
  <c r="F28" i="11" s="1"/>
  <c r="H28" i="11" s="1"/>
  <c r="P28" i="11" s="1"/>
  <c r="C28" i="11"/>
  <c r="D28" i="11"/>
  <c r="G28" i="11"/>
  <c r="K28" i="11"/>
  <c r="O28" i="11"/>
  <c r="B29" i="11"/>
  <c r="C29" i="11"/>
  <c r="D29" i="11"/>
  <c r="G29" i="11"/>
  <c r="K29" i="11"/>
  <c r="O29" i="11"/>
  <c r="B30" i="11"/>
  <c r="F30" i="11" s="1"/>
  <c r="H30" i="11" s="1"/>
  <c r="P30" i="11" s="1"/>
  <c r="C30" i="11"/>
  <c r="D30" i="11"/>
  <c r="G30" i="11"/>
  <c r="K30" i="11"/>
  <c r="O30" i="11"/>
  <c r="B31" i="11"/>
  <c r="C31" i="11"/>
  <c r="D31" i="11"/>
  <c r="G31" i="11"/>
  <c r="K31" i="11"/>
  <c r="O31" i="11"/>
  <c r="B32" i="11"/>
  <c r="F32" i="11" s="1"/>
  <c r="H32" i="11" s="1"/>
  <c r="P32" i="11" s="1"/>
  <c r="C32" i="11"/>
  <c r="D32" i="11"/>
  <c r="G32" i="11"/>
  <c r="K32" i="11"/>
  <c r="O32" i="11"/>
  <c r="B33" i="11"/>
  <c r="C33" i="11"/>
  <c r="D33" i="11"/>
  <c r="G33" i="11"/>
  <c r="K33" i="11"/>
  <c r="O33" i="11"/>
  <c r="B34" i="11"/>
  <c r="F34" i="11" s="1"/>
  <c r="H34" i="11" s="1"/>
  <c r="P34" i="11" s="1"/>
  <c r="C34" i="11"/>
  <c r="D34" i="11"/>
  <c r="G34" i="11"/>
  <c r="K34" i="11"/>
  <c r="O34" i="11"/>
  <c r="B35" i="11"/>
  <c r="C35" i="11"/>
  <c r="D35" i="11"/>
  <c r="G35" i="11"/>
  <c r="K35" i="11"/>
  <c r="O35" i="11"/>
  <c r="B36" i="11"/>
  <c r="F36" i="11" s="1"/>
  <c r="H36" i="11" s="1"/>
  <c r="P36" i="11" s="1"/>
  <c r="C36" i="11"/>
  <c r="D36" i="11"/>
  <c r="G36" i="11"/>
  <c r="K36" i="11"/>
  <c r="O36" i="11"/>
  <c r="B37" i="11"/>
  <c r="C37" i="11"/>
  <c r="D37" i="11"/>
  <c r="G37" i="11"/>
  <c r="K37" i="11"/>
  <c r="O37" i="11"/>
  <c r="B38" i="11"/>
  <c r="C38" i="11"/>
  <c r="D38" i="11"/>
  <c r="G38" i="11"/>
  <c r="K38" i="11"/>
  <c r="O38" i="11"/>
  <c r="B39" i="11"/>
  <c r="C39" i="11"/>
  <c r="D39" i="11"/>
  <c r="E39" i="11"/>
  <c r="G39" i="11"/>
  <c r="K39" i="11"/>
  <c r="O39" i="11"/>
  <c r="B40" i="11"/>
  <c r="C40" i="11"/>
  <c r="D40" i="11"/>
  <c r="E40" i="11"/>
  <c r="G40" i="11"/>
  <c r="K40" i="11"/>
  <c r="O40" i="11"/>
  <c r="B41" i="11"/>
  <c r="C41" i="11"/>
  <c r="D41" i="11"/>
  <c r="E41" i="11"/>
  <c r="G41" i="11"/>
  <c r="K41" i="11"/>
  <c r="O41" i="11"/>
  <c r="B42" i="11"/>
  <c r="C42" i="11"/>
  <c r="D42" i="11"/>
  <c r="E42" i="11"/>
  <c r="G42" i="11"/>
  <c r="K42" i="11"/>
  <c r="O42" i="11"/>
  <c r="B43" i="11"/>
  <c r="C43" i="11"/>
  <c r="D43" i="11"/>
  <c r="E43" i="11"/>
  <c r="G43" i="11"/>
  <c r="K43" i="11"/>
  <c r="O43" i="11"/>
  <c r="B44" i="11"/>
  <c r="C44" i="11"/>
  <c r="D44" i="11"/>
  <c r="E44" i="11"/>
  <c r="G44" i="11"/>
  <c r="K44" i="11"/>
  <c r="O44" i="11"/>
  <c r="B45" i="11"/>
  <c r="D45" i="11"/>
  <c r="E45" i="11"/>
  <c r="G45" i="11"/>
  <c r="O45" i="11"/>
  <c r="B46" i="11"/>
  <c r="D46" i="11"/>
  <c r="E46" i="11"/>
  <c r="G46" i="11"/>
  <c r="O46" i="11"/>
  <c r="B47" i="11"/>
  <c r="D47" i="11"/>
  <c r="E47" i="11"/>
  <c r="G47" i="11"/>
  <c r="O47" i="11"/>
  <c r="B48" i="11"/>
  <c r="D48" i="11"/>
  <c r="E48" i="11"/>
  <c r="G48" i="11"/>
  <c r="O48" i="11"/>
  <c r="B49" i="11"/>
  <c r="D49" i="11"/>
  <c r="E49" i="11"/>
  <c r="G49" i="11"/>
  <c r="O49" i="11"/>
  <c r="B50" i="11"/>
  <c r="D50" i="11"/>
  <c r="E50" i="11"/>
  <c r="G50" i="11"/>
  <c r="O50" i="11"/>
  <c r="B51" i="11"/>
  <c r="F51" i="11" s="1"/>
  <c r="H51" i="11" s="1"/>
  <c r="P51" i="11" s="1"/>
  <c r="D51" i="11"/>
  <c r="E51" i="11"/>
  <c r="G51" i="11"/>
  <c r="O51" i="11"/>
  <c r="B52" i="11"/>
  <c r="D52" i="11"/>
  <c r="E52" i="11"/>
  <c r="G52" i="11"/>
  <c r="O52" i="11"/>
  <c r="B53" i="11"/>
  <c r="D53" i="11"/>
  <c r="F53" i="11" s="1"/>
  <c r="E53" i="11"/>
  <c r="G53" i="11"/>
  <c r="O53" i="11"/>
  <c r="D54" i="11"/>
  <c r="E54" i="11"/>
  <c r="G54" i="11"/>
  <c r="O54" i="11"/>
  <c r="G55" i="11"/>
  <c r="H55" i="11" s="1"/>
  <c r="B56" i="11"/>
  <c r="F56" i="11" s="1"/>
  <c r="G56" i="11"/>
  <c r="F47" i="11" l="1"/>
  <c r="H47" i="11" s="1"/>
  <c r="P47" i="11" s="1"/>
  <c r="F26" i="11"/>
  <c r="H26" i="11" s="1"/>
  <c r="P26" i="11" s="1"/>
  <c r="F24" i="11"/>
  <c r="H24" i="11" s="1"/>
  <c r="P24" i="11" s="1"/>
  <c r="H56" i="11"/>
  <c r="F50" i="11"/>
  <c r="H50" i="11" s="1"/>
  <c r="P50" i="11" s="1"/>
  <c r="F38" i="11"/>
  <c r="H38" i="11" s="1"/>
  <c r="P38" i="11" s="1"/>
  <c r="F18" i="11"/>
  <c r="H18" i="11" s="1"/>
  <c r="P18" i="11" s="1"/>
  <c r="F16" i="11"/>
  <c r="H16" i="11" s="1"/>
  <c r="P16" i="11" s="1"/>
  <c r="F49" i="11"/>
  <c r="H49" i="11" s="1"/>
  <c r="P49" i="11" s="1"/>
  <c r="F45" i="11"/>
  <c r="H45" i="11" s="1"/>
  <c r="P45" i="11" s="1"/>
  <c r="F42" i="11"/>
  <c r="H42" i="11" s="1"/>
  <c r="P42" i="11" s="1"/>
  <c r="F10" i="11"/>
  <c r="H10" i="11" s="1"/>
  <c r="P10" i="11" s="1"/>
  <c r="F8" i="11"/>
  <c r="H8" i="11" s="1"/>
  <c r="P8" i="11" s="1"/>
  <c r="F11" i="11"/>
  <c r="H11" i="11" s="1"/>
  <c r="F52" i="11"/>
  <c r="H52" i="11" s="1"/>
  <c r="P52" i="11" s="1"/>
  <c r="F43" i="11"/>
  <c r="H43" i="11" s="1"/>
  <c r="P43" i="11" s="1"/>
  <c r="F9" i="11"/>
  <c r="H9" i="11" s="1"/>
  <c r="H53" i="11"/>
  <c r="P53" i="11" s="1"/>
  <c r="F54" i="11"/>
  <c r="H54" i="11" s="1"/>
  <c r="P54" i="11" s="1"/>
  <c r="F46" i="11"/>
  <c r="H46" i="11" s="1"/>
  <c r="P46" i="11" s="1"/>
  <c r="F41" i="11"/>
  <c r="H41" i="11" s="1"/>
  <c r="F39" i="11"/>
  <c r="H39" i="11" s="1"/>
  <c r="P39" i="11" s="1"/>
  <c r="F7" i="11"/>
  <c r="H7" i="11" s="1"/>
  <c r="P7" i="11" s="1"/>
  <c r="F48" i="11"/>
  <c r="H48" i="11" s="1"/>
  <c r="P48" i="11" s="1"/>
  <c r="F5" i="11"/>
  <c r="H5" i="11" s="1"/>
  <c r="L9" i="11"/>
  <c r="P9" i="11"/>
  <c r="L7" i="11"/>
  <c r="L11" i="11"/>
  <c r="P11" i="11"/>
  <c r="L5" i="11"/>
  <c r="P5" i="11"/>
  <c r="L38" i="11"/>
  <c r="L36" i="11"/>
  <c r="L34" i="11"/>
  <c r="L32" i="11"/>
  <c r="L30" i="11"/>
  <c r="L28" i="11"/>
  <c r="L26" i="11"/>
  <c r="L24" i="11"/>
  <c r="L22" i="11"/>
  <c r="L20" i="11"/>
  <c r="L18" i="11"/>
  <c r="L14" i="11"/>
  <c r="L12" i="11"/>
  <c r="L8" i="11"/>
  <c r="L6" i="11"/>
  <c r="L4" i="11"/>
  <c r="L41" i="11"/>
  <c r="P41" i="11"/>
  <c r="F44" i="11"/>
  <c r="H44" i="11" s="1"/>
  <c r="F40" i="11"/>
  <c r="H40" i="11" s="1"/>
  <c r="F37" i="11"/>
  <c r="H37" i="11" s="1"/>
  <c r="F35" i="11"/>
  <c r="H35" i="11" s="1"/>
  <c r="F33" i="11"/>
  <c r="H33" i="11" s="1"/>
  <c r="F31" i="11"/>
  <c r="H31" i="11" s="1"/>
  <c r="F29" i="11"/>
  <c r="H29" i="11" s="1"/>
  <c r="F27" i="11"/>
  <c r="H27" i="11" s="1"/>
  <c r="F25" i="11"/>
  <c r="H25" i="11" s="1"/>
  <c r="F23" i="11"/>
  <c r="H23" i="11" s="1"/>
  <c r="F21" i="11"/>
  <c r="H21" i="11" s="1"/>
  <c r="F19" i="11"/>
  <c r="H19" i="11" s="1"/>
  <c r="F17" i="11"/>
  <c r="H17" i="11" s="1"/>
  <c r="F15" i="11"/>
  <c r="H15" i="11" s="1"/>
  <c r="F13" i="11"/>
  <c r="H13" i="11" s="1"/>
  <c r="L43" i="11" l="1"/>
  <c r="L16" i="11"/>
  <c r="L42" i="11"/>
  <c r="L10" i="11"/>
  <c r="L39" i="11"/>
  <c r="L21" i="11"/>
  <c r="P21" i="11"/>
  <c r="L15" i="11"/>
  <c r="P15" i="11"/>
  <c r="L23" i="11"/>
  <c r="P23" i="11"/>
  <c r="L31" i="11"/>
  <c r="P31" i="11"/>
  <c r="L40" i="11"/>
  <c r="P40" i="11"/>
  <c r="L13" i="11"/>
  <c r="P13" i="11"/>
  <c r="L29" i="11"/>
  <c r="P29" i="11"/>
  <c r="L17" i="11"/>
  <c r="P17" i="11"/>
  <c r="L25" i="11"/>
  <c r="P25" i="11"/>
  <c r="L33" i="11"/>
  <c r="P33" i="11"/>
  <c r="L44" i="11"/>
  <c r="P44" i="11"/>
  <c r="L37" i="11"/>
  <c r="P37" i="11"/>
  <c r="L19" i="11"/>
  <c r="P19" i="11"/>
  <c r="L27" i="11"/>
  <c r="P27" i="11"/>
  <c r="L35" i="11"/>
  <c r="P35" i="11"/>
  <c r="L6" i="8" l="1"/>
  <c r="L10" i="8"/>
  <c r="L11" i="8" s="1"/>
  <c r="L13" i="8" s="1"/>
  <c r="L5" i="8"/>
  <c r="L7" i="8" s="1"/>
  <c r="D14" i="8"/>
  <c r="D13" i="8"/>
  <c r="D16" i="8" s="1"/>
  <c r="D17" i="8" s="1"/>
  <c r="H14" i="8" l="1"/>
  <c r="H17" i="8" s="1"/>
  <c r="R73" i="6"/>
  <c r="V73" i="6"/>
  <c r="V72" i="6"/>
  <c r="R72" i="6"/>
  <c r="R71" i="6"/>
  <c r="V71" i="6"/>
  <c r="V70" i="6"/>
  <c r="R70" i="6"/>
  <c r="W73" i="6" l="1"/>
  <c r="W71" i="6"/>
  <c r="W72" i="6"/>
  <c r="W70" i="6"/>
  <c r="L71" i="6"/>
  <c r="L72" i="6"/>
  <c r="L73" i="6"/>
  <c r="L70" i="6"/>
  <c r="L74" i="6" s="1"/>
  <c r="Y54" i="6"/>
  <c r="W75" i="6" l="1"/>
  <c r="W74" i="6"/>
  <c r="Y58" i="6"/>
  <c r="N60" i="6"/>
  <c r="N61" i="6"/>
  <c r="W59" i="6"/>
  <c r="W60" i="6"/>
  <c r="W61" i="6"/>
  <c r="N59" i="6"/>
  <c r="N58" i="6" l="1"/>
  <c r="X61" i="6"/>
  <c r="U61" i="6"/>
  <c r="G61" i="6"/>
  <c r="V61" i="6" s="1"/>
  <c r="AA61" i="6" s="1"/>
  <c r="U60" i="6"/>
  <c r="G60" i="6"/>
  <c r="X59" i="6"/>
  <c r="U59" i="6"/>
  <c r="V59" i="6" s="1"/>
  <c r="AA59" i="6" s="1"/>
  <c r="G59" i="6"/>
  <c r="X58" i="6"/>
  <c r="W58" i="6"/>
  <c r="U58" i="6"/>
  <c r="G58" i="6"/>
  <c r="U42" i="6"/>
  <c r="U43" i="6"/>
  <c r="U44" i="6"/>
  <c r="U41" i="6"/>
  <c r="N42" i="6"/>
  <c r="N43" i="6"/>
  <c r="N44" i="6"/>
  <c r="N41" i="6"/>
  <c r="G42" i="6"/>
  <c r="V42" i="6" s="1"/>
  <c r="AA42" i="6" s="1"/>
  <c r="G43" i="6"/>
  <c r="G44" i="6"/>
  <c r="V44" i="6" s="1"/>
  <c r="AA44" i="6" s="1"/>
  <c r="G41" i="6"/>
  <c r="V41" i="6" s="1"/>
  <c r="AA41" i="6" s="1"/>
  <c r="W44" i="6"/>
  <c r="W43" i="6"/>
  <c r="W42" i="6"/>
  <c r="W41" i="6"/>
  <c r="V58" i="6" l="1"/>
  <c r="AA58" i="6" s="1"/>
  <c r="V43" i="6"/>
  <c r="AA43" i="6" s="1"/>
  <c r="V60" i="6"/>
  <c r="AA60" i="6" s="1"/>
  <c r="V25" i="6"/>
  <c r="AA25" i="6" s="1"/>
  <c r="V26" i="6"/>
  <c r="AA26" i="6" s="1"/>
  <c r="N24" i="6"/>
  <c r="N23" i="6"/>
  <c r="W24" i="6"/>
  <c r="W25" i="6"/>
  <c r="W26" i="6"/>
  <c r="U24" i="6"/>
  <c r="G24" i="6"/>
  <c r="W23" i="6"/>
  <c r="U23" i="6"/>
  <c r="G23" i="6"/>
  <c r="V23" i="6" l="1"/>
  <c r="AA23" i="6" s="1"/>
  <c r="V24" i="6"/>
  <c r="AA24" i="6"/>
  <c r="X9" i="6"/>
  <c r="X8" i="6"/>
  <c r="U8" i="6"/>
  <c r="U9" i="6"/>
  <c r="N8" i="6"/>
  <c r="N9" i="6"/>
  <c r="G8" i="6"/>
  <c r="V8" i="6" s="1"/>
  <c r="G9" i="6"/>
  <c r="V9" i="6" l="1"/>
  <c r="AA9" i="6" s="1"/>
  <c r="AB9" i="6" s="1"/>
  <c r="AA8" i="6"/>
  <c r="AB8" i="6" s="1"/>
  <c r="X7" i="6"/>
  <c r="U7" i="6"/>
  <c r="N7" i="6"/>
  <c r="G7" i="6"/>
  <c r="V7" i="6" l="1"/>
  <c r="AA7" i="6" s="1"/>
  <c r="AB7" i="6" s="1"/>
  <c r="N6" i="6" l="1"/>
  <c r="W6" i="6"/>
  <c r="X6" i="6"/>
  <c r="U6" i="6"/>
  <c r="G6" i="6"/>
  <c r="V6" i="6" l="1"/>
  <c r="AA6" i="6" s="1"/>
  <c r="AB6" i="6" s="1"/>
  <c r="I58" i="5"/>
  <c r="I57" i="5"/>
  <c r="I59" i="5" s="1"/>
  <c r="M34" i="5"/>
  <c r="M33" i="5"/>
  <c r="U32" i="5"/>
  <c r="M32" i="5"/>
  <c r="G47" i="5"/>
  <c r="U31" i="5"/>
  <c r="M31" i="5"/>
  <c r="G46" i="5"/>
  <c r="Q24" i="5"/>
  <c r="U24" i="5" s="1"/>
  <c r="V24" i="5" s="1"/>
  <c r="I39" i="5"/>
  <c r="U23" i="5"/>
  <c r="M23" i="5"/>
  <c r="N23" i="5" s="1"/>
  <c r="U17" i="5"/>
  <c r="AB31" i="5"/>
  <c r="U16" i="5"/>
  <c r="O31" i="5" l="1"/>
  <c r="O32" i="5"/>
  <c r="N34" i="5"/>
  <c r="O16" i="5"/>
  <c r="O17" i="5" s="1"/>
  <c r="N16" i="5"/>
  <c r="O23" i="5"/>
  <c r="O24" i="5" s="1"/>
  <c r="O33" i="5"/>
  <c r="O34" i="5"/>
  <c r="N31" i="5"/>
  <c r="N32" i="5"/>
  <c r="N33" i="5"/>
  <c r="I57" i="4"/>
  <c r="I58" i="4"/>
  <c r="G47" i="4"/>
  <c r="AB46" i="4"/>
  <c r="M49" i="4"/>
  <c r="U47" i="4"/>
  <c r="M48" i="4"/>
  <c r="G46" i="4"/>
  <c r="M47" i="4"/>
  <c r="U46" i="4"/>
  <c r="M46" i="4"/>
  <c r="Q39" i="4"/>
  <c r="U39" i="4" s="1"/>
  <c r="V39" i="4" s="1"/>
  <c r="I39" i="4"/>
  <c r="M38" i="4"/>
  <c r="N38" i="4" s="1"/>
  <c r="U38" i="4"/>
  <c r="AB31" i="4"/>
  <c r="U32" i="4"/>
  <c r="G32" i="4"/>
  <c r="U31" i="4"/>
  <c r="M31" i="4"/>
  <c r="G31" i="4"/>
  <c r="I59" i="4" l="1"/>
  <c r="V45" i="4" s="1"/>
  <c r="O31" i="4"/>
  <c r="O32" i="4" s="1"/>
  <c r="AD31" i="4"/>
  <c r="O35" i="5"/>
  <c r="O36" i="5"/>
  <c r="O38" i="4"/>
  <c r="O39" i="4" s="1"/>
  <c r="N31" i="4"/>
  <c r="AC31" i="4"/>
  <c r="U67" i="3"/>
  <c r="G67" i="3"/>
  <c r="U66" i="3"/>
  <c r="M66" i="3"/>
  <c r="G66" i="3"/>
  <c r="U59" i="3"/>
  <c r="G59" i="3"/>
  <c r="U58" i="3"/>
  <c r="V58" i="3" s="1"/>
  <c r="M58" i="3"/>
  <c r="O58" i="3" s="1"/>
  <c r="G58" i="3"/>
  <c r="U51" i="3"/>
  <c r="G51" i="3"/>
  <c r="U50" i="3"/>
  <c r="V50" i="3" s="1"/>
  <c r="M50" i="3"/>
  <c r="O50" i="3" s="1"/>
  <c r="G50" i="3"/>
  <c r="N50" i="3" s="1"/>
  <c r="U42" i="3"/>
  <c r="O42" i="3" s="1"/>
  <c r="M42" i="3"/>
  <c r="U43" i="3"/>
  <c r="G43" i="3"/>
  <c r="G42" i="3"/>
  <c r="M33" i="3"/>
  <c r="V42" i="3" l="1"/>
  <c r="O37" i="5"/>
  <c r="N49" i="4"/>
  <c r="N48" i="4"/>
  <c r="O49" i="4"/>
  <c r="O47" i="4"/>
  <c r="N46" i="4"/>
  <c r="O51" i="4" s="1"/>
  <c r="N47" i="4"/>
  <c r="AD46" i="4"/>
  <c r="AC46" i="4"/>
  <c r="O46" i="4"/>
  <c r="O48" i="4"/>
  <c r="N58" i="3"/>
  <c r="N66" i="3"/>
  <c r="O66" i="3"/>
  <c r="O67" i="3" s="1"/>
  <c r="O50" i="4"/>
  <c r="N42" i="3"/>
  <c r="G31" i="3"/>
  <c r="N33" i="3" s="1"/>
  <c r="M31" i="3"/>
  <c r="N31" i="3" s="1"/>
  <c r="U32" i="3"/>
  <c r="G32" i="3"/>
  <c r="U31" i="3"/>
  <c r="V31" i="3" s="1"/>
  <c r="O33" i="3" s="1"/>
  <c r="O31" i="3" l="1"/>
  <c r="O52" i="4"/>
  <c r="F69" i="2"/>
  <c r="C72" i="2"/>
  <c r="C69" i="2"/>
  <c r="G61" i="2"/>
  <c r="G56" i="2"/>
  <c r="N57" i="2" s="1"/>
  <c r="M56" i="2"/>
  <c r="U54" i="2"/>
  <c r="M55" i="2"/>
  <c r="G55" i="2"/>
  <c r="M54" i="2"/>
  <c r="G54" i="2"/>
  <c r="U45" i="2"/>
  <c r="G45" i="2"/>
  <c r="M45" i="2"/>
  <c r="N45" i="2" s="1"/>
  <c r="M46" i="2"/>
  <c r="L9" i="2"/>
  <c r="N56" i="2" l="1"/>
  <c r="O55" i="2"/>
  <c r="R18" i="2"/>
  <c r="R19" i="2" s="1"/>
  <c r="R21" i="2" s="1"/>
  <c r="R20" i="2"/>
  <c r="N18" i="2"/>
  <c r="O46" i="2"/>
  <c r="N19" i="2"/>
  <c r="C61" i="2"/>
  <c r="C62" i="2" s="1"/>
  <c r="E61" i="2"/>
  <c r="E62" i="2" s="1"/>
  <c r="N55" i="2"/>
  <c r="O45" i="2"/>
  <c r="N54" i="2"/>
  <c r="D61" i="2"/>
  <c r="D62" i="2" s="1"/>
  <c r="O54" i="2"/>
  <c r="L10" i="2"/>
  <c r="L12" i="2" s="1"/>
  <c r="N10" i="2"/>
  <c r="N12" i="2" s="1"/>
  <c r="N46" i="2"/>
  <c r="G62" i="2"/>
  <c r="M30" i="2"/>
  <c r="G30" i="2"/>
  <c r="M29" i="2"/>
  <c r="G29" i="2"/>
  <c r="M38" i="2"/>
  <c r="M37" i="2"/>
  <c r="G38" i="2"/>
  <c r="G37" i="2"/>
  <c r="N47" i="2" l="1"/>
  <c r="O47" i="2"/>
  <c r="N29" i="2"/>
  <c r="L11" i="2"/>
  <c r="N30" i="2"/>
  <c r="N11" i="2"/>
  <c r="N37" i="2"/>
  <c r="O38" i="2" s="1"/>
  <c r="P37" i="1"/>
  <c r="N37" i="1"/>
  <c r="J37" i="1"/>
  <c r="H37" i="1"/>
  <c r="D37" i="1"/>
  <c r="B37" i="1"/>
  <c r="F26" i="1"/>
  <c r="L36" i="1"/>
  <c r="V40" i="1"/>
  <c r="R36" i="1"/>
  <c r="F36" i="1"/>
  <c r="B41" i="1"/>
  <c r="R27" i="1"/>
  <c r="L26" i="1"/>
  <c r="O37" i="2" l="1"/>
  <c r="N38" i="2"/>
  <c r="U36" i="1"/>
  <c r="F37" i="1"/>
  <c r="R37" i="1"/>
  <c r="D45" i="1" s="1"/>
  <c r="D46" i="1" s="1"/>
  <c r="L37" i="1"/>
  <c r="C45" i="1" s="1"/>
  <c r="C46" i="1" s="1"/>
  <c r="U27" i="1"/>
  <c r="V36" i="1"/>
  <c r="V27" i="1"/>
  <c r="V28" i="1" s="1"/>
  <c r="B45" i="1" l="1"/>
  <c r="B46" i="1" s="1"/>
  <c r="V37" i="1"/>
  <c r="W37" i="1"/>
  <c r="W36" i="1"/>
</calcChain>
</file>

<file path=xl/sharedStrings.xml><?xml version="1.0" encoding="utf-8"?>
<sst xmlns="http://schemas.openxmlformats.org/spreadsheetml/2006/main" count="1575" uniqueCount="373">
  <si>
    <t>Chopper</t>
  </si>
  <si>
    <t>2 blade wheel</t>
  </si>
  <si>
    <t>Amplifier</t>
  </si>
  <si>
    <t>ORE-546.RA</t>
  </si>
  <si>
    <t>10^3</t>
  </si>
  <si>
    <t>FBW</t>
  </si>
  <si>
    <t>Bewteen Femto amp &amp; lock-in, used differential cable</t>
  </si>
  <si>
    <t>LIA settings</t>
  </si>
  <si>
    <t>Input limit</t>
  </si>
  <si>
    <t>Sensitivity</t>
  </si>
  <si>
    <t>Time const</t>
  </si>
  <si>
    <t>Coupling</t>
  </si>
  <si>
    <t>AC</t>
  </si>
  <si>
    <t>Input shell</t>
  </si>
  <si>
    <t>Float</t>
  </si>
  <si>
    <t>Voltage input mode</t>
  </si>
  <si>
    <t>Input connector</t>
  </si>
  <si>
    <t>A-B</t>
  </si>
  <si>
    <t>Input device</t>
  </si>
  <si>
    <t>FET</t>
  </si>
  <si>
    <t>Notch filter</t>
  </si>
  <si>
    <t>50 Hz</t>
  </si>
  <si>
    <t xml:space="preserve">AC gain </t>
  </si>
  <si>
    <t>OFF</t>
  </si>
  <si>
    <t>Ref Source</t>
  </si>
  <si>
    <t>ExtR RCU</t>
  </si>
  <si>
    <t>Output slope</t>
  </si>
  <si>
    <t>12 dB Oct</t>
  </si>
  <si>
    <t>Sync time const</t>
  </si>
  <si>
    <t xml:space="preserve">Time const mode </t>
  </si>
  <si>
    <t>Normal</t>
  </si>
  <si>
    <t>DVM</t>
  </si>
  <si>
    <t>ORE-111.RA</t>
  </si>
  <si>
    <t>laser power controller, HeNe laser</t>
  </si>
  <si>
    <t>300 uW</t>
  </si>
  <si>
    <t>DC</t>
  </si>
  <si>
    <t>ORW-518.RA</t>
  </si>
  <si>
    <t>ORW-517.RA</t>
  </si>
  <si>
    <t xml:space="preserve">ORW-006.RA </t>
  </si>
  <si>
    <t>S [A/W]</t>
  </si>
  <si>
    <t>Respons from ORW-517.RA</t>
  </si>
  <si>
    <t>Respons from ORW-518.RA</t>
  </si>
  <si>
    <t>light [V]</t>
  </si>
  <si>
    <t>dark [V]</t>
  </si>
  <si>
    <t>net [V]</t>
  </si>
  <si>
    <t>Gain</t>
  </si>
  <si>
    <t>Power</t>
  </si>
  <si>
    <t>ave</t>
  </si>
  <si>
    <t>std dev</t>
  </si>
  <si>
    <t>10^5</t>
  </si>
  <si>
    <t>65uW</t>
  </si>
  <si>
    <t>300uW</t>
  </si>
  <si>
    <t>AC (LIA); 
17.5 Hz chopping freq; 
100 mV sens; time const 2s</t>
  </si>
  <si>
    <t>RATIOS</t>
  </si>
  <si>
    <t>Equipment settings &amp; environmental conditions</t>
  </si>
  <si>
    <r>
      <t>Temperature [</t>
    </r>
    <r>
      <rPr>
        <sz val="11"/>
        <color theme="1"/>
        <rFont val="Calibri"/>
        <family val="2"/>
      </rPr>
      <t>°</t>
    </r>
    <r>
      <rPr>
        <sz val="8.8000000000000007"/>
        <color theme="1"/>
        <rFont val="Calibri"/>
        <family val="2"/>
      </rPr>
      <t>C</t>
    </r>
    <r>
      <rPr>
        <sz val="11"/>
        <color theme="1"/>
        <rFont val="Calibri"/>
        <family val="2"/>
        <scheme val="minor"/>
      </rPr>
      <t>]</t>
    </r>
  </si>
  <si>
    <t>Verification:</t>
  </si>
  <si>
    <t>Relative humidity [%RH]</t>
  </si>
  <si>
    <t>Previous certificates for ORW-522.RA</t>
  </si>
  <si>
    <t>17,5 Hz</t>
  </si>
  <si>
    <t>2005: OR\SR-3592</t>
  </si>
  <si>
    <t>2003: OR\RA-2899</t>
  </si>
  <si>
    <t>Wavelength [nm]</t>
  </si>
  <si>
    <t>Response
[A/W]</t>
  </si>
  <si>
    <t>U [%]</t>
  </si>
  <si>
    <t>100 mV</t>
  </si>
  <si>
    <t>2s</t>
  </si>
  <si>
    <t>U [A/W]</t>
  </si>
  <si>
    <t>Upper limit</t>
  </si>
  <si>
    <t>Lower limit</t>
  </si>
  <si>
    <t>Input mode</t>
  </si>
  <si>
    <t>Voltage</t>
  </si>
  <si>
    <t>Result of measurement is within the stated uncertainty of previous certificate OR\RA-2899.</t>
  </si>
  <si>
    <t>Dark Uc [%]</t>
  </si>
  <si>
    <t>Repeatablitity</t>
  </si>
  <si>
    <t xml:space="preserve">ORW-522.RA </t>
  </si>
  <si>
    <t>esdm</t>
  </si>
  <si>
    <t>% esdm</t>
  </si>
  <si>
    <t>average of 20 readings</t>
  </si>
  <si>
    <r>
      <t xml:space="preserve">300 </t>
    </r>
    <r>
      <rPr>
        <sz val="11"/>
        <color theme="1"/>
        <rFont val="Arial"/>
        <family val="2"/>
      </rPr>
      <t>μ</t>
    </r>
    <r>
      <rPr>
        <sz val="11"/>
        <color theme="1"/>
        <rFont val="Calibri"/>
        <family val="2"/>
        <scheme val="minor"/>
      </rPr>
      <t>W</t>
    </r>
  </si>
  <si>
    <t>DC
Femto on DC setting</t>
  </si>
  <si>
    <t>ave (-)</t>
  </si>
  <si>
    <t>Femto on DC setting</t>
  </si>
  <si>
    <t>Femto on AC setting</t>
  </si>
  <si>
    <t>Respons from ORW-518.RA
[A/W]</t>
  </si>
  <si>
    <t>Respons from ORW-517.RA
[A/W]</t>
  </si>
  <si>
    <t xml:space="preserve">ave </t>
  </si>
  <si>
    <t>Average</t>
  </si>
  <si>
    <t>AC (LIA)</t>
  </si>
  <si>
    <t>Gain correction factor</t>
  </si>
  <si>
    <t>Ratio</t>
  </si>
  <si>
    <t>times 2 for chopper duty cycle</t>
  </si>
  <si>
    <t>Duty cycle measurement</t>
  </si>
  <si>
    <t>Thermopile ORW-506.RA</t>
  </si>
  <si>
    <t>Chopper freq 31.5 Hz</t>
  </si>
  <si>
    <t>ORW-518.RA with ORE-111.RA on DC; integration mode NPLC, NPLC: 100; range: auto; input impedance: 10 Mohm; auto zero: on; Null: off; chopper on</t>
  </si>
  <si>
    <t>Chopper on;  NPLC: 1</t>
  </si>
  <si>
    <t>ORW-518.RA with ORE-111.RA on DC chopper off</t>
  </si>
  <si>
    <t>Chopper off</t>
  </si>
  <si>
    <t>ORW-518.RA with ORE-111.RA on AC chopper on</t>
  </si>
  <si>
    <t>Temperature [deg Celsius]</t>
  </si>
  <si>
    <t>Relative humidity [%]</t>
  </si>
  <si>
    <t>37 Hz</t>
  </si>
  <si>
    <t>ave of 20 readings</t>
  </si>
  <si>
    <t>65 uW</t>
  </si>
  <si>
    <t>Mathematical model</t>
  </si>
  <si>
    <t>Spyro = Ssi*Gsi*(Vpyro/Vsi)</t>
  </si>
  <si>
    <r>
      <t>[V/W] = A/W*</t>
    </r>
    <r>
      <rPr>
        <sz val="11"/>
        <color theme="1"/>
        <rFont val="Calibri"/>
        <family val="2"/>
      </rPr>
      <t>Ω*(V/V)</t>
    </r>
  </si>
  <si>
    <t>AC (LIA) @ 37 Hz
Chopper Signal Recovery model 197</t>
  </si>
  <si>
    <t>Pyro</t>
  </si>
  <si>
    <t>Sensitivity [mV]</t>
  </si>
  <si>
    <t>Respons from ORW-517.RA [V/W]</t>
  </si>
  <si>
    <t>Range to range conversion</t>
  </si>
  <si>
    <t>94.3 mV on LIA</t>
  </si>
  <si>
    <t>5.37 mV on LIA</t>
  </si>
  <si>
    <t>94.6 mV on LIA</t>
  </si>
  <si>
    <t>AC (LIA) @ 22 Hz
Chopper Signal Recovery model 197</t>
  </si>
  <si>
    <t>ave  [V] on LIA</t>
  </si>
  <si>
    <t>AC (LIA) @ 17 Hz
Chopper Signal Recovery model 197</t>
  </si>
  <si>
    <t>AC (LIA) @ 13 Hz
Chopper Newport model 3502</t>
  </si>
  <si>
    <t>AC (LIA) @ 5 Hz
Chopper Newport model 3502</t>
  </si>
  <si>
    <t>Duty cycle</t>
  </si>
  <si>
    <t>5s</t>
  </si>
  <si>
    <t>208 uW</t>
  </si>
  <si>
    <t>AC (LIA) @ 135 Hz
Chopper model 197 (ORE-162.RA)
208 uW</t>
  </si>
  <si>
    <t>AC (LIA) @ 135 Hz
Chopper model 197 (ORE-162.RA)
208 uW
femto in AC mode</t>
  </si>
  <si>
    <t>5.283775-3</t>
  </si>
  <si>
    <t>light</t>
  </si>
  <si>
    <t>dark</t>
  </si>
  <si>
    <t>Chopper freq 135 Hz; power 298 uW</t>
  </si>
  <si>
    <t>ave [V]</t>
  </si>
  <si>
    <t>std dev [V]</t>
  </si>
  <si>
    <t xml:space="preserve"> ORE-111.RA on AC chopper on</t>
  </si>
  <si>
    <t>Chopper on</t>
  </si>
  <si>
    <t>ORE-111.RA on DC chopper off</t>
  </si>
  <si>
    <t>Newport 3502</t>
  </si>
  <si>
    <t>ORE-070.RA</t>
  </si>
  <si>
    <t>FemtoAmplifier, used only for photodiode</t>
  </si>
  <si>
    <t>LIA settings Model 7214</t>
  </si>
  <si>
    <t>ORW-522.RA</t>
  </si>
  <si>
    <t>[V/W] = A/W*Ω*(V/V)</t>
  </si>
  <si>
    <t>AC (LIA) @ 140 Hz
Chopper model 197 (ORE-162.RA)
208 uW</t>
  </si>
  <si>
    <r>
      <t xml:space="preserve">ORW-522.RA
</t>
    </r>
    <r>
      <rPr>
        <sz val="11"/>
        <color rgb="FF00B050"/>
        <rFont val="Calibri"/>
        <family val="2"/>
        <scheme val="minor"/>
      </rPr>
      <t>ORW-518.RA</t>
    </r>
  </si>
  <si>
    <t xml:space="preserve">Source: FLEXPOINT 
FP-D-905-5P-C-C Dot laser
Applied voltage: 5,5 V
</t>
  </si>
  <si>
    <t>Experimental description:</t>
  </si>
  <si>
    <t xml:space="preserve">Monitor photodiode (DC signal)
Amplify with FEMTO (NMI22217); 
DC; FBW; Gain = 10^6 
</t>
  </si>
  <si>
    <t>Pyro absorption
at 633nm: 0,964
at 905 nm: 0,954</t>
  </si>
  <si>
    <t>Temp: 22,7 degC</t>
  </si>
  <si>
    <t>Hum: 22,2</t>
  </si>
  <si>
    <t>Pyro (S/N 505439)</t>
  </si>
  <si>
    <t xml:space="preserve">Femto amp (ORE-546.RA); FBW; AC
</t>
  </si>
  <si>
    <t>Signal Recovery LIA 7124 (ORE-164.RA)</t>
  </si>
  <si>
    <t>Coordinates (357,5;52)</t>
  </si>
  <si>
    <t>Light</t>
  </si>
  <si>
    <t>Dark</t>
  </si>
  <si>
    <t>LIA SENS</t>
  </si>
  <si>
    <t>FEMTO Gain</t>
  </si>
  <si>
    <t>Ave</t>
  </si>
  <si>
    <t>sdev</t>
  </si>
  <si>
    <t>Nett</t>
  </si>
  <si>
    <t>LIA SENS[mV]</t>
  </si>
  <si>
    <t>Ave[mV]</t>
  </si>
  <si>
    <t>Nett[V]</t>
  </si>
  <si>
    <t>ORW-522.RA Ave[V]</t>
  </si>
  <si>
    <t>SENS Corr</t>
  </si>
  <si>
    <t>Pyro abs corr</t>
  </si>
  <si>
    <t>Chopper Duty Cycle</t>
  </si>
  <si>
    <t>Pyro resp[V/W]</t>
  </si>
  <si>
    <t>ORW-522.RA resp[A/W]</t>
  </si>
  <si>
    <t>polarization changed by 90 deg</t>
  </si>
  <si>
    <t xml:space="preserve"> </t>
  </si>
  <si>
    <t>633 nm</t>
  </si>
  <si>
    <t>Si-trap</t>
  </si>
  <si>
    <t>ORS-003.RA</t>
  </si>
  <si>
    <t>Coordinates (194;16,75)</t>
  </si>
  <si>
    <t>Coordinates (306;47)</t>
  </si>
  <si>
    <t>ORS-003.RA Ave[V]</t>
  </si>
  <si>
    <t>ORW-517 resp[A/W]</t>
  </si>
  <si>
    <t>ORS-003.RA resp[A/W]</t>
  </si>
  <si>
    <t>35 Hz</t>
  </si>
  <si>
    <t>75 Hz</t>
  </si>
  <si>
    <t>Si-photodiode</t>
  </si>
  <si>
    <t>Coordinates (495;50)</t>
  </si>
  <si>
    <t>ORS-003 resp[A/W]</t>
  </si>
  <si>
    <t>Chopper duty cycle</t>
  </si>
  <si>
    <t>Av</t>
  </si>
  <si>
    <t>Sdev</t>
  </si>
  <si>
    <t>905 nm</t>
  </si>
  <si>
    <t>n = 75 HZ</t>
  </si>
  <si>
    <t>chopper</t>
  </si>
  <si>
    <t>no chopper</t>
  </si>
  <si>
    <t>ORS-003</t>
  </si>
  <si>
    <t>Duty cycle:</t>
  </si>
  <si>
    <t>Coordinates (108;24,5)</t>
  </si>
  <si>
    <t>Coordinates (58;19,5)</t>
  </si>
  <si>
    <t>LIA SENS[V]</t>
  </si>
  <si>
    <t>The pyro resp was determined at 135 Hz</t>
  </si>
  <si>
    <t>n = 135 HZ</t>
  </si>
  <si>
    <t>ORS-003.RA 75 Hz</t>
  </si>
  <si>
    <t>Chopper duty cycle for 7/5 blade Newport 3502 chopper</t>
  </si>
  <si>
    <t>Chopper duty cycle for 7/5 blade Newport 3502 chopper - use 5 slot</t>
  </si>
  <si>
    <t>Measured with ORW-506.RA</t>
  </si>
  <si>
    <t>No chopper</t>
  </si>
  <si>
    <t>No Chopper</t>
  </si>
  <si>
    <t>Measured with Gentec pyro and 2nd Newport 3502 chopper with 42/30 blade - use 30 slot - 592,866 Hz</t>
  </si>
  <si>
    <t>Measured with ORS-003.RA pyro and 2nd Newport 3502 chopper with 42/30 blade - use 30 slot - 592,866 Hz</t>
  </si>
  <si>
    <t>Average of all measurements</t>
  </si>
  <si>
    <t>do not use this value</t>
  </si>
  <si>
    <t>Average of measurements done with Gentec pyro</t>
  </si>
  <si>
    <t>Aperture diameter [mm]</t>
  </si>
  <si>
    <t>UPD-50-UD</t>
  </si>
  <si>
    <t>Femto gain: 10^6; DC; L; FBW [Ohm]</t>
  </si>
  <si>
    <t>Light [mV]</t>
  </si>
  <si>
    <t>SDEV [uV]</t>
  </si>
  <si>
    <t>Dark [mV]</t>
  </si>
  <si>
    <t>Nett [mV]</t>
  </si>
  <si>
    <t>Average [mV]</t>
  </si>
  <si>
    <t>Femto gain: 10^3; DC; L; FBW [Ohm]</t>
  </si>
  <si>
    <t>Current [A]</t>
  </si>
  <si>
    <t>ORW-522.RA Power responsivity at 905 nm [A/W]</t>
  </si>
  <si>
    <t>Power measured with ORW-522.RA [W]</t>
  </si>
  <si>
    <t>SDEV</t>
  </si>
  <si>
    <t>Irradiance measured with ORW-522.RA at 905 nm [W/m2]</t>
  </si>
  <si>
    <t>Aperture area</t>
  </si>
  <si>
    <t>[mm^2]</t>
  </si>
  <si>
    <t>[m^2]</t>
  </si>
  <si>
    <t>Irradiance responsivity of UPD-50-UD [mV/W.m^2]</t>
  </si>
  <si>
    <t>Nuutste resultate</t>
  </si>
  <si>
    <t>Aperture diam on ORW522 [mm]</t>
  </si>
  <si>
    <t>LIA: SENS = 50mV</t>
  </si>
  <si>
    <t>Femto gain: 10^8; DC; L; FBW [Ohm]</t>
  </si>
  <si>
    <t>Light [V]</t>
  </si>
  <si>
    <t>Dark [V]</t>
  </si>
  <si>
    <t>Nett [V]</t>
  </si>
  <si>
    <t>Average [V]</t>
  </si>
  <si>
    <t>Femto gain: 10^5; DC; L; FBW [Ohm]</t>
  </si>
  <si>
    <t>ORW-522.RA Irradiance responsivity at 905 nm [A/W.m-2]</t>
  </si>
  <si>
    <t>Aperture area [m^2]</t>
  </si>
  <si>
    <t>Irradiance responsivity of UPD-50-UD [A/W.m^2]</t>
  </si>
  <si>
    <t>Irradiance responsivity of UPD-50-UD [V/W.m^2]</t>
  </si>
  <si>
    <t>Calibration of Saab UUT against UPD-50-UD</t>
  </si>
  <si>
    <t>Transmittance of ND filter</t>
  </si>
  <si>
    <t>SAAB UUT</t>
  </si>
  <si>
    <t>Aperture radius on ORW-522 [m]</t>
  </si>
  <si>
    <t>IG (Labsphere InGaAs from FO)</t>
  </si>
  <si>
    <t>Irradiance</t>
  </si>
  <si>
    <t>Irradiance responsivity of IG [A/W.m^2]</t>
  </si>
  <si>
    <t>Irradiance responsivity of IG [V/W.m^2]</t>
  </si>
  <si>
    <t>Irradiance responsivity of IG [mV/W.m^2]</t>
  </si>
  <si>
    <t>Calibration of Saab UUT against IG</t>
  </si>
  <si>
    <t>IG</t>
  </si>
  <si>
    <t>Irradiance calibration of SAAB's FEMTO unit (HCA-S-200M-SI) against ORW-522.RA</t>
  </si>
  <si>
    <t>Date of calibration</t>
  </si>
  <si>
    <t>Wavelength of calibration</t>
  </si>
  <si>
    <t xml:space="preserve">905 nm </t>
  </si>
  <si>
    <t>Source</t>
  </si>
  <si>
    <t>Monochromator (600 g/mm --dispersion = 4nm / mm) (ORE-046.RA) + QTH (ORE-080.RA); bandwidth = 10 nm (2,5 mm slitwidth)</t>
  </si>
  <si>
    <t>HCA-S-200M-SI Serial number</t>
  </si>
  <si>
    <t>??????</t>
  </si>
  <si>
    <t>DVM (ORE-555.RA)</t>
  </si>
  <si>
    <t>X-Y stage to position detector units (ORE-143.RA)</t>
  </si>
  <si>
    <t>To ensure exposure to same irradiance field</t>
  </si>
  <si>
    <t>Aperture diameter on ORW-522.RA</t>
  </si>
  <si>
    <t>Average diameter [mm]</t>
  </si>
  <si>
    <t>Exp std dev</t>
  </si>
  <si>
    <t>ESDM</t>
  </si>
  <si>
    <t>Chopper frequency (ORE-071.RA)</t>
  </si>
  <si>
    <t>(5/7 chopper blade - inner ring)</t>
  </si>
  <si>
    <t>LIA (ORE-545.RA): SENS = 10mV</t>
  </si>
  <si>
    <t>Femto optical receiver (HCA-S-200M-SI (HCA))</t>
  </si>
  <si>
    <t>SDEV [V]</t>
  </si>
  <si>
    <t>Temperature readings [deg C]</t>
  </si>
  <si>
    <t>Real average voltage [V]</t>
  </si>
  <si>
    <t>Humidity readings [%]</t>
  </si>
  <si>
    <t>Real average current [A]</t>
  </si>
  <si>
    <t>Real average current [mA]</t>
  </si>
  <si>
    <t>Femto (ORE-546.RA) gain: 10^3; DC; L; FBW [Ohm]</t>
  </si>
  <si>
    <t>Current [mA]</t>
  </si>
  <si>
    <t>LIA measured irradiance  [W.m-2]</t>
  </si>
  <si>
    <t>Real irradiance [W.m-2]</t>
  </si>
  <si>
    <t>ORW-522.RA Irradiance responsivity at 905 nm  [A/W.m-2]</t>
  </si>
  <si>
    <t>ORW-522.RA Irradiance responsivity at 905 nm  [V/W.m-2]</t>
  </si>
  <si>
    <t>Irradiance responsivity of HCA [A/W.m-2]</t>
  </si>
  <si>
    <t>Irradiance responsivity of HCA [V/W.m-2]</t>
  </si>
  <si>
    <t>Irradiance responsivity of HCA [mV/W.m-2]</t>
  </si>
  <si>
    <t>Irradiance responsivity of HCA, with non-linearity correction [mV/W.m-2]</t>
  </si>
  <si>
    <t>Calibration of Saab UUT against HCA-S-200M-SI (HCA)</t>
  </si>
  <si>
    <t>17 - 21 Jan 2019</t>
  </si>
  <si>
    <t xml:space="preserve">Used cryogenic radiometer's X-Y stage to position detector units </t>
  </si>
  <si>
    <t xml:space="preserve">Used HeNe laser to define optical axis for detector units - to ensure exposure to same irradiance field </t>
  </si>
  <si>
    <t>Temperature and humidity device (Hygroloc NMI00013647)</t>
  </si>
  <si>
    <t>Temperature readings (delta T) [deg C]:</t>
  </si>
  <si>
    <t>varied between 24,5 deg C and 25,5 deg C</t>
  </si>
  <si>
    <t>Humidity readings [%]:</t>
  </si>
  <si>
    <t>varied between 57,5 % and 58,6 %</t>
  </si>
  <si>
    <t>SAAB's pulsed source: EG&amp;G InGaAs pulsed laser diode: PGAS3S09; wavelength = 905 nm +- 10 nm; wavelength temperature coefficient = 0,25 nm/deg C</t>
  </si>
  <si>
    <t>With a temperature variation of 1 deg C over the calibration period, the wavelength variation is</t>
  </si>
  <si>
    <t>0,25 nm</t>
  </si>
  <si>
    <t>Source operation:</t>
  </si>
  <si>
    <t>Pulsed at 10 Hz using TTL provided by signal generator (Agilent 33220A) and power supplied with Agilent E3648A at 8 Volt DC</t>
  </si>
  <si>
    <t>HCA</t>
  </si>
  <si>
    <t>Oscilloscope (ORE-096.RA) settings:</t>
  </si>
  <si>
    <t>(367,65;   23,25)</t>
  </si>
  <si>
    <t>SDEV [mV]</t>
  </si>
  <si>
    <t>Bandwidth</t>
  </si>
  <si>
    <t>2GHz</t>
  </si>
  <si>
    <t>Sample rate</t>
  </si>
  <si>
    <t>1GS/s</t>
  </si>
  <si>
    <t>Average of 200 samples</t>
  </si>
  <si>
    <t>HCA Gain[Ohm]</t>
  </si>
  <si>
    <t>Supplier specs</t>
  </si>
  <si>
    <t>Termination</t>
  </si>
  <si>
    <t>50 Ohm</t>
  </si>
  <si>
    <t>Average HCA photovoltage [mV]</t>
  </si>
  <si>
    <t>Photocurrent [mA]</t>
  </si>
  <si>
    <t>Photocurrent ratio (calibrated versus usage value)</t>
  </si>
  <si>
    <t xml:space="preserve">Use correction factor used in Met 40 (2003)S35-S38: </t>
  </si>
  <si>
    <t>SAAB UUT 4003</t>
  </si>
  <si>
    <t>(67,75;  9,75)</t>
  </si>
  <si>
    <t>Non-lin. Corr.</t>
  </si>
  <si>
    <t>Irradiance responsivity of SAAB UUT 4003 [mV/W.m^2]</t>
  </si>
  <si>
    <t>Irradiance level [W.m^2]</t>
  </si>
  <si>
    <t>Percentage difference between corrected and not-corrected for non-linearity</t>
  </si>
  <si>
    <t>This calculation is based on Met. 37 (2000) 279-284 and Met. 40 (2003) S35-S38</t>
  </si>
  <si>
    <t>Verification</t>
  </si>
  <si>
    <t>SAAB UUT 4020</t>
  </si>
  <si>
    <t>(262,8;   11,6)</t>
  </si>
  <si>
    <t>Irradiance responsivity of SAAB UUT 4020 [mV/W.m^2]</t>
  </si>
  <si>
    <t>(367,85;   22,75)</t>
  </si>
  <si>
    <t>(67,75;  9,5)</t>
  </si>
  <si>
    <t>SAAB UUT 4022</t>
  </si>
  <si>
    <t>(262,8;   11,1)</t>
  </si>
  <si>
    <t>Irradiance responsivity of SAAB UUT 4022 [mV/W.m^2]</t>
  </si>
  <si>
    <t>(67,75;  9,7)</t>
  </si>
  <si>
    <t>SAAB UUT 4030</t>
  </si>
  <si>
    <t>(262,6;   11,45)</t>
  </si>
  <si>
    <t>Irradiance responsivity of SAAB UUT 4030 [mV/W.m^2]</t>
  </si>
  <si>
    <t>(367,85;   23,4)</t>
  </si>
  <si>
    <t>SAAB UUT 4008</t>
  </si>
  <si>
    <t>(67,85;  9,9)</t>
  </si>
  <si>
    <t>(255,5;   15,65)</t>
  </si>
  <si>
    <t>Irradiance responsivity of SAAB UUT 4008 [mV/W.m^2]</t>
  </si>
  <si>
    <t>Irradiance responsivity of photodiode modules [mV/W.m^2]</t>
  </si>
  <si>
    <t>Unit 4003</t>
  </si>
  <si>
    <t>Unit 4008</t>
  </si>
  <si>
    <t>Unit 4020</t>
  </si>
  <si>
    <t>Unit 4022</t>
  </si>
  <si>
    <t>Unit 4030</t>
  </si>
  <si>
    <t>Unit 4031</t>
  </si>
  <si>
    <t>NA</t>
  </si>
  <si>
    <t>Average irradiance level used during calibration [W.m^2]</t>
  </si>
  <si>
    <t>Wavelength
[nm]</t>
  </si>
  <si>
    <t>Data sets [A/W]</t>
  </si>
  <si>
    <t>Comparison with previous certifiates</t>
  </si>
  <si>
    <t>Set 1</t>
  </si>
  <si>
    <t>Set 2</t>
  </si>
  <si>
    <t>Set 3</t>
  </si>
  <si>
    <t>Set 4</t>
  </si>
  <si>
    <t>Average of sets 
[A/W]</t>
  </si>
  <si>
    <t>Pyro absorbance (normalised)
[1]</t>
  </si>
  <si>
    <t>Response corrected for absorbance.
OR\SR-5416 [A/W]</t>
  </si>
  <si>
    <t>OR\RA-2899
[A/W]</t>
  </si>
  <si>
    <t>Uc
[%]</t>
  </si>
  <si>
    <t>Difference between 
OR\RA-2899 &amp; OR\SR-5416 [A/W]</t>
  </si>
  <si>
    <t>OR\SR-3592
[A/W]</t>
  </si>
  <si>
    <t>Uc
[A/W]</t>
  </si>
  <si>
    <t>Difference between 
OR\SR-3592 &amp; OR\SR-5416 [A/W]</t>
  </si>
  <si>
    <t>Detectors positions</t>
  </si>
  <si>
    <t>x</t>
  </si>
  <si>
    <t>y</t>
  </si>
  <si>
    <t>STD: UPD-50-UD</t>
  </si>
  <si>
    <t>UUT  4020</t>
  </si>
  <si>
    <t>UUT 4003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</si>
</sst>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&quot;* #,##0.00_-;\-&quot;R&quot;* #,##0.00_-;_-&quot;R&quot;* &quot;-&quot;??_-;_-@_-"/>
    <numFmt numFmtId="164" formatCode="0.000"/>
    <numFmt numFmtId="165" formatCode="0.00000"/>
    <numFmt numFmtId="166" formatCode="0.000E+00"/>
    <numFmt numFmtId="167" formatCode="0.0000E+00"/>
    <numFmt numFmtId="168" formatCode="0.0000"/>
    <numFmt numFmtId="169" formatCode="#,##0.0"/>
    <numFmt numFmtId="170" formatCode="0.0000000000"/>
    <numFmt numFmtId="171" formatCode="0.0%"/>
    <numFmt numFmtId="172" formatCode="0.000000"/>
    <numFmt numFmtId="173" formatCode="0.0000000"/>
    <numFmt numFmtId="174" formatCode="0.0"/>
    <numFmt numFmtId="175" formatCode="0.00000E+0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8.8000000000000007"/>
      <color theme="1"/>
      <name val="Calibri"/>
      <family val="2"/>
    </font>
    <font>
      <sz val="11"/>
      <color theme="1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3F3F7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70C0"/>
      </left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 style="medium">
        <color rgb="FF0070C0"/>
      </right>
      <top style="medium">
        <color rgb="FF0070C0"/>
      </top>
      <bottom style="thin">
        <color indexed="64"/>
      </bottom>
      <diagonal/>
    </border>
    <border>
      <left style="medium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70C0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indexed="64"/>
      </right>
      <top style="thin">
        <color indexed="64"/>
      </top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thin">
        <color indexed="64"/>
      </top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44" fontId="14" fillId="0" borderId="0" applyFon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4" fillId="7" borderId="0" applyNumberFormat="0" applyBorder="0" applyAlignment="0" applyProtection="0"/>
    <xf numFmtId="0" fontId="24" fillId="10" borderId="47" applyNumberFormat="0" applyAlignment="0" applyProtection="0"/>
    <xf numFmtId="0" fontId="26" fillId="11" borderId="47" applyNumberFormat="0" applyAlignment="0" applyProtection="0"/>
  </cellStyleXfs>
  <cellXfs count="3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67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7" fontId="0" fillId="0" borderId="1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8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9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9" fontId="0" fillId="0" borderId="2" xfId="0" applyNumberFormat="1" applyBorder="1" applyAlignment="1">
      <alignment horizontal="center" vertical="center"/>
    </xf>
    <xf numFmtId="11" fontId="0" fillId="0" borderId="0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1" fontId="0" fillId="0" borderId="0" xfId="0" applyNumberFormat="1" applyBorder="1" applyAlignment="1">
      <alignment vertical="center" wrapText="1"/>
    </xf>
    <xf numFmtId="166" fontId="3" fillId="0" borderId="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/>
    <xf numFmtId="0" fontId="0" fillId="0" borderId="4" xfId="0" applyBorder="1"/>
    <xf numFmtId="0" fontId="0" fillId="0" borderId="2" xfId="0" applyBorder="1"/>
    <xf numFmtId="0" fontId="6" fillId="0" borderId="2" xfId="0" applyFont="1" applyBorder="1" applyAlignment="1">
      <alignment vertical="top"/>
    </xf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0" fontId="0" fillId="0" borderId="7" xfId="0" applyBorder="1"/>
    <xf numFmtId="0" fontId="6" fillId="0" borderId="0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6" fillId="0" borderId="1" xfId="0" applyFont="1" applyBorder="1"/>
    <xf numFmtId="0" fontId="6" fillId="0" borderId="9" xfId="0" applyFont="1" applyBorder="1"/>
    <xf numFmtId="0" fontId="6" fillId="0" borderId="8" xfId="0" applyFont="1" applyBorder="1"/>
    <xf numFmtId="16" fontId="7" fillId="2" borderId="0" xfId="0" applyNumberFormat="1" applyFont="1" applyFill="1"/>
    <xf numFmtId="0" fontId="7" fillId="2" borderId="0" xfId="0" applyFont="1" applyFill="1"/>
    <xf numFmtId="11" fontId="6" fillId="0" borderId="0" xfId="0" applyNumberFormat="1" applyFont="1" applyFill="1" applyBorder="1"/>
    <xf numFmtId="11" fontId="6" fillId="0" borderId="0" xfId="0" applyNumberFormat="1" applyFont="1" applyBorder="1"/>
    <xf numFmtId="11" fontId="6" fillId="0" borderId="7" xfId="0" applyNumberFormat="1" applyFont="1" applyBorder="1"/>
    <xf numFmtId="11" fontId="6" fillId="0" borderId="0" xfId="0" applyNumberFormat="1" applyFont="1"/>
    <xf numFmtId="0" fontId="8" fillId="0" borderId="0" xfId="0" applyFont="1"/>
    <xf numFmtId="11" fontId="6" fillId="0" borderId="0" xfId="0" applyNumberFormat="1" applyFont="1" applyAlignment="1">
      <alignment wrapText="1"/>
    </xf>
    <xf numFmtId="0" fontId="6" fillId="2" borderId="6" xfId="0" applyFont="1" applyFill="1" applyBorder="1"/>
    <xf numFmtId="0" fontId="6" fillId="2" borderId="0" xfId="0" applyFont="1" applyFill="1" applyBorder="1"/>
    <xf numFmtId="11" fontId="6" fillId="2" borderId="0" xfId="0" applyNumberFormat="1" applyFont="1" applyFill="1" applyBorder="1"/>
    <xf numFmtId="0" fontId="6" fillId="2" borderId="7" xfId="0" applyFont="1" applyFill="1" applyBorder="1"/>
    <xf numFmtId="11" fontId="6" fillId="2" borderId="7" xfId="0" applyNumberFormat="1" applyFont="1" applyFill="1" applyBorder="1"/>
    <xf numFmtId="0" fontId="6" fillId="2" borderId="0" xfId="0" applyFont="1" applyFill="1"/>
    <xf numFmtId="11" fontId="6" fillId="2" borderId="0" xfId="0" applyNumberFormat="1" applyFont="1" applyFill="1"/>
    <xf numFmtId="0" fontId="8" fillId="2" borderId="0" xfId="0" applyFont="1" applyFill="1"/>
    <xf numFmtId="0" fontId="0" fillId="2" borderId="0" xfId="0" applyFill="1"/>
    <xf numFmtId="0" fontId="6" fillId="0" borderId="0" xfId="0" applyFont="1" applyAlignment="1">
      <alignment wrapText="1"/>
    </xf>
    <xf numFmtId="11" fontId="0" fillId="0" borderId="0" xfId="0" applyNumberForma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/>
    <xf numFmtId="0" fontId="12" fillId="0" borderId="0" xfId="0" applyFont="1"/>
    <xf numFmtId="0" fontId="11" fillId="3" borderId="0" xfId="0" applyFont="1" applyFill="1" applyAlignment="1"/>
    <xf numFmtId="0" fontId="11" fillId="3" borderId="0" xfId="0" applyFont="1" applyFill="1"/>
    <xf numFmtId="11" fontId="0" fillId="3" borderId="0" xfId="0" applyNumberFormat="1" applyFill="1"/>
    <xf numFmtId="0" fontId="0" fillId="3" borderId="0" xfId="0" applyFill="1"/>
    <xf numFmtId="11" fontId="9" fillId="3" borderId="0" xfId="0" applyNumberFormat="1" applyFont="1" applyFill="1"/>
    <xf numFmtId="11" fontId="13" fillId="0" borderId="0" xfId="0" applyNumberFormat="1" applyFont="1"/>
    <xf numFmtId="0" fontId="13" fillId="3" borderId="0" xfId="0" applyNumberFormat="1" applyFont="1" applyFill="1"/>
    <xf numFmtId="0" fontId="13" fillId="0" borderId="0" xfId="0" applyFont="1"/>
    <xf numFmtId="0" fontId="0" fillId="0" borderId="0" xfId="0" applyAlignment="1">
      <alignment vertical="top"/>
    </xf>
    <xf numFmtId="0" fontId="13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2" fontId="13" fillId="0" borderId="0" xfId="0" applyNumberFormat="1" applyFont="1"/>
    <xf numFmtId="2" fontId="11" fillId="0" borderId="0" xfId="0" applyNumberFormat="1" applyFont="1"/>
    <xf numFmtId="2" fontId="13" fillId="0" borderId="0" xfId="1" applyNumberFormat="1" applyFont="1"/>
    <xf numFmtId="170" fontId="13" fillId="0" borderId="0" xfId="1" applyNumberFormat="1" applyFont="1"/>
    <xf numFmtId="168" fontId="0" fillId="0" borderId="0" xfId="0" applyNumberFormat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/>
    <xf numFmtId="164" fontId="0" fillId="0" borderId="0" xfId="0" applyNumberFormat="1"/>
    <xf numFmtId="164" fontId="18" fillId="4" borderId="0" xfId="2" applyNumberFormat="1" applyFont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/>
    </xf>
    <xf numFmtId="0" fontId="18" fillId="4" borderId="0" xfId="2" applyFon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164" fontId="15" fillId="4" borderId="0" xfId="2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6" fillId="5" borderId="0" xfId="3" applyNumberFormat="1" applyAlignment="1">
      <alignment horizontal="center" vertical="center"/>
    </xf>
    <xf numFmtId="164" fontId="17" fillId="6" borderId="0" xfId="4" applyNumberFormat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5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7" fontId="0" fillId="0" borderId="0" xfId="0" applyNumberFormat="1"/>
    <xf numFmtId="172" fontId="13" fillId="0" borderId="0" xfId="0" applyNumberFormat="1" applyFont="1"/>
    <xf numFmtId="15" fontId="0" fillId="0" borderId="0" xfId="0" applyNumberFormat="1"/>
    <xf numFmtId="0" fontId="11" fillId="0" borderId="0" xfId="0" applyFont="1" applyAlignment="1">
      <alignment vertical="center"/>
    </xf>
    <xf numFmtId="0" fontId="13" fillId="3" borderId="0" xfId="0" applyFont="1" applyFill="1" applyAlignment="1">
      <alignment vertical="center" wrapText="1"/>
    </xf>
    <xf numFmtId="0" fontId="0" fillId="3" borderId="0" xfId="0" applyFill="1" applyAlignment="1">
      <alignment vertical="center"/>
    </xf>
    <xf numFmtId="0" fontId="13" fillId="3" borderId="0" xfId="0" applyFont="1" applyFill="1" applyAlignment="1">
      <alignment vertical="center"/>
    </xf>
    <xf numFmtId="0" fontId="9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9" fillId="0" borderId="15" xfId="0" applyFont="1" applyBorder="1"/>
    <xf numFmtId="0" fontId="9" fillId="0" borderId="17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9" fillId="0" borderId="17" xfId="0" applyFont="1" applyBorder="1" applyAlignment="1">
      <alignment wrapText="1"/>
    </xf>
    <xf numFmtId="0" fontId="0" fillId="0" borderId="0" xfId="0" applyFill="1" applyBorder="1"/>
    <xf numFmtId="0" fontId="7" fillId="0" borderId="18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7" fillId="0" borderId="15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9" fillId="0" borderId="0" xfId="0" applyFont="1" applyBorder="1" applyAlignment="1">
      <alignment wrapText="1"/>
    </xf>
    <xf numFmtId="0" fontId="20" fillId="0" borderId="18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left" vertical="center"/>
    </xf>
    <xf numFmtId="17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9" borderId="0" xfId="0" applyFill="1" applyAlignment="1">
      <alignment horizontal="center" vertical="center" wrapText="1"/>
    </xf>
    <xf numFmtId="0" fontId="9" fillId="9" borderId="0" xfId="0" applyFont="1" applyFill="1" applyAlignment="1">
      <alignment horizontal="center" vertical="center"/>
    </xf>
    <xf numFmtId="0" fontId="9" fillId="9" borderId="0" xfId="0" applyFont="1" applyFill="1"/>
    <xf numFmtId="0" fontId="9" fillId="9" borderId="0" xfId="0" applyFont="1" applyFill="1" applyAlignment="1">
      <alignment wrapText="1"/>
    </xf>
    <xf numFmtId="0" fontId="0" fillId="9" borderId="0" xfId="0" applyFill="1"/>
    <xf numFmtId="2" fontId="9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1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164" fontId="0" fillId="0" borderId="23" xfId="0" applyNumberFormat="1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11" fontId="0" fillId="0" borderId="23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4" fontId="0" fillId="0" borderId="29" xfId="0" applyNumberFormat="1" applyBorder="1" applyAlignment="1">
      <alignment horizontal="center" vertical="center"/>
    </xf>
    <xf numFmtId="164" fontId="21" fillId="0" borderId="31" xfId="0" applyNumberFormat="1" applyFon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21" fillId="0" borderId="29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11" fontId="0" fillId="0" borderId="40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166" fontId="0" fillId="0" borderId="42" xfId="0" applyNumberFormat="1" applyBorder="1" applyAlignment="1">
      <alignment horizontal="center" vertical="center"/>
    </xf>
    <xf numFmtId="11" fontId="0" fillId="0" borderId="42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168" fontId="9" fillId="0" borderId="22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3" fillId="0" borderId="23" xfId="0" applyNumberFormat="1" applyFont="1" applyBorder="1" applyAlignment="1">
      <alignment horizontal="center" vertical="center"/>
    </xf>
    <xf numFmtId="168" fontId="0" fillId="0" borderId="23" xfId="0" applyNumberFormat="1" applyBorder="1" applyAlignment="1">
      <alignment horizontal="center" vertical="center"/>
    </xf>
    <xf numFmtId="168" fontId="0" fillId="0" borderId="42" xfId="0" applyNumberFormat="1" applyBorder="1" applyAlignment="1">
      <alignment horizontal="center" vertical="center"/>
    </xf>
    <xf numFmtId="175" fontId="6" fillId="0" borderId="0" xfId="0" applyNumberFormat="1" applyFont="1"/>
    <xf numFmtId="172" fontId="0" fillId="0" borderId="0" xfId="0" applyNumberFormat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24" fillId="10" borderId="47" xfId="6" applyAlignment="1">
      <alignment horizontal="center" vertical="center" wrapText="1"/>
    </xf>
    <xf numFmtId="0" fontId="0" fillId="0" borderId="0" xfId="0"/>
    <xf numFmtId="0" fontId="7" fillId="0" borderId="0" xfId="0" applyFont="1"/>
    <xf numFmtId="0" fontId="9" fillId="0" borderId="0" xfId="0" applyFont="1"/>
    <xf numFmtId="0" fontId="7" fillId="8" borderId="0" xfId="0" applyFont="1" applyFill="1"/>
    <xf numFmtId="168" fontId="25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9" borderId="0" xfId="0" applyFill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164" fontId="3" fillId="0" borderId="0" xfId="5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0" fontId="9" fillId="0" borderId="0" xfId="0" applyFont="1" applyAlignment="1"/>
    <xf numFmtId="0" fontId="7" fillId="8" borderId="0" xfId="0" applyFont="1" applyFill="1" applyAlignment="1"/>
    <xf numFmtId="15" fontId="7" fillId="8" borderId="0" xfId="0" applyNumberFormat="1" applyFont="1" applyFill="1" applyAlignment="1">
      <alignment horizontal="left" vertical="top"/>
    </xf>
    <xf numFmtId="0" fontId="7" fillId="8" borderId="0" xfId="0" applyFont="1" applyFill="1" applyAlignment="1">
      <alignment horizontal="left" vertical="top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9" borderId="0" xfId="0" applyFill="1" applyAlignment="1">
      <alignment vertical="center"/>
    </xf>
    <xf numFmtId="0" fontId="9" fillId="9" borderId="0" xfId="0" applyFont="1" applyFill="1" applyAlignment="1">
      <alignment vertical="center"/>
    </xf>
    <xf numFmtId="0" fontId="7" fillId="0" borderId="0" xfId="0" applyFont="1" applyAlignment="1"/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3" fillId="0" borderId="0" xfId="5" applyNumberFormat="1" applyFont="1" applyFill="1" applyAlignment="1">
      <alignment horizontal="center" vertical="center" wrapText="1"/>
    </xf>
    <xf numFmtId="164" fontId="3" fillId="0" borderId="0" xfId="5" applyNumberFormat="1" applyFont="1" applyFill="1" applyAlignment="1">
      <alignment horizontal="center" vertical="center"/>
    </xf>
    <xf numFmtId="164" fontId="15" fillId="4" borderId="0" xfId="2" applyNumberFormat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6" fillId="11" borderId="47" xfId="7" applyNumberFormat="1" applyAlignment="1">
      <alignment horizontal="center" vertical="center"/>
    </xf>
    <xf numFmtId="11" fontId="26" fillId="11" borderId="47" xfId="7" applyNumberFormat="1" applyAlignment="1">
      <alignment horizontal="center" vertical="center"/>
    </xf>
  </cellXfs>
  <cellStyles count="8">
    <cellStyle name="20% - Accent4" xfId="5" builtinId="42"/>
    <cellStyle name="Bad" xfId="3" builtinId="27"/>
    <cellStyle name="Calculation" xfId="6" builtinId="22"/>
    <cellStyle name="Currency" xfId="1" builtinId="4"/>
    <cellStyle name="Good" xfId="2" builtinId="26"/>
    <cellStyle name="Input" xfId="7" builtinId="20"/>
    <cellStyle name="Neutral" xfId="4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Absolute spectral power responsivity of ORW-522.RA</a:t>
            </a:r>
          </a:p>
        </c:rich>
      </c:tx>
      <c:layout>
        <c:manualLayout>
          <c:xMode val="edge"/>
          <c:yMode val="edge"/>
          <c:x val="0.20924149035590139"/>
          <c:y val="2.24532239234680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219189098243094E-2"/>
          <c:y val="0.12210408906013319"/>
          <c:w val="0.86549730714329598"/>
          <c:h val="0.76946746571070546"/>
        </c:manualLayout>
      </c:layout>
      <c:scatterChart>
        <c:scatterStyle val="lineMarker"/>
        <c:varyColors val="0"/>
        <c:ser>
          <c:idx val="0"/>
          <c:order val="0"/>
          <c:tx>
            <c:v>Certifcate OR\SR-5416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'Averaged data'!$A$4:$A$54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'Averaged data'!$H$4:$H$54</c:f>
              <c:numCache>
                <c:formatCode>0.000</c:formatCode>
                <c:ptCount val="51"/>
                <c:pt idx="0">
                  <c:v>0.33286772076190541</c:v>
                </c:pt>
                <c:pt idx="1">
                  <c:v>0.33613849147706121</c:v>
                </c:pt>
                <c:pt idx="2">
                  <c:v>0.34593303855918506</c:v>
                </c:pt>
                <c:pt idx="3">
                  <c:v>0.35002834498023289</c:v>
                </c:pt>
                <c:pt idx="4">
                  <c:v>0.35617628672227675</c:v>
                </c:pt>
                <c:pt idx="5">
                  <c:v>0.35994379847001945</c:v>
                </c:pt>
                <c:pt idx="6">
                  <c:v>0.36462055795280324</c:v>
                </c:pt>
                <c:pt idx="7">
                  <c:v>0.37202543811989863</c:v>
                </c:pt>
                <c:pt idx="8">
                  <c:v>0.37810180131556043</c:v>
                </c:pt>
                <c:pt idx="9">
                  <c:v>0.38438955486775123</c:v>
                </c:pt>
                <c:pt idx="10">
                  <c:v>0.38915652343410168</c:v>
                </c:pt>
                <c:pt idx="11">
                  <c:v>0.3964322516455725</c:v>
                </c:pt>
                <c:pt idx="12">
                  <c:v>0.40392639335292646</c:v>
                </c:pt>
                <c:pt idx="13">
                  <c:v>0.40504572158773311</c:v>
                </c:pt>
                <c:pt idx="14">
                  <c:v>0.41367568491819712</c:v>
                </c:pt>
                <c:pt idx="15">
                  <c:v>0.42164154208150723</c:v>
                </c:pt>
                <c:pt idx="16">
                  <c:v>0.42301524562463522</c:v>
                </c:pt>
                <c:pt idx="17">
                  <c:v>0.42930208134696668</c:v>
                </c:pt>
                <c:pt idx="18">
                  <c:v>0.43681334479278716</c:v>
                </c:pt>
                <c:pt idx="19">
                  <c:v>0.44373224970955505</c:v>
                </c:pt>
                <c:pt idx="20">
                  <c:v>0.44806482254079993</c:v>
                </c:pt>
                <c:pt idx="21">
                  <c:v>0.45006591319215844</c:v>
                </c:pt>
                <c:pt idx="22">
                  <c:v>0.46075864464412963</c:v>
                </c:pt>
                <c:pt idx="23">
                  <c:v>0.4664168861145449</c:v>
                </c:pt>
                <c:pt idx="24">
                  <c:v>0.47071925754021876</c:v>
                </c:pt>
                <c:pt idx="25">
                  <c:v>0.47485497352463407</c:v>
                </c:pt>
                <c:pt idx="26">
                  <c:v>0.48027554050155113</c:v>
                </c:pt>
                <c:pt idx="27">
                  <c:v>0.48912593407439814</c:v>
                </c:pt>
                <c:pt idx="28">
                  <c:v>0.49272423238610868</c:v>
                </c:pt>
                <c:pt idx="29">
                  <c:v>0.49863380698763704</c:v>
                </c:pt>
                <c:pt idx="30">
                  <c:v>0.50489485609204243</c:v>
                </c:pt>
                <c:pt idx="31">
                  <c:v>0.51140649263799387</c:v>
                </c:pt>
                <c:pt idx="32">
                  <c:v>0.51695486246287436</c:v>
                </c:pt>
                <c:pt idx="33">
                  <c:v>0.5230208781314114</c:v>
                </c:pt>
                <c:pt idx="34">
                  <c:v>0.52888687014085956</c:v>
                </c:pt>
                <c:pt idx="35">
                  <c:v>0.5338996606724199</c:v>
                </c:pt>
                <c:pt idx="36">
                  <c:v>0.5382423149871941</c:v>
                </c:pt>
                <c:pt idx="37">
                  <c:v>0.54255524566298863</c:v>
                </c:pt>
                <c:pt idx="38">
                  <c:v>0.54288143048420101</c:v>
                </c:pt>
                <c:pt idx="39">
                  <c:v>0.53895837353699472</c:v>
                </c:pt>
                <c:pt idx="40">
                  <c:v>0.53056229880859318</c:v>
                </c:pt>
                <c:pt idx="41">
                  <c:v>0.51411028947277604</c:v>
                </c:pt>
                <c:pt idx="42">
                  <c:v>0.48622867768376793</c:v>
                </c:pt>
                <c:pt idx="43">
                  <c:v>0.44839304362135596</c:v>
                </c:pt>
                <c:pt idx="44">
                  <c:v>0.39639303195136733</c:v>
                </c:pt>
                <c:pt idx="45">
                  <c:v>0.33949338377106414</c:v>
                </c:pt>
                <c:pt idx="46">
                  <c:v>0.27776832273632868</c:v>
                </c:pt>
                <c:pt idx="47">
                  <c:v>0.2269310638885696</c:v>
                </c:pt>
                <c:pt idx="48">
                  <c:v>0.18872032914738826</c:v>
                </c:pt>
                <c:pt idx="49">
                  <c:v>0.15652123550097158</c:v>
                </c:pt>
                <c:pt idx="50">
                  <c:v>0.12663712625738019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0E-4D42-99CF-F8FC7B37CBDF}"/>
            </c:ext>
          </c:extLst>
        </c:ser>
        <c:ser>
          <c:idx val="1"/>
          <c:order val="1"/>
          <c:tx>
            <c:v>Certificate OR\RA-2899</c:v>
          </c:tx>
          <c:spPr>
            <a:ln w="28575">
              <a:noFill/>
            </a:ln>
          </c:spPr>
          <c:marker>
            <c:symbol val="square"/>
            <c:size val="3"/>
          </c:marker>
          <c:errBars>
            <c:errDir val="y"/>
            <c:errBarType val="both"/>
            <c:errValType val="cust"/>
            <c:noEndCap val="0"/>
            <c:plus>
              <c:numRef>
                <c:f>'Averaged data'!$K$4:$K$44</c:f>
                <c:numCache>
                  <c:formatCode>General</c:formatCode>
                  <c:ptCount val="41"/>
                  <c:pt idx="0">
                    <c:v>8.6320000000000008E-3</c:v>
                  </c:pt>
                  <c:pt idx="1">
                    <c:v>8.7620000000000007E-3</c:v>
                  </c:pt>
                  <c:pt idx="2">
                    <c:v>8.8920000000000006E-3</c:v>
                  </c:pt>
                  <c:pt idx="3">
                    <c:v>9.0219999999999988E-3</c:v>
                  </c:pt>
                  <c:pt idx="4">
                    <c:v>9.2039999999999986E-3</c:v>
                  </c:pt>
                  <c:pt idx="5">
                    <c:v>9.3599999999999985E-3</c:v>
                  </c:pt>
                  <c:pt idx="6">
                    <c:v>9.5160000000000002E-3</c:v>
                  </c:pt>
                  <c:pt idx="7">
                    <c:v>9.672E-3</c:v>
                  </c:pt>
                  <c:pt idx="8">
                    <c:v>9.8279999999999999E-3</c:v>
                  </c:pt>
                  <c:pt idx="9">
                    <c:v>1.001E-2</c:v>
                  </c:pt>
                  <c:pt idx="10">
                    <c:v>1.0166E-2</c:v>
                  </c:pt>
                  <c:pt idx="11">
                    <c:v>1.0348E-2</c:v>
                  </c:pt>
                  <c:pt idx="12">
                    <c:v>1.0503999999999999E-2</c:v>
                  </c:pt>
                  <c:pt idx="13">
                    <c:v>1.0659999999999999E-2</c:v>
                  </c:pt>
                  <c:pt idx="14">
                    <c:v>1.0841999999999999E-2</c:v>
                  </c:pt>
                  <c:pt idx="15">
                    <c:v>1.0945999999999999E-2</c:v>
                  </c:pt>
                  <c:pt idx="16">
                    <c:v>1.1101999999999999E-2</c:v>
                  </c:pt>
                  <c:pt idx="17">
                    <c:v>1.1231999999999999E-2</c:v>
                  </c:pt>
                  <c:pt idx="18">
                    <c:v>1.1413999999999999E-2</c:v>
                  </c:pt>
                  <c:pt idx="19">
                    <c:v>1.157E-2</c:v>
                  </c:pt>
                  <c:pt idx="20">
                    <c:v>1.17E-2</c:v>
                  </c:pt>
                  <c:pt idx="21">
                    <c:v>1.1856E-2</c:v>
                  </c:pt>
                  <c:pt idx="22">
                    <c:v>1.1986E-2</c:v>
                  </c:pt>
                  <c:pt idx="23">
                    <c:v>1.2168E-2</c:v>
                  </c:pt>
                  <c:pt idx="24">
                    <c:v>1.2323999999999998E-2</c:v>
                  </c:pt>
                  <c:pt idx="25">
                    <c:v>1.2454E-2</c:v>
                  </c:pt>
                  <c:pt idx="26">
                    <c:v>1.2636E-2</c:v>
                  </c:pt>
                  <c:pt idx="27">
                    <c:v>1.2766E-2</c:v>
                  </c:pt>
                  <c:pt idx="28">
                    <c:v>1.2895999999999999E-2</c:v>
                  </c:pt>
                  <c:pt idx="29">
                    <c:v>1.3025999999999999E-2</c:v>
                  </c:pt>
                  <c:pt idx="30">
                    <c:v>1.3181999999999999E-2</c:v>
                  </c:pt>
                  <c:pt idx="31">
                    <c:v>1.3337999999999999E-2</c:v>
                  </c:pt>
                  <c:pt idx="32">
                    <c:v>1.3519999999999999E-2</c:v>
                  </c:pt>
                  <c:pt idx="33">
                    <c:v>1.3650000000000001E-2</c:v>
                  </c:pt>
                  <c:pt idx="34">
                    <c:v>1.3806000000000001E-2</c:v>
                  </c:pt>
                  <c:pt idx="35">
                    <c:v>1.391E-2</c:v>
                  </c:pt>
                  <c:pt idx="36">
                    <c:v>1.391E-2</c:v>
                  </c:pt>
                  <c:pt idx="37">
                    <c:v>1.3936E-2</c:v>
                  </c:pt>
                  <c:pt idx="38">
                    <c:v>1.391E-2</c:v>
                  </c:pt>
                  <c:pt idx="39">
                    <c:v>1.3806000000000001E-2</c:v>
                  </c:pt>
                  <c:pt idx="40">
                    <c:v>1.3728000000000001E-2</c:v>
                  </c:pt>
                </c:numCache>
              </c:numRef>
            </c:plus>
            <c:minus>
              <c:numRef>
                <c:f>'Averaged data'!$K$4:$K$44</c:f>
                <c:numCache>
                  <c:formatCode>General</c:formatCode>
                  <c:ptCount val="41"/>
                  <c:pt idx="0">
                    <c:v>8.6320000000000008E-3</c:v>
                  </c:pt>
                  <c:pt idx="1">
                    <c:v>8.7620000000000007E-3</c:v>
                  </c:pt>
                  <c:pt idx="2">
                    <c:v>8.8920000000000006E-3</c:v>
                  </c:pt>
                  <c:pt idx="3">
                    <c:v>9.0219999999999988E-3</c:v>
                  </c:pt>
                  <c:pt idx="4">
                    <c:v>9.2039999999999986E-3</c:v>
                  </c:pt>
                  <c:pt idx="5">
                    <c:v>9.3599999999999985E-3</c:v>
                  </c:pt>
                  <c:pt idx="6">
                    <c:v>9.5160000000000002E-3</c:v>
                  </c:pt>
                  <c:pt idx="7">
                    <c:v>9.672E-3</c:v>
                  </c:pt>
                  <c:pt idx="8">
                    <c:v>9.8279999999999999E-3</c:v>
                  </c:pt>
                  <c:pt idx="9">
                    <c:v>1.001E-2</c:v>
                  </c:pt>
                  <c:pt idx="10">
                    <c:v>1.0166E-2</c:v>
                  </c:pt>
                  <c:pt idx="11">
                    <c:v>1.0348E-2</c:v>
                  </c:pt>
                  <c:pt idx="12">
                    <c:v>1.0503999999999999E-2</c:v>
                  </c:pt>
                  <c:pt idx="13">
                    <c:v>1.0659999999999999E-2</c:v>
                  </c:pt>
                  <c:pt idx="14">
                    <c:v>1.0841999999999999E-2</c:v>
                  </c:pt>
                  <c:pt idx="15">
                    <c:v>1.0945999999999999E-2</c:v>
                  </c:pt>
                  <c:pt idx="16">
                    <c:v>1.1101999999999999E-2</c:v>
                  </c:pt>
                  <c:pt idx="17">
                    <c:v>1.1231999999999999E-2</c:v>
                  </c:pt>
                  <c:pt idx="18">
                    <c:v>1.1413999999999999E-2</c:v>
                  </c:pt>
                  <c:pt idx="19">
                    <c:v>1.157E-2</c:v>
                  </c:pt>
                  <c:pt idx="20">
                    <c:v>1.17E-2</c:v>
                  </c:pt>
                  <c:pt idx="21">
                    <c:v>1.1856E-2</c:v>
                  </c:pt>
                  <c:pt idx="22">
                    <c:v>1.1986E-2</c:v>
                  </c:pt>
                  <c:pt idx="23">
                    <c:v>1.2168E-2</c:v>
                  </c:pt>
                  <c:pt idx="24">
                    <c:v>1.2323999999999998E-2</c:v>
                  </c:pt>
                  <c:pt idx="25">
                    <c:v>1.2454E-2</c:v>
                  </c:pt>
                  <c:pt idx="26">
                    <c:v>1.2636E-2</c:v>
                  </c:pt>
                  <c:pt idx="27">
                    <c:v>1.2766E-2</c:v>
                  </c:pt>
                  <c:pt idx="28">
                    <c:v>1.2895999999999999E-2</c:v>
                  </c:pt>
                  <c:pt idx="29">
                    <c:v>1.3025999999999999E-2</c:v>
                  </c:pt>
                  <c:pt idx="30">
                    <c:v>1.3181999999999999E-2</c:v>
                  </c:pt>
                  <c:pt idx="31">
                    <c:v>1.3337999999999999E-2</c:v>
                  </c:pt>
                  <c:pt idx="32">
                    <c:v>1.3519999999999999E-2</c:v>
                  </c:pt>
                  <c:pt idx="33">
                    <c:v>1.3650000000000001E-2</c:v>
                  </c:pt>
                  <c:pt idx="34">
                    <c:v>1.3806000000000001E-2</c:v>
                  </c:pt>
                  <c:pt idx="35">
                    <c:v>1.391E-2</c:v>
                  </c:pt>
                  <c:pt idx="36">
                    <c:v>1.391E-2</c:v>
                  </c:pt>
                  <c:pt idx="37">
                    <c:v>1.3936E-2</c:v>
                  </c:pt>
                  <c:pt idx="38">
                    <c:v>1.391E-2</c:v>
                  </c:pt>
                  <c:pt idx="39">
                    <c:v>1.3806000000000001E-2</c:v>
                  </c:pt>
                  <c:pt idx="40">
                    <c:v>1.3728000000000001E-2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'Averaged data'!$A$4:$A$54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'Averaged data'!$J$4:$J$44</c:f>
              <c:numCache>
                <c:formatCode>0.000</c:formatCode>
                <c:ptCount val="41"/>
                <c:pt idx="0">
                  <c:v>0.33200000000000002</c:v>
                </c:pt>
                <c:pt idx="1">
                  <c:v>0.33700000000000002</c:v>
                </c:pt>
                <c:pt idx="2">
                  <c:v>0.34200000000000003</c:v>
                </c:pt>
                <c:pt idx="3">
                  <c:v>0.34699999999999998</c:v>
                </c:pt>
                <c:pt idx="4">
                  <c:v>0.35399999999999998</c:v>
                </c:pt>
                <c:pt idx="5">
                  <c:v>0.36</c:v>
                </c:pt>
                <c:pt idx="6">
                  <c:v>0.36599999999999999</c:v>
                </c:pt>
                <c:pt idx="7">
                  <c:v>0.372</c:v>
                </c:pt>
                <c:pt idx="8">
                  <c:v>0.378</c:v>
                </c:pt>
                <c:pt idx="9">
                  <c:v>0.38500000000000001</c:v>
                </c:pt>
                <c:pt idx="10">
                  <c:v>0.39100000000000001</c:v>
                </c:pt>
                <c:pt idx="11">
                  <c:v>0.39800000000000002</c:v>
                </c:pt>
                <c:pt idx="12">
                  <c:v>0.40400000000000003</c:v>
                </c:pt>
                <c:pt idx="13">
                  <c:v>0.41</c:v>
                </c:pt>
                <c:pt idx="14">
                  <c:v>0.41699999999999998</c:v>
                </c:pt>
                <c:pt idx="15">
                  <c:v>0.42099999999999999</c:v>
                </c:pt>
                <c:pt idx="16">
                  <c:v>0.42699999999999999</c:v>
                </c:pt>
                <c:pt idx="17">
                  <c:v>0.432</c:v>
                </c:pt>
                <c:pt idx="18">
                  <c:v>0.439</c:v>
                </c:pt>
                <c:pt idx="19">
                  <c:v>0.44500000000000001</c:v>
                </c:pt>
                <c:pt idx="20">
                  <c:v>0.45</c:v>
                </c:pt>
                <c:pt idx="21">
                  <c:v>0.45600000000000002</c:v>
                </c:pt>
                <c:pt idx="22">
                  <c:v>0.46100000000000002</c:v>
                </c:pt>
                <c:pt idx="23">
                  <c:v>0.46800000000000003</c:v>
                </c:pt>
                <c:pt idx="24">
                  <c:v>0.47399999999999998</c:v>
                </c:pt>
                <c:pt idx="25">
                  <c:v>0.47899999999999998</c:v>
                </c:pt>
                <c:pt idx="26">
                  <c:v>0.48599999999999999</c:v>
                </c:pt>
                <c:pt idx="27">
                  <c:v>0.49099999999999999</c:v>
                </c:pt>
                <c:pt idx="28">
                  <c:v>0.496</c:v>
                </c:pt>
                <c:pt idx="29">
                  <c:v>0.501</c:v>
                </c:pt>
                <c:pt idx="30">
                  <c:v>0.50700000000000001</c:v>
                </c:pt>
                <c:pt idx="31">
                  <c:v>0.51300000000000001</c:v>
                </c:pt>
                <c:pt idx="32">
                  <c:v>0.52</c:v>
                </c:pt>
                <c:pt idx="33">
                  <c:v>0.52500000000000002</c:v>
                </c:pt>
                <c:pt idx="34">
                  <c:v>0.53100000000000003</c:v>
                </c:pt>
                <c:pt idx="35">
                  <c:v>0.53500000000000003</c:v>
                </c:pt>
                <c:pt idx="36">
                  <c:v>0.53500000000000003</c:v>
                </c:pt>
                <c:pt idx="37">
                  <c:v>0.53600000000000003</c:v>
                </c:pt>
                <c:pt idx="38">
                  <c:v>0.53500000000000003</c:v>
                </c:pt>
                <c:pt idx="39">
                  <c:v>0.53100000000000003</c:v>
                </c:pt>
                <c:pt idx="40">
                  <c:v>0.52800000000000002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0E-4D42-99CF-F8FC7B37CBDF}"/>
            </c:ext>
          </c:extLst>
        </c:ser>
        <c:ser>
          <c:idx val="2"/>
          <c:order val="2"/>
          <c:tx>
            <c:v>Certifcate OR\SR-3592</c:v>
          </c:tx>
          <c:spPr>
            <a:ln w="28575">
              <a:noFill/>
            </a:ln>
          </c:spPr>
          <c:marker>
            <c:symbol val="triangle"/>
            <c:size val="4"/>
          </c:marker>
          <c:errBars>
            <c:errDir val="y"/>
            <c:errBarType val="both"/>
            <c:errValType val="cust"/>
            <c:noEndCap val="0"/>
            <c:plus>
              <c:numRef>
                <c:f>'Averaged data'!$O$4:$O$54</c:f>
                <c:numCache>
                  <c:formatCode>General</c:formatCode>
                  <c:ptCount val="51"/>
                  <c:pt idx="0">
                    <c:v>6.4200000000000004E-3</c:v>
                  </c:pt>
                  <c:pt idx="1">
                    <c:v>6.5000000000000006E-3</c:v>
                  </c:pt>
                  <c:pt idx="2">
                    <c:v>6.6000000000000008E-3</c:v>
                  </c:pt>
                  <c:pt idx="3">
                    <c:v>6.6800000000000002E-3</c:v>
                  </c:pt>
                  <c:pt idx="4">
                    <c:v>6.7800000000000004E-3</c:v>
                  </c:pt>
                  <c:pt idx="5">
                    <c:v>6.8999999999999999E-3</c:v>
                  </c:pt>
                  <c:pt idx="6">
                    <c:v>6.9800000000000001E-3</c:v>
                  </c:pt>
                  <c:pt idx="7">
                    <c:v>7.0599999999999994E-3</c:v>
                  </c:pt>
                  <c:pt idx="8">
                    <c:v>7.1399999999999996E-3</c:v>
                  </c:pt>
                  <c:pt idx="9">
                    <c:v>7.28E-3</c:v>
                  </c:pt>
                  <c:pt idx="10">
                    <c:v>7.4000000000000003E-3</c:v>
                  </c:pt>
                  <c:pt idx="11">
                    <c:v>7.4800000000000005E-3</c:v>
                  </c:pt>
                  <c:pt idx="12">
                    <c:v>7.6E-3</c:v>
                  </c:pt>
                  <c:pt idx="13">
                    <c:v>7.6800000000000002E-3</c:v>
                  </c:pt>
                  <c:pt idx="14">
                    <c:v>7.7800000000000005E-3</c:v>
                  </c:pt>
                  <c:pt idx="15">
                    <c:v>7.8600000000000007E-3</c:v>
                  </c:pt>
                  <c:pt idx="16">
                    <c:v>7.980000000000001E-3</c:v>
                  </c:pt>
                  <c:pt idx="17">
                    <c:v>8.0600000000000012E-3</c:v>
                  </c:pt>
                  <c:pt idx="18">
                    <c:v>8.1599999999999989E-3</c:v>
                  </c:pt>
                  <c:pt idx="19">
                    <c:v>8.26E-3</c:v>
                  </c:pt>
                  <c:pt idx="20">
                    <c:v>8.3599999999999994E-3</c:v>
                  </c:pt>
                  <c:pt idx="21">
                    <c:v>8.4600000000000005E-3</c:v>
                  </c:pt>
                  <c:pt idx="22">
                    <c:v>8.5599999999999999E-3</c:v>
                  </c:pt>
                  <c:pt idx="23">
                    <c:v>8.6800000000000002E-3</c:v>
                  </c:pt>
                  <c:pt idx="24">
                    <c:v>8.7799999999999996E-3</c:v>
                  </c:pt>
                  <c:pt idx="25">
                    <c:v>8.9200000000000008E-3</c:v>
                  </c:pt>
                  <c:pt idx="26">
                    <c:v>9.0200000000000002E-3</c:v>
                  </c:pt>
                  <c:pt idx="27">
                    <c:v>9.1200000000000014E-3</c:v>
                  </c:pt>
                  <c:pt idx="28">
                    <c:v>9.2200000000000008E-3</c:v>
                  </c:pt>
                  <c:pt idx="29">
                    <c:v>9.3400000000000011E-3</c:v>
                  </c:pt>
                  <c:pt idx="30">
                    <c:v>9.4400000000000005E-3</c:v>
                  </c:pt>
                  <c:pt idx="31">
                    <c:v>9.5399999999999999E-3</c:v>
                  </c:pt>
                  <c:pt idx="32">
                    <c:v>9.6399999999999993E-3</c:v>
                  </c:pt>
                  <c:pt idx="33">
                    <c:v>9.7599999999999996E-3</c:v>
                  </c:pt>
                  <c:pt idx="34">
                    <c:v>9.8399999999999998E-3</c:v>
                  </c:pt>
                  <c:pt idx="35">
                    <c:v>9.92E-3</c:v>
                  </c:pt>
                  <c:pt idx="36">
                    <c:v>1.512E-2</c:v>
                  </c:pt>
                  <c:pt idx="37">
                    <c:v>1.521E-2</c:v>
                  </c:pt>
                  <c:pt idx="38">
                    <c:v>1.515E-2</c:v>
                  </c:pt>
                  <c:pt idx="39">
                    <c:v>1.4969999999999999E-2</c:v>
                  </c:pt>
                  <c:pt idx="40">
                    <c:v>1.461E-2</c:v>
                  </c:pt>
                  <c:pt idx="41">
                    <c:v>1.401E-2</c:v>
                  </c:pt>
                  <c:pt idx="42">
                    <c:v>1.3139999999999999E-2</c:v>
                  </c:pt>
                  <c:pt idx="43">
                    <c:v>1.191E-2</c:v>
                  </c:pt>
                  <c:pt idx="44">
                    <c:v>1.044E-2</c:v>
                  </c:pt>
                  <c:pt idx="45">
                    <c:v>1.1639999999999999E-2</c:v>
                  </c:pt>
                  <c:pt idx="46">
                    <c:v>9.2800000000000001E-3</c:v>
                  </c:pt>
                  <c:pt idx="47">
                    <c:v>7.5599999999999999E-3</c:v>
                  </c:pt>
                  <c:pt idx="48">
                    <c:v>6.2399999999999999E-3</c:v>
                  </c:pt>
                  <c:pt idx="49">
                    <c:v>5.0400000000000002E-3</c:v>
                  </c:pt>
                  <c:pt idx="50">
                    <c:v>4.0799999999999994E-3</c:v>
                  </c:pt>
                </c:numCache>
              </c:numRef>
            </c:plus>
            <c:minus>
              <c:numRef>
                <c:f>'Averaged data'!$O$4:$O$54</c:f>
                <c:numCache>
                  <c:formatCode>General</c:formatCode>
                  <c:ptCount val="51"/>
                  <c:pt idx="0">
                    <c:v>6.4200000000000004E-3</c:v>
                  </c:pt>
                  <c:pt idx="1">
                    <c:v>6.5000000000000006E-3</c:v>
                  </c:pt>
                  <c:pt idx="2">
                    <c:v>6.6000000000000008E-3</c:v>
                  </c:pt>
                  <c:pt idx="3">
                    <c:v>6.6800000000000002E-3</c:v>
                  </c:pt>
                  <c:pt idx="4">
                    <c:v>6.7800000000000004E-3</c:v>
                  </c:pt>
                  <c:pt idx="5">
                    <c:v>6.8999999999999999E-3</c:v>
                  </c:pt>
                  <c:pt idx="6">
                    <c:v>6.9800000000000001E-3</c:v>
                  </c:pt>
                  <c:pt idx="7">
                    <c:v>7.0599999999999994E-3</c:v>
                  </c:pt>
                  <c:pt idx="8">
                    <c:v>7.1399999999999996E-3</c:v>
                  </c:pt>
                  <c:pt idx="9">
                    <c:v>7.28E-3</c:v>
                  </c:pt>
                  <c:pt idx="10">
                    <c:v>7.4000000000000003E-3</c:v>
                  </c:pt>
                  <c:pt idx="11">
                    <c:v>7.4800000000000005E-3</c:v>
                  </c:pt>
                  <c:pt idx="12">
                    <c:v>7.6E-3</c:v>
                  </c:pt>
                  <c:pt idx="13">
                    <c:v>7.6800000000000002E-3</c:v>
                  </c:pt>
                  <c:pt idx="14">
                    <c:v>7.7800000000000005E-3</c:v>
                  </c:pt>
                  <c:pt idx="15">
                    <c:v>7.8600000000000007E-3</c:v>
                  </c:pt>
                  <c:pt idx="16">
                    <c:v>7.980000000000001E-3</c:v>
                  </c:pt>
                  <c:pt idx="17">
                    <c:v>8.0600000000000012E-3</c:v>
                  </c:pt>
                  <c:pt idx="18">
                    <c:v>8.1599999999999989E-3</c:v>
                  </c:pt>
                  <c:pt idx="19">
                    <c:v>8.26E-3</c:v>
                  </c:pt>
                  <c:pt idx="20">
                    <c:v>8.3599999999999994E-3</c:v>
                  </c:pt>
                  <c:pt idx="21">
                    <c:v>8.4600000000000005E-3</c:v>
                  </c:pt>
                  <c:pt idx="22">
                    <c:v>8.5599999999999999E-3</c:v>
                  </c:pt>
                  <c:pt idx="23">
                    <c:v>8.6800000000000002E-3</c:v>
                  </c:pt>
                  <c:pt idx="24">
                    <c:v>8.7799999999999996E-3</c:v>
                  </c:pt>
                  <c:pt idx="25">
                    <c:v>8.9200000000000008E-3</c:v>
                  </c:pt>
                  <c:pt idx="26">
                    <c:v>9.0200000000000002E-3</c:v>
                  </c:pt>
                  <c:pt idx="27">
                    <c:v>9.1200000000000014E-3</c:v>
                  </c:pt>
                  <c:pt idx="28">
                    <c:v>9.2200000000000008E-3</c:v>
                  </c:pt>
                  <c:pt idx="29">
                    <c:v>9.3400000000000011E-3</c:v>
                  </c:pt>
                  <c:pt idx="30">
                    <c:v>9.4400000000000005E-3</c:v>
                  </c:pt>
                  <c:pt idx="31">
                    <c:v>9.5399999999999999E-3</c:v>
                  </c:pt>
                  <c:pt idx="32">
                    <c:v>9.6399999999999993E-3</c:v>
                  </c:pt>
                  <c:pt idx="33">
                    <c:v>9.7599999999999996E-3</c:v>
                  </c:pt>
                  <c:pt idx="34">
                    <c:v>9.8399999999999998E-3</c:v>
                  </c:pt>
                  <c:pt idx="35">
                    <c:v>9.92E-3</c:v>
                  </c:pt>
                  <c:pt idx="36">
                    <c:v>1.512E-2</c:v>
                  </c:pt>
                  <c:pt idx="37">
                    <c:v>1.521E-2</c:v>
                  </c:pt>
                  <c:pt idx="38">
                    <c:v>1.515E-2</c:v>
                  </c:pt>
                  <c:pt idx="39">
                    <c:v>1.4969999999999999E-2</c:v>
                  </c:pt>
                  <c:pt idx="40">
                    <c:v>1.461E-2</c:v>
                  </c:pt>
                  <c:pt idx="41">
                    <c:v>1.401E-2</c:v>
                  </c:pt>
                  <c:pt idx="42">
                    <c:v>1.3139999999999999E-2</c:v>
                  </c:pt>
                  <c:pt idx="43">
                    <c:v>1.191E-2</c:v>
                  </c:pt>
                  <c:pt idx="44">
                    <c:v>1.044E-2</c:v>
                  </c:pt>
                  <c:pt idx="45">
                    <c:v>1.1639999999999999E-2</c:v>
                  </c:pt>
                  <c:pt idx="46">
                    <c:v>9.2800000000000001E-3</c:v>
                  </c:pt>
                  <c:pt idx="47">
                    <c:v>7.5599999999999999E-3</c:v>
                  </c:pt>
                  <c:pt idx="48">
                    <c:v>6.2399999999999999E-3</c:v>
                  </c:pt>
                  <c:pt idx="49">
                    <c:v>5.0400000000000002E-3</c:v>
                  </c:pt>
                  <c:pt idx="50">
                    <c:v>4.0799999999999994E-3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'Averaged data'!$A$4:$A$54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'Averaged data'!$M$4:$M$54</c:f>
              <c:numCache>
                <c:formatCode>0.000</c:formatCode>
                <c:ptCount val="51"/>
                <c:pt idx="0">
                  <c:v>0.32100000000000001</c:v>
                </c:pt>
                <c:pt idx="1">
                  <c:v>0.32500000000000001</c:v>
                </c:pt>
                <c:pt idx="2">
                  <c:v>0.33</c:v>
                </c:pt>
                <c:pt idx="3">
                  <c:v>0.33400000000000002</c:v>
                </c:pt>
                <c:pt idx="4">
                  <c:v>0.33900000000000002</c:v>
                </c:pt>
                <c:pt idx="5">
                  <c:v>0.34499999999999997</c:v>
                </c:pt>
                <c:pt idx="6">
                  <c:v>0.34899999999999998</c:v>
                </c:pt>
                <c:pt idx="7">
                  <c:v>0.35299999999999998</c:v>
                </c:pt>
                <c:pt idx="8">
                  <c:v>0.35699999999999998</c:v>
                </c:pt>
                <c:pt idx="9">
                  <c:v>0.36399999999999999</c:v>
                </c:pt>
                <c:pt idx="10">
                  <c:v>0.37</c:v>
                </c:pt>
                <c:pt idx="11">
                  <c:v>0.374</c:v>
                </c:pt>
                <c:pt idx="12">
                  <c:v>0.38</c:v>
                </c:pt>
                <c:pt idx="13">
                  <c:v>0.38400000000000001</c:v>
                </c:pt>
                <c:pt idx="14">
                  <c:v>0.38900000000000001</c:v>
                </c:pt>
                <c:pt idx="15">
                  <c:v>0.39300000000000002</c:v>
                </c:pt>
                <c:pt idx="16">
                  <c:v>0.39900000000000002</c:v>
                </c:pt>
                <c:pt idx="17">
                  <c:v>0.40300000000000002</c:v>
                </c:pt>
                <c:pt idx="18">
                  <c:v>0.40799999999999997</c:v>
                </c:pt>
                <c:pt idx="19">
                  <c:v>0.41299999999999998</c:v>
                </c:pt>
                <c:pt idx="20">
                  <c:v>0.41799999999999998</c:v>
                </c:pt>
                <c:pt idx="21">
                  <c:v>0.42299999999999999</c:v>
                </c:pt>
                <c:pt idx="22">
                  <c:v>0.42799999999999999</c:v>
                </c:pt>
                <c:pt idx="23">
                  <c:v>0.434</c:v>
                </c:pt>
                <c:pt idx="24">
                  <c:v>0.439</c:v>
                </c:pt>
                <c:pt idx="25">
                  <c:v>0.44600000000000001</c:v>
                </c:pt>
                <c:pt idx="26">
                  <c:v>0.45100000000000001</c:v>
                </c:pt>
                <c:pt idx="27">
                  <c:v>0.45600000000000002</c:v>
                </c:pt>
                <c:pt idx="28">
                  <c:v>0.46100000000000002</c:v>
                </c:pt>
                <c:pt idx="29">
                  <c:v>0.46700000000000003</c:v>
                </c:pt>
                <c:pt idx="30">
                  <c:v>0.47199999999999998</c:v>
                </c:pt>
                <c:pt idx="31">
                  <c:v>0.47699999999999998</c:v>
                </c:pt>
                <c:pt idx="32">
                  <c:v>0.48199999999999998</c:v>
                </c:pt>
                <c:pt idx="33">
                  <c:v>0.48799999999999999</c:v>
                </c:pt>
                <c:pt idx="34">
                  <c:v>0.49199999999999999</c:v>
                </c:pt>
                <c:pt idx="35">
                  <c:v>0.496</c:v>
                </c:pt>
                <c:pt idx="36">
                  <c:v>0.504</c:v>
                </c:pt>
                <c:pt idx="37">
                  <c:v>0.50700000000000001</c:v>
                </c:pt>
                <c:pt idx="38">
                  <c:v>0.505</c:v>
                </c:pt>
                <c:pt idx="39">
                  <c:v>0.499</c:v>
                </c:pt>
                <c:pt idx="40">
                  <c:v>0.48699999999999999</c:v>
                </c:pt>
                <c:pt idx="41">
                  <c:v>0.46700000000000003</c:v>
                </c:pt>
                <c:pt idx="42">
                  <c:v>0.438</c:v>
                </c:pt>
                <c:pt idx="43">
                  <c:v>0.39700000000000002</c:v>
                </c:pt>
                <c:pt idx="44">
                  <c:v>0.34799999999999998</c:v>
                </c:pt>
                <c:pt idx="45">
                  <c:v>0.29099999999999998</c:v>
                </c:pt>
                <c:pt idx="46">
                  <c:v>0.23200000000000001</c:v>
                </c:pt>
                <c:pt idx="47">
                  <c:v>0.189</c:v>
                </c:pt>
                <c:pt idx="48">
                  <c:v>0.156</c:v>
                </c:pt>
                <c:pt idx="49">
                  <c:v>0.126</c:v>
                </c:pt>
                <c:pt idx="50">
                  <c:v>0.10199999999999999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0E-4D42-99CF-F8FC7B37C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54688"/>
        <c:axId val="116772864"/>
      </c:scatterChart>
      <c:valAx>
        <c:axId val="116754688"/>
        <c:scaling>
          <c:orientation val="minMax"/>
          <c:max val="1100"/>
          <c:min val="6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layout>
            <c:manualLayout>
              <c:xMode val="edge"/>
              <c:yMode val="edge"/>
              <c:x val="0.4876601486848936"/>
              <c:y val="0.946586078647573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6772864"/>
        <c:crosses val="autoZero"/>
        <c:crossBetween val="midCat"/>
      </c:valAx>
      <c:valAx>
        <c:axId val="116772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Absolute spectral power responsivity [A/W]</a:t>
                </a:r>
              </a:p>
            </c:rich>
          </c:tx>
          <c:layout>
            <c:manualLayout>
              <c:xMode val="edge"/>
              <c:yMode val="edge"/>
              <c:x val="1.4475091401994678E-2"/>
              <c:y val="0.240717222369225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116754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496693537882092"/>
          <c:y val="0.64917436765101355"/>
          <c:w val="0.19779171960303538"/>
          <c:h val="0.16985913180299803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0</xdr:row>
      <xdr:rowOff>202405</xdr:rowOff>
    </xdr:from>
    <xdr:ext cx="2321718" cy="4485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B0EC690-8BA0-4EBD-93B4-A1E5376C4938}"/>
                </a:ext>
              </a:extLst>
            </xdr:cNvPr>
            <xdr:cNvSpPr txBox="1"/>
          </xdr:nvSpPr>
          <xdr:spPr>
            <a:xfrm>
              <a:off x="14180344" y="202405"/>
              <a:ext cx="2321718" cy="448584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ZA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𝑈𝑈𝑇</m:t>
                        </m:r>
                      </m:sub>
                    </m:sSub>
                    <m:r>
                      <a:rPr lang="en-ZA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r>
                      <a:rPr lang="en-ZA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𝜆</m:t>
                    </m:r>
                    <m:r>
                      <a:rPr lang="en-ZA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  <m:r>
                      <a:rPr lang="en-ZA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ZA" sz="14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𝑆𝑇𝐷</m:t>
                        </m:r>
                      </m:sub>
                    </m:sSub>
                    <m:r>
                      <a:rPr lang="en-ZA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r>
                      <a:rPr lang="en-ZA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𝜆</m:t>
                    </m:r>
                    <m:r>
                      <a:rPr lang="en-ZA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  <m:r>
                      <a:rPr lang="en-ZA" sz="1600" b="0" i="1">
                        <a:latin typeface="Cambria Math" panose="02040503050406030204" pitchFamily="18" charset="0"/>
                      </a:rPr>
                      <m:t> </m:t>
                    </m:r>
                    <m:f>
                      <m:fPr>
                        <m:ctrlPr>
                          <a:rPr lang="en-ZA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ZA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ZA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ZA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𝑈𝑈𝑇</m:t>
                            </m:r>
                          </m:sub>
                        </m:sSub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𝜆</m:t>
                        </m:r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num>
                      <m:den>
                        <m:sSub>
                          <m:sSubPr>
                            <m:ctrlPr>
                              <a:rPr lang="en-ZA" sz="14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ZA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𝑉</m:t>
                            </m:r>
                          </m:e>
                          <m:sub>
                            <m:r>
                              <a:rPr lang="en-ZA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𝑆𝑇𝐷</m:t>
                            </m:r>
                          </m:sub>
                        </m:sSub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𝜆</m:t>
                        </m:r>
                        <m:r>
                          <a:rPr lang="en-ZA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den>
                    </m:f>
                  </m:oMath>
                </m:oMathPara>
              </a14:m>
              <a:endParaRPr lang="en-ZA" sz="12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8B0EC690-8BA0-4EBD-93B4-A1E5376C4938}"/>
                </a:ext>
              </a:extLst>
            </xdr:cNvPr>
            <xdr:cNvSpPr txBox="1"/>
          </xdr:nvSpPr>
          <xdr:spPr>
            <a:xfrm>
              <a:off x="14180344" y="202405"/>
              <a:ext cx="2321718" cy="448584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ZA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𝑠_𝑈𝑈𝑇 (𝜆)</a:t>
              </a:r>
              <a:r>
                <a:rPr lang="en-ZA" sz="1600" b="0" i="0">
                  <a:latin typeface="Cambria Math" panose="02040503050406030204" pitchFamily="18" charset="0"/>
                </a:rPr>
                <a:t>=</a:t>
              </a:r>
              <a:r>
                <a:rPr lang="en-ZA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𝑠_𝑆𝑇𝐷 (𝜆)</a:t>
              </a:r>
              <a:r>
                <a:rPr lang="en-ZA" sz="1600" b="0" i="0">
                  <a:latin typeface="Cambria Math" panose="02040503050406030204" pitchFamily="18" charset="0"/>
                </a:rPr>
                <a:t> </a:t>
              </a:r>
              <a:r>
                <a:rPr lang="en-ZA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Z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ZA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𝑉_𝑈𝑈𝑇 (𝜆)</a:t>
              </a:r>
              <a:r>
                <a:rPr lang="en-Z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ZA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𝑉_𝑆𝑇𝐷 (𝜆)</a:t>
              </a:r>
              <a:r>
                <a:rPr lang="en-Z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ZA" sz="12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63501</xdr:colOff>
      <xdr:row>3</xdr:row>
      <xdr:rowOff>74084</xdr:rowOff>
    </xdr:from>
    <xdr:to>
      <xdr:col>30</xdr:col>
      <xdr:colOff>275168</xdr:colOff>
      <xdr:row>30</xdr:row>
      <xdr:rowOff>21167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8DBEEB-A38D-41A1-811C-B27AEED9B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ORW522RA%20Final%20Cal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pectral Response_Set1"/>
      <sheetName val="Final Spectral Response_Set2"/>
      <sheetName val="Final Spectral Response_Set3_4"/>
      <sheetName val="Averaged data"/>
      <sheetName val="Pyro absorbance"/>
    </sheetNames>
    <sheetDataSet>
      <sheetData sheetId="0">
        <row r="13">
          <cell r="X13">
            <v>0.33252653483901484</v>
          </cell>
        </row>
        <row r="14">
          <cell r="X14">
            <v>0.3370954587514286</v>
          </cell>
        </row>
        <row r="15">
          <cell r="X15">
            <v>0.34396808352795444</v>
          </cell>
        </row>
        <row r="16">
          <cell r="X16">
            <v>0.35023695578677977</v>
          </cell>
        </row>
        <row r="17">
          <cell r="X17">
            <v>0.35624908551138407</v>
          </cell>
        </row>
        <row r="18">
          <cell r="X18">
            <v>0.36054186567946828</v>
          </cell>
        </row>
        <row r="19">
          <cell r="X19">
            <v>0.36460490128778755</v>
          </cell>
        </row>
        <row r="20">
          <cell r="X20">
            <v>0.37436624962618475</v>
          </cell>
        </row>
        <row r="21">
          <cell r="X21">
            <v>0.37852257952290802</v>
          </cell>
        </row>
        <row r="22">
          <cell r="X22">
            <v>0.38838649990390739</v>
          </cell>
        </row>
        <row r="23">
          <cell r="X23">
            <v>0.38980403168018707</v>
          </cell>
        </row>
        <row r="24">
          <cell r="X24">
            <v>0.39616817474627669</v>
          </cell>
        </row>
        <row r="25">
          <cell r="X25">
            <v>0.40322865404119485</v>
          </cell>
        </row>
        <row r="26">
          <cell r="X26">
            <v>0.40628510455141786</v>
          </cell>
        </row>
        <row r="27">
          <cell r="X27">
            <v>0.41488698076567992</v>
          </cell>
        </row>
        <row r="28">
          <cell r="X28">
            <v>0.42128402440956209</v>
          </cell>
        </row>
        <row r="29">
          <cell r="X29">
            <v>0.42351892539301433</v>
          </cell>
        </row>
        <row r="30">
          <cell r="X30">
            <v>0.43064013832812092</v>
          </cell>
        </row>
        <row r="31">
          <cell r="X31">
            <v>0.43535737519692136</v>
          </cell>
        </row>
        <row r="32">
          <cell r="X32">
            <v>0.44956028795152198</v>
          </cell>
        </row>
        <row r="33">
          <cell r="X33">
            <v>0.45197808732150069</v>
          </cell>
        </row>
        <row r="34">
          <cell r="X34">
            <v>0.45513719285390608</v>
          </cell>
        </row>
        <row r="35">
          <cell r="X35">
            <v>0.46528290039917691</v>
          </cell>
        </row>
        <row r="36">
          <cell r="X36">
            <v>0.47005647198077272</v>
          </cell>
        </row>
        <row r="37">
          <cell r="X37">
            <v>0.47299750203875662</v>
          </cell>
        </row>
        <row r="38">
          <cell r="X38">
            <v>0.47892303999169911</v>
          </cell>
        </row>
        <row r="39">
          <cell r="X39">
            <v>0.48492529955526037</v>
          </cell>
        </row>
        <row r="40">
          <cell r="X40">
            <v>0.48951238791993112</v>
          </cell>
        </row>
        <row r="41">
          <cell r="X41">
            <v>0.49735574991013914</v>
          </cell>
        </row>
        <row r="42">
          <cell r="X42">
            <v>0.50322384301471701</v>
          </cell>
        </row>
        <row r="43">
          <cell r="X43">
            <v>0.51296147306470963</v>
          </cell>
        </row>
        <row r="44">
          <cell r="X44">
            <v>0.51592595743393421</v>
          </cell>
        </row>
        <row r="45">
          <cell r="X45">
            <v>0.52074169093271294</v>
          </cell>
        </row>
        <row r="46">
          <cell r="X46">
            <v>0.52886678144564336</v>
          </cell>
        </row>
        <row r="47">
          <cell r="X47">
            <v>0.53349721473486977</v>
          </cell>
        </row>
        <row r="48">
          <cell r="X48">
            <v>0.53872351610118119</v>
          </cell>
        </row>
        <row r="49">
          <cell r="X49">
            <v>0.541399805174128</v>
          </cell>
        </row>
        <row r="50">
          <cell r="X50">
            <v>0.54335581038853686</v>
          </cell>
        </row>
        <row r="51">
          <cell r="X51">
            <v>0.54366430546193967</v>
          </cell>
        </row>
        <row r="52">
          <cell r="X52">
            <v>0.54102175625259885</v>
          </cell>
        </row>
        <row r="53">
          <cell r="X53">
            <v>0.53351392325604063</v>
          </cell>
        </row>
        <row r="54">
          <cell r="X54">
            <v>0.51645548804170649</v>
          </cell>
        </row>
        <row r="55">
          <cell r="X55">
            <v>0.48930526619633652</v>
          </cell>
        </row>
        <row r="56">
          <cell r="X56">
            <v>0.45176398408000673</v>
          </cell>
        </row>
        <row r="57">
          <cell r="X57">
            <v>0.39855781987136213</v>
          </cell>
        </row>
        <row r="58">
          <cell r="X58">
            <v>0.34234912118006122</v>
          </cell>
        </row>
        <row r="59">
          <cell r="X59">
            <v>0.27967394569503656</v>
          </cell>
        </row>
        <row r="60">
          <cell r="X60">
            <v>0.22891510018834502</v>
          </cell>
        </row>
        <row r="61">
          <cell r="X61">
            <v>0.18870251738665558</v>
          </cell>
        </row>
        <row r="62">
          <cell r="X62">
            <v>0.19035358765571261</v>
          </cell>
        </row>
        <row r="70">
          <cell r="U70">
            <v>0.50854342268427333</v>
          </cell>
        </row>
        <row r="72">
          <cell r="U72">
            <v>0.51051338248080913</v>
          </cell>
        </row>
      </sheetData>
      <sheetData sheetId="1">
        <row r="13">
          <cell r="X13">
            <v>0.3327990534006296</v>
          </cell>
        </row>
        <row r="14">
          <cell r="X14">
            <v>0.33448271422883319</v>
          </cell>
        </row>
        <row r="15">
          <cell r="X15">
            <v>0.34848956302989248</v>
          </cell>
        </row>
        <row r="16">
          <cell r="X16">
            <v>0.34708076250509573</v>
          </cell>
        </row>
        <row r="17">
          <cell r="X17">
            <v>0.35065566323459424</v>
          </cell>
        </row>
        <row r="18">
          <cell r="X18">
            <v>0.35930789781905392</v>
          </cell>
        </row>
        <row r="19">
          <cell r="X19">
            <v>0.36264729276200913</v>
          </cell>
        </row>
        <row r="20">
          <cell r="X20">
            <v>0.36953165527898152</v>
          </cell>
        </row>
        <row r="21">
          <cell r="X21">
            <v>0.37778252099385617</v>
          </cell>
        </row>
        <row r="22">
          <cell r="X22">
            <v>0.3810826767699157</v>
          </cell>
        </row>
        <row r="23">
          <cell r="X23">
            <v>0.38861728899266235</v>
          </cell>
        </row>
        <row r="24">
          <cell r="X24">
            <v>0.39937102743876829</v>
          </cell>
        </row>
        <row r="25">
          <cell r="X25">
            <v>0.40855360999395396</v>
          </cell>
        </row>
        <row r="26">
          <cell r="X26">
            <v>0.40311761082291786</v>
          </cell>
        </row>
        <row r="27">
          <cell r="X27">
            <v>0.41480097472492411</v>
          </cell>
        </row>
        <row r="28">
          <cell r="X28">
            <v>0.42756629701781035</v>
          </cell>
        </row>
        <row r="29">
          <cell r="X29">
            <v>0.4227131352395298</v>
          </cell>
        </row>
        <row r="30">
          <cell r="X30">
            <v>0.42848928194710867</v>
          </cell>
        </row>
        <row r="31">
          <cell r="X31">
            <v>0.4398934461962708</v>
          </cell>
        </row>
        <row r="32">
          <cell r="X32">
            <v>0.43964351663143197</v>
          </cell>
        </row>
        <row r="33">
          <cell r="X33">
            <v>0.4504930008818534</v>
          </cell>
        </row>
        <row r="34">
          <cell r="X34">
            <v>0.44717314371669337</v>
          </cell>
        </row>
        <row r="35">
          <cell r="X35">
            <v>0.46270742776279222</v>
          </cell>
        </row>
        <row r="36">
          <cell r="X36">
            <v>0.47004249206921267</v>
          </cell>
        </row>
        <row r="37">
          <cell r="X37">
            <v>0.47449914693227496</v>
          </cell>
        </row>
        <row r="38">
          <cell r="X38">
            <v>0.47869520894467393</v>
          </cell>
        </row>
        <row r="39">
          <cell r="X39">
            <v>0.48301874038930331</v>
          </cell>
        </row>
        <row r="40">
          <cell r="X40">
            <v>0.49897501985839549</v>
          </cell>
        </row>
        <row r="41">
          <cell r="X41">
            <v>0.49562322414230081</v>
          </cell>
        </row>
        <row r="42">
          <cell r="X42">
            <v>0.50043355627686037</v>
          </cell>
        </row>
        <row r="43">
          <cell r="X43">
            <v>0.50688516466397959</v>
          </cell>
        </row>
        <row r="44">
          <cell r="X44">
            <v>0.51836513242389715</v>
          </cell>
        </row>
        <row r="45">
          <cell r="X45">
            <v>0.52362599025744039</v>
          </cell>
        </row>
        <row r="46">
          <cell r="X46">
            <v>0.52947872193270185</v>
          </cell>
        </row>
        <row r="47">
          <cell r="X47">
            <v>0.53613844572024971</v>
          </cell>
        </row>
        <row r="48">
          <cell r="X48">
            <v>0.54047981888957419</v>
          </cell>
        </row>
        <row r="49">
          <cell r="X49">
            <v>0.54503994354384977</v>
          </cell>
        </row>
        <row r="50">
          <cell r="X50">
            <v>0.55479242781638749</v>
          </cell>
        </row>
        <row r="51">
          <cell r="X51">
            <v>0.55404790446034791</v>
          </cell>
        </row>
        <row r="52">
          <cell r="X52">
            <v>0.5482161746791725</v>
          </cell>
        </row>
        <row r="53">
          <cell r="X53">
            <v>0.53999907838742378</v>
          </cell>
        </row>
      </sheetData>
      <sheetData sheetId="2">
        <row r="9">
          <cell r="Y9">
            <v>0.3332025560552957</v>
          </cell>
        </row>
        <row r="10">
          <cell r="Y10">
            <v>0.33676729933895372</v>
          </cell>
        </row>
        <row r="11">
          <cell r="Y11">
            <v>0.34528934263888067</v>
          </cell>
        </row>
        <row r="12">
          <cell r="Y12">
            <v>0.35275215430903506</v>
          </cell>
        </row>
        <row r="13">
          <cell r="Y13">
            <v>0.36166798993690247</v>
          </cell>
        </row>
        <row r="14">
          <cell r="Y14">
            <v>0.36011056634300609</v>
          </cell>
        </row>
        <row r="15">
          <cell r="Y15">
            <v>0.36685417567256706</v>
          </cell>
        </row>
        <row r="16">
          <cell r="Y16">
            <v>0.37257694389639096</v>
          </cell>
        </row>
        <row r="17">
          <cell r="Y17">
            <v>0.37859320459988755</v>
          </cell>
        </row>
        <row r="18">
          <cell r="Y18">
            <v>0.38453402602023495</v>
          </cell>
        </row>
        <row r="19">
          <cell r="Y19">
            <v>0.39017278044485071</v>
          </cell>
        </row>
        <row r="20">
          <cell r="Y20">
            <v>0.39524191795915853</v>
          </cell>
        </row>
        <row r="21">
          <cell r="Y21">
            <v>0.40191023888057109</v>
          </cell>
        </row>
        <row r="22">
          <cell r="Y22">
            <v>0.40810343649786845</v>
          </cell>
        </row>
        <row r="23">
          <cell r="Y23">
            <v>0.41426025039592312</v>
          </cell>
        </row>
        <row r="24">
          <cell r="Y24">
            <v>0.41959777818841243</v>
          </cell>
        </row>
        <row r="25">
          <cell r="Y25">
            <v>0.42692345297021572</v>
          </cell>
        </row>
        <row r="26">
          <cell r="Y26">
            <v>0.43355041809620037</v>
          </cell>
        </row>
        <row r="27">
          <cell r="Y27">
            <v>0.44067115170341553</v>
          </cell>
        </row>
        <row r="28">
          <cell r="Y28">
            <v>0.44819982590715435</v>
          </cell>
        </row>
        <row r="29">
          <cell r="Y29">
            <v>0.44863018629189089</v>
          </cell>
        </row>
        <row r="30">
          <cell r="Y30">
            <v>0.45548838121459467</v>
          </cell>
        </row>
        <row r="31">
          <cell r="Y31">
            <v>0.46279191915451029</v>
          </cell>
        </row>
        <row r="32">
          <cell r="Y32">
            <v>0.46852924734765722</v>
          </cell>
        </row>
        <row r="33">
          <cell r="Y33">
            <v>0.47491919683769923</v>
          </cell>
        </row>
        <row r="34">
          <cell r="Y34">
            <v>0.47810276637151822</v>
          </cell>
        </row>
        <row r="35">
          <cell r="Y35">
            <v>0.48497646318942911</v>
          </cell>
        </row>
        <row r="36">
          <cell r="Y36">
            <v>0.49201173789944946</v>
          </cell>
        </row>
        <row r="37">
          <cell r="Y37">
            <v>0.49918705276029324</v>
          </cell>
        </row>
        <row r="38">
          <cell r="Y38">
            <v>0.50714010189232306</v>
          </cell>
        </row>
        <row r="39">
          <cell r="Y39">
            <v>0.51060014700273548</v>
          </cell>
        </row>
        <row r="40">
          <cell r="Y40">
            <v>0.51651811514273183</v>
          </cell>
        </row>
        <row r="41">
          <cell r="Y41">
            <v>0.52384986701157599</v>
          </cell>
        </row>
        <row r="42">
          <cell r="Y42">
            <v>0.52882204938895916</v>
          </cell>
        </row>
        <row r="43">
          <cell r="Y43">
            <v>0.53585184024394961</v>
          </cell>
        </row>
        <row r="44">
          <cell r="X44">
            <v>0.54184947398721528</v>
          </cell>
          <cell r="Y44">
            <v>0.54054582739152113</v>
          </cell>
        </row>
        <row r="45">
          <cell r="X45">
            <v>0.54727991809982124</v>
          </cell>
          <cell r="Y45">
            <v>0.54609586061574356</v>
          </cell>
        </row>
        <row r="46">
          <cell r="X46">
            <v>0.55107700155837713</v>
          </cell>
          <cell r="Y46">
            <v>0.54867582972722806</v>
          </cell>
        </row>
        <row r="47">
          <cell r="X47">
            <v>0.5526978716222708</v>
          </cell>
          <cell r="Y47">
            <v>0.54941945949227389</v>
          </cell>
        </row>
        <row r="48">
          <cell r="X48">
            <v>0.5497538903590734</v>
          </cell>
          <cell r="Y48">
            <v>0.54554093316086927</v>
          </cell>
        </row>
        <row r="49">
          <cell r="X49">
            <v>0.54037355740312065</v>
          </cell>
          <cell r="Y49">
            <v>0.53721179437359412</v>
          </cell>
        </row>
        <row r="50">
          <cell r="X50">
            <v>0.52463180327296421</v>
          </cell>
          <cell r="Y50">
            <v>0.522642515257012</v>
          </cell>
        </row>
        <row r="51">
          <cell r="X51">
            <v>0.49445587151342707</v>
          </cell>
          <cell r="Y51">
            <v>0.4955626776329814</v>
          </cell>
        </row>
        <row r="52">
          <cell r="X52">
            <v>0.45540547770208695</v>
          </cell>
          <cell r="Y52">
            <v>0.45740044897432647</v>
          </cell>
        </row>
        <row r="53">
          <cell r="X53">
            <v>0.40440415219637205</v>
          </cell>
          <cell r="Y53">
            <v>0.40366815239401366</v>
          </cell>
        </row>
        <row r="54">
          <cell r="X54">
            <v>0.34573494420693968</v>
          </cell>
          <cell r="Y54">
            <v>0.34559965039197216</v>
          </cell>
        </row>
        <row r="55">
          <cell r="X55">
            <v>0.28335761160617612</v>
          </cell>
          <cell r="Y55">
            <v>0.28291759875408085</v>
          </cell>
        </row>
        <row r="56">
          <cell r="X56">
            <v>0.23089776543380761</v>
          </cell>
          <cell r="Y56">
            <v>0.23147296502157907</v>
          </cell>
        </row>
        <row r="57">
          <cell r="X57">
            <v>0.19296346202425149</v>
          </cell>
          <cell r="Y57">
            <v>0.19335213430424636</v>
          </cell>
        </row>
        <row r="58">
          <cell r="X58">
            <v>0.15891279884484941</v>
          </cell>
          <cell r="Y58">
            <v>0.15909733107778165</v>
          </cell>
        </row>
        <row r="59">
          <cell r="X59">
            <v>0.12867761284442686</v>
          </cell>
          <cell r="Y59">
            <v>0.12867098625898832</v>
          </cell>
        </row>
      </sheetData>
      <sheetData sheetId="3" refreshError="1"/>
      <sheetData sheetId="4">
        <row r="4">
          <cell r="C4">
            <v>1.0000751285691891</v>
          </cell>
          <cell r="G4">
            <v>1</v>
          </cell>
        </row>
        <row r="5">
          <cell r="C5">
            <v>1.00006942274636</v>
          </cell>
          <cell r="G5">
            <v>0.98949765691846525</v>
          </cell>
        </row>
        <row r="6">
          <cell r="C6">
            <v>1.0000502304332082</v>
          </cell>
        </row>
        <row r="7">
          <cell r="C7">
            <v>1.0000144393627355</v>
          </cell>
        </row>
        <row r="8">
          <cell r="C8">
            <v>0.99995893726794449</v>
          </cell>
        </row>
        <row r="9">
          <cell r="C9">
            <v>0.99988061188183763</v>
          </cell>
        </row>
        <row r="10">
          <cell r="C10">
            <v>0.99977635093741735</v>
          </cell>
        </row>
        <row r="11">
          <cell r="C11">
            <v>0.99964304216768596</v>
          </cell>
        </row>
        <row r="12">
          <cell r="C12">
            <v>0.99947757330564557</v>
          </cell>
        </row>
        <row r="13">
          <cell r="C13">
            <v>0.99927683208429907</v>
          </cell>
        </row>
        <row r="14">
          <cell r="C14">
            <v>0.99903770623664834</v>
          </cell>
        </row>
        <row r="15">
          <cell r="C15">
            <v>0.99875345251753223</v>
          </cell>
        </row>
        <row r="16">
          <cell r="C16">
            <v>0.99842355221578438</v>
          </cell>
        </row>
        <row r="17">
          <cell r="C17">
            <v>0.99805422986539993</v>
          </cell>
        </row>
        <row r="18">
          <cell r="C18">
            <v>0.99765171000037411</v>
          </cell>
        </row>
        <row r="19">
          <cell r="C19">
            <v>0.99722221715470238</v>
          </cell>
        </row>
        <row r="20">
          <cell r="C20">
            <v>0.99677197586237964</v>
          </cell>
        </row>
        <row r="21">
          <cell r="C21">
            <v>0.99630721065740147</v>
          </cell>
        </row>
        <row r="22">
          <cell r="C22">
            <v>0.99583414607376286</v>
          </cell>
        </row>
        <row r="23">
          <cell r="C23">
            <v>0.99535900664545929</v>
          </cell>
        </row>
        <row r="24">
          <cell r="C24">
            <v>0.99488801690648576</v>
          </cell>
        </row>
        <row r="25">
          <cell r="C25">
            <v>0.99440198454369044</v>
          </cell>
        </row>
        <row r="26">
          <cell r="C26">
            <v>0.99388379208858646</v>
          </cell>
        </row>
        <row r="27">
          <cell r="C27">
            <v>0.9933427763421665</v>
          </cell>
        </row>
        <row r="28">
          <cell r="C28">
            <v>0.99278827410542358</v>
          </cell>
        </row>
        <row r="29">
          <cell r="C29">
            <v>0.9922296221793504</v>
          </cell>
        </row>
        <row r="30">
          <cell r="C30">
            <v>0.99167615736493997</v>
          </cell>
        </row>
        <row r="31">
          <cell r="C31">
            <v>0.99113721646318509</v>
          </cell>
        </row>
        <row r="32">
          <cell r="C32">
            <v>0.99062213627507856</v>
          </cell>
        </row>
        <row r="33">
          <cell r="C33">
            <v>0.99014025360161351</v>
          </cell>
        </row>
        <row r="34">
          <cell r="C34">
            <v>0.98970090524378251</v>
          </cell>
        </row>
        <row r="35">
          <cell r="C35">
            <v>0.98930253506808696</v>
          </cell>
        </row>
        <row r="36">
          <cell r="C36">
            <v>0.98893459594747879</v>
          </cell>
        </row>
        <row r="37">
          <cell r="C37">
            <v>0.98859293819262917</v>
          </cell>
        </row>
        <row r="38">
          <cell r="C38">
            <v>0.98827341211420661</v>
          </cell>
        </row>
        <row r="39">
          <cell r="C39">
            <v>0.98797186802288117</v>
          </cell>
        </row>
        <row r="40">
          <cell r="C40">
            <v>0.98768415622932348</v>
          </cell>
        </row>
        <row r="41">
          <cell r="C41">
            <v>0.98740612704420261</v>
          </cell>
        </row>
        <row r="42">
          <cell r="C42">
            <v>0.98713363077818828</v>
          </cell>
        </row>
        <row r="43">
          <cell r="C43">
            <v>0.98686251774195133</v>
          </cell>
        </row>
        <row r="44">
          <cell r="C44">
            <v>0.9865886382461605</v>
          </cell>
        </row>
        <row r="45">
          <cell r="C45">
            <v>0.98631545036525858</v>
          </cell>
        </row>
        <row r="46">
          <cell r="C46">
            <v>0.98604917863323949</v>
          </cell>
        </row>
        <row r="47">
          <cell r="C47">
            <v>0.98578982305010432</v>
          </cell>
        </row>
        <row r="48">
          <cell r="C48">
            <v>0.98553738361585308</v>
          </cell>
        </row>
        <row r="49">
          <cell r="C49">
            <v>0.98529186033048477</v>
          </cell>
        </row>
        <row r="50">
          <cell r="C50">
            <v>0.9850532531940005</v>
          </cell>
        </row>
        <row r="51">
          <cell r="C51">
            <v>0.98482156220640005</v>
          </cell>
        </row>
        <row r="52">
          <cell r="C52">
            <v>0.98459678736768252</v>
          </cell>
        </row>
        <row r="53">
          <cell r="C53">
            <v>0.98437892867784904</v>
          </cell>
        </row>
        <row r="54">
          <cell r="C54">
            <v>0.98416798613689938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6"/>
  <sheetViews>
    <sheetView zoomScale="80" zoomScaleNormal="80" workbookViewId="0">
      <selection activeCell="Q46" sqref="Q46"/>
    </sheetView>
  </sheetViews>
  <sheetFormatPr defaultColWidth="9.1796875" defaultRowHeight="14.5" x14ac:dyDescent="0.35"/>
  <cols>
    <col min="1" max="1" width="48.81640625" style="2" bestFit="1" customWidth="1"/>
    <col min="2" max="2" width="18.81640625" style="2" bestFit="1" customWidth="1"/>
    <col min="3" max="3" width="13.54296875" style="2" bestFit="1" customWidth="1"/>
    <col min="4" max="4" width="12.7265625" style="2" customWidth="1"/>
    <col min="5" max="6" width="9.453125" style="2" customWidth="1"/>
    <col min="7" max="7" width="2.1796875" style="2" customWidth="1"/>
    <col min="8" max="12" width="9.453125" style="2" customWidth="1"/>
    <col min="13" max="13" width="2.1796875" style="2" customWidth="1"/>
    <col min="14" max="18" width="9.453125" style="2" customWidth="1"/>
    <col min="19" max="20" width="9.1796875" style="2"/>
    <col min="21" max="22" width="10.7265625" style="2" customWidth="1"/>
    <col min="23" max="16384" width="9.1796875" style="2"/>
  </cols>
  <sheetData>
    <row r="1" spans="1:4" x14ac:dyDescent="0.35">
      <c r="A1" s="244" t="s">
        <v>0</v>
      </c>
      <c r="B1" s="244">
        <v>3502</v>
      </c>
      <c r="C1" s="244" t="s">
        <v>1</v>
      </c>
      <c r="D1" s="244"/>
    </row>
    <row r="2" spans="1:4" x14ac:dyDescent="0.35">
      <c r="A2" s="244" t="s">
        <v>2</v>
      </c>
      <c r="B2" s="244" t="s">
        <v>3</v>
      </c>
      <c r="C2" s="244" t="s">
        <v>4</v>
      </c>
      <c r="D2" s="244" t="s">
        <v>5</v>
      </c>
    </row>
    <row r="3" spans="1:4" x14ac:dyDescent="0.35">
      <c r="A3" s="244" t="s">
        <v>6</v>
      </c>
      <c r="B3" s="244"/>
      <c r="C3" s="244"/>
      <c r="D3" s="244"/>
    </row>
    <row r="4" spans="1:4" x14ac:dyDescent="0.35">
      <c r="A4" s="244" t="s">
        <v>7</v>
      </c>
      <c r="B4" s="244">
        <v>7214</v>
      </c>
      <c r="C4" s="244"/>
      <c r="D4" s="244"/>
    </row>
    <row r="5" spans="1:4" x14ac:dyDescent="0.35">
      <c r="A5" s="244" t="s">
        <v>8</v>
      </c>
      <c r="B5" s="244"/>
      <c r="C5" s="244"/>
      <c r="D5" s="244"/>
    </row>
    <row r="6" spans="1:4" x14ac:dyDescent="0.35">
      <c r="A6" s="244" t="s">
        <v>9</v>
      </c>
      <c r="B6" s="244"/>
      <c r="C6" s="244"/>
      <c r="D6" s="244"/>
    </row>
    <row r="7" spans="1:4" x14ac:dyDescent="0.35">
      <c r="A7" s="244" t="s">
        <v>10</v>
      </c>
      <c r="B7" s="244"/>
      <c r="C7" s="244"/>
      <c r="D7" s="244"/>
    </row>
    <row r="8" spans="1:4" x14ac:dyDescent="0.35">
      <c r="A8" s="244" t="s">
        <v>11</v>
      </c>
      <c r="B8" s="244" t="s">
        <v>12</v>
      </c>
      <c r="C8" s="244"/>
      <c r="D8" s="244"/>
    </row>
    <row r="9" spans="1:4" x14ac:dyDescent="0.35">
      <c r="A9" s="244" t="s">
        <v>13</v>
      </c>
      <c r="B9" s="244" t="s">
        <v>14</v>
      </c>
      <c r="C9" s="244"/>
      <c r="D9" s="244"/>
    </row>
    <row r="10" spans="1:4" x14ac:dyDescent="0.35">
      <c r="A10" s="244" t="s">
        <v>15</v>
      </c>
      <c r="B10" s="244"/>
      <c r="C10" s="244"/>
      <c r="D10" s="244"/>
    </row>
    <row r="11" spans="1:4" x14ac:dyDescent="0.35">
      <c r="A11" s="244" t="s">
        <v>16</v>
      </c>
      <c r="B11" s="244" t="s">
        <v>17</v>
      </c>
      <c r="C11" s="244"/>
      <c r="D11" s="244"/>
    </row>
    <row r="12" spans="1:4" x14ac:dyDescent="0.35">
      <c r="A12" s="244" t="s">
        <v>18</v>
      </c>
      <c r="B12" s="244" t="s">
        <v>19</v>
      </c>
      <c r="C12" s="244"/>
      <c r="D12" s="244"/>
    </row>
    <row r="13" spans="1:4" x14ac:dyDescent="0.35">
      <c r="A13" s="244" t="s">
        <v>20</v>
      </c>
      <c r="B13" s="244" t="s">
        <v>21</v>
      </c>
      <c r="C13" s="244"/>
      <c r="D13" s="244"/>
    </row>
    <row r="14" spans="1:4" x14ac:dyDescent="0.35">
      <c r="A14" s="244" t="s">
        <v>22</v>
      </c>
      <c r="B14" s="244" t="s">
        <v>23</v>
      </c>
      <c r="C14" s="244"/>
      <c r="D14" s="244"/>
    </row>
    <row r="15" spans="1:4" x14ac:dyDescent="0.35">
      <c r="A15" s="244" t="s">
        <v>24</v>
      </c>
      <c r="B15" s="244" t="s">
        <v>25</v>
      </c>
      <c r="C15" s="244"/>
      <c r="D15" s="244"/>
    </row>
    <row r="16" spans="1:4" x14ac:dyDescent="0.35">
      <c r="A16" s="244" t="s">
        <v>26</v>
      </c>
      <c r="B16" s="244" t="s">
        <v>27</v>
      </c>
      <c r="C16" s="244"/>
      <c r="D16" s="244"/>
    </row>
    <row r="17" spans="1:22" x14ac:dyDescent="0.35">
      <c r="A17" s="244" t="s">
        <v>28</v>
      </c>
      <c r="B17" s="244" t="s">
        <v>23</v>
      </c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</row>
    <row r="18" spans="1:22" x14ac:dyDescent="0.35">
      <c r="A18" s="244" t="s">
        <v>29</v>
      </c>
      <c r="B18" s="244" t="s">
        <v>30</v>
      </c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</row>
    <row r="19" spans="1:22" x14ac:dyDescent="0.35">
      <c r="A19" s="244" t="s">
        <v>31</v>
      </c>
      <c r="B19" s="244" t="s">
        <v>32</v>
      </c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</row>
    <row r="20" spans="1:22" x14ac:dyDescent="0.35">
      <c r="A20" s="265" t="s">
        <v>33</v>
      </c>
      <c r="B20" s="244" t="s">
        <v>34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</row>
    <row r="21" spans="1:22" x14ac:dyDescent="0.35">
      <c r="A21" s="272" t="s">
        <v>35</v>
      </c>
      <c r="B21" s="272" t="s">
        <v>36</v>
      </c>
      <c r="C21" s="272"/>
      <c r="D21" s="272"/>
      <c r="E21" s="272"/>
      <c r="F21" s="244"/>
      <c r="G21" s="244"/>
      <c r="H21" s="272" t="s">
        <v>37</v>
      </c>
      <c r="I21" s="272"/>
      <c r="J21" s="272"/>
      <c r="K21" s="272"/>
      <c r="L21" s="244"/>
      <c r="M21" s="244"/>
      <c r="N21" s="272" t="s">
        <v>38</v>
      </c>
      <c r="O21" s="272"/>
      <c r="P21" s="272"/>
      <c r="Q21" s="272"/>
      <c r="R21" s="272"/>
      <c r="S21" s="272"/>
      <c r="T21" s="272"/>
      <c r="U21" s="272"/>
      <c r="V21" s="272"/>
    </row>
    <row r="22" spans="1:22" x14ac:dyDescent="0.35">
      <c r="A22" s="272"/>
      <c r="B22" s="244" t="s">
        <v>39</v>
      </c>
      <c r="C22" s="244">
        <v>0.50782000000000005</v>
      </c>
      <c r="D22" s="1"/>
      <c r="E22" s="1"/>
      <c r="F22" s="244"/>
      <c r="G22" s="244"/>
      <c r="H22" s="244" t="s">
        <v>39</v>
      </c>
      <c r="I22" s="244">
        <v>0.50793999999999995</v>
      </c>
      <c r="J22" s="1"/>
      <c r="K22" s="1"/>
      <c r="L22" s="244"/>
      <c r="M22" s="244"/>
      <c r="N22" s="244"/>
      <c r="O22" s="244" t="s">
        <v>39</v>
      </c>
      <c r="P22" s="244">
        <v>0.34899999999999998</v>
      </c>
      <c r="Q22" s="268">
        <v>0.35</v>
      </c>
      <c r="R22" s="244"/>
      <c r="S22" s="244"/>
      <c r="T22" s="244"/>
      <c r="U22" s="273" t="s">
        <v>40</v>
      </c>
      <c r="V22" s="273" t="s">
        <v>41</v>
      </c>
    </row>
    <row r="23" spans="1:22" ht="15" customHeight="1" x14ac:dyDescent="0.35">
      <c r="A23" s="272"/>
      <c r="B23" s="272" t="s">
        <v>42</v>
      </c>
      <c r="C23" s="272"/>
      <c r="D23" s="272" t="s">
        <v>43</v>
      </c>
      <c r="E23" s="272"/>
      <c r="F23" s="272" t="s">
        <v>44</v>
      </c>
      <c r="G23" s="244"/>
      <c r="H23" s="272" t="s">
        <v>42</v>
      </c>
      <c r="I23" s="272"/>
      <c r="J23" s="272" t="s">
        <v>43</v>
      </c>
      <c r="K23" s="272"/>
      <c r="L23" s="272" t="s">
        <v>44</v>
      </c>
      <c r="M23" s="244"/>
      <c r="N23" s="272" t="s">
        <v>42</v>
      </c>
      <c r="O23" s="272"/>
      <c r="P23" s="272" t="s">
        <v>43</v>
      </c>
      <c r="Q23" s="272"/>
      <c r="R23" s="272" t="s">
        <v>44</v>
      </c>
      <c r="S23" s="272" t="s">
        <v>45</v>
      </c>
      <c r="T23" s="272" t="s">
        <v>46</v>
      </c>
      <c r="U23" s="273"/>
      <c r="V23" s="273"/>
    </row>
    <row r="24" spans="1:22" x14ac:dyDescent="0.35">
      <c r="A24" s="272"/>
      <c r="B24" s="272"/>
      <c r="C24" s="272"/>
      <c r="D24" s="272"/>
      <c r="E24" s="272"/>
      <c r="F24" s="272"/>
      <c r="G24" s="244"/>
      <c r="H24" s="272"/>
      <c r="I24" s="272"/>
      <c r="J24" s="272"/>
      <c r="K24" s="272"/>
      <c r="L24" s="272"/>
      <c r="M24" s="244"/>
      <c r="N24" s="272"/>
      <c r="O24" s="272"/>
      <c r="P24" s="272"/>
      <c r="Q24" s="272"/>
      <c r="R24" s="272"/>
      <c r="S24" s="272"/>
      <c r="T24" s="272"/>
      <c r="U24" s="273"/>
      <c r="V24" s="273"/>
    </row>
    <row r="25" spans="1:22" x14ac:dyDescent="0.35">
      <c r="A25" s="272"/>
      <c r="B25" s="244" t="s">
        <v>47</v>
      </c>
      <c r="C25" s="244" t="s">
        <v>48</v>
      </c>
      <c r="D25" s="244" t="s">
        <v>47</v>
      </c>
      <c r="E25" s="244" t="s">
        <v>48</v>
      </c>
      <c r="F25" s="244"/>
      <c r="G25" s="244"/>
      <c r="H25" s="244" t="s">
        <v>47</v>
      </c>
      <c r="I25" s="244" t="s">
        <v>48</v>
      </c>
      <c r="J25" s="244" t="s">
        <v>47</v>
      </c>
      <c r="K25" s="244" t="s">
        <v>48</v>
      </c>
      <c r="L25" s="244"/>
      <c r="M25" s="244"/>
      <c r="N25" s="244" t="s">
        <v>47</v>
      </c>
      <c r="O25" s="244" t="s">
        <v>48</v>
      </c>
      <c r="P25" s="244" t="s">
        <v>47</v>
      </c>
      <c r="Q25" s="244" t="s">
        <v>48</v>
      </c>
      <c r="R25" s="244"/>
      <c r="S25" s="244"/>
      <c r="T25" s="244"/>
      <c r="U25" s="244"/>
      <c r="V25" s="244"/>
    </row>
    <row r="26" spans="1:22" x14ac:dyDescent="0.35">
      <c r="A26" s="272"/>
      <c r="B26" s="3">
        <v>0.1001268</v>
      </c>
      <c r="C26" s="3">
        <v>5.5719909999999997E-6</v>
      </c>
      <c r="D26" s="3">
        <v>1.575267E-4</v>
      </c>
      <c r="E26" s="3">
        <v>1.342835E-6</v>
      </c>
      <c r="F26" s="3">
        <f>B26-D26</f>
        <v>9.9969273300000008E-2</v>
      </c>
      <c r="G26" s="244">
        <v>3</v>
      </c>
      <c r="H26" s="3">
        <v>0.1001383</v>
      </c>
      <c r="I26" s="3">
        <v>4.5742059999999999E-6</v>
      </c>
      <c r="J26" s="3">
        <v>1.596061E-4</v>
      </c>
      <c r="K26" s="3">
        <v>1.1498129999999999E-6</v>
      </c>
      <c r="L26" s="3">
        <f>H26-J26</f>
        <v>9.9978693899999999E-2</v>
      </c>
      <c r="M26" s="244">
        <v>1</v>
      </c>
      <c r="N26" s="244">
        <v>1.3990629999999999</v>
      </c>
      <c r="O26" s="3">
        <v>1.323509E-4</v>
      </c>
      <c r="P26" s="3">
        <v>2.8542610000000001E-4</v>
      </c>
      <c r="Q26" s="3">
        <v>1.219854E-5</v>
      </c>
      <c r="R26" s="244"/>
      <c r="S26" s="244" t="s">
        <v>49</v>
      </c>
      <c r="T26" s="244" t="s">
        <v>50</v>
      </c>
      <c r="U26" s="244"/>
      <c r="V26" s="244"/>
    </row>
    <row r="27" spans="1:22" x14ac:dyDescent="0.35">
      <c r="A27" s="272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>
        <v>2</v>
      </c>
      <c r="N27" s="3">
        <v>6.9152249999999998E-2</v>
      </c>
      <c r="O27" s="3">
        <v>4.8694959999999996E-6</v>
      </c>
      <c r="P27" s="3">
        <v>1.5711140000000001E-4</v>
      </c>
      <c r="Q27" s="3">
        <v>8.8121240000000001E-7</v>
      </c>
      <c r="R27" s="3">
        <f>N27-P27</f>
        <v>6.8995138599999992E-2</v>
      </c>
      <c r="S27" s="244" t="s">
        <v>4</v>
      </c>
      <c r="T27" s="244" t="s">
        <v>51</v>
      </c>
      <c r="U27" s="236">
        <f>I22*(R27/L26)</f>
        <v>0.35052859097696204</v>
      </c>
      <c r="V27" s="5">
        <f>C22*(R27/F26)</f>
        <v>0.350478803409007</v>
      </c>
    </row>
    <row r="28" spans="1:22" x14ac:dyDescent="0.35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>
        <f>V27/C22</f>
        <v>0.69016345045293015</v>
      </c>
    </row>
    <row r="31" spans="1:22" x14ac:dyDescent="0.35">
      <c r="A31" s="273" t="s">
        <v>52</v>
      </c>
      <c r="B31" s="272" t="s">
        <v>36</v>
      </c>
      <c r="C31" s="272"/>
      <c r="D31" s="272"/>
      <c r="E31" s="272"/>
      <c r="F31" s="244"/>
      <c r="G31" s="244"/>
      <c r="H31" s="272" t="s">
        <v>37</v>
      </c>
      <c r="I31" s="272"/>
      <c r="J31" s="272"/>
      <c r="K31" s="272"/>
      <c r="L31" s="244"/>
      <c r="M31" s="244"/>
      <c r="N31" s="272" t="s">
        <v>38</v>
      </c>
      <c r="O31" s="272"/>
      <c r="P31" s="272"/>
      <c r="Q31" s="272"/>
      <c r="R31" s="272"/>
      <c r="S31" s="272"/>
      <c r="T31" s="272"/>
      <c r="U31" s="272"/>
      <c r="V31" s="272"/>
    </row>
    <row r="32" spans="1:22" x14ac:dyDescent="0.35">
      <c r="A32" s="273"/>
      <c r="B32" s="244" t="s">
        <v>39</v>
      </c>
      <c r="C32" s="244">
        <v>0.50782000000000005</v>
      </c>
      <c r="D32" s="1"/>
      <c r="E32" s="1"/>
      <c r="F32" s="244"/>
      <c r="G32" s="244"/>
      <c r="H32" s="244" t="s">
        <v>39</v>
      </c>
      <c r="I32" s="244">
        <v>0.50793999999999995</v>
      </c>
      <c r="J32" s="1"/>
      <c r="K32" s="1"/>
      <c r="L32" s="244"/>
      <c r="M32" s="244"/>
      <c r="N32" s="244"/>
      <c r="O32" s="244" t="s">
        <v>39</v>
      </c>
      <c r="P32" s="244">
        <v>0.34899999999999998</v>
      </c>
      <c r="Q32" s="268">
        <v>0.35</v>
      </c>
      <c r="R32" s="244"/>
      <c r="S32" s="244"/>
      <c r="T32" s="244"/>
      <c r="U32" s="273" t="s">
        <v>40</v>
      </c>
      <c r="V32" s="273" t="s">
        <v>41</v>
      </c>
    </row>
    <row r="33" spans="1:24" ht="15" customHeight="1" x14ac:dyDescent="0.35">
      <c r="A33" s="273"/>
      <c r="B33" s="272" t="s">
        <v>42</v>
      </c>
      <c r="C33" s="272"/>
      <c r="D33" s="272" t="s">
        <v>43</v>
      </c>
      <c r="E33" s="272"/>
      <c r="F33" s="272" t="s">
        <v>44</v>
      </c>
      <c r="G33" s="244"/>
      <c r="H33" s="272" t="s">
        <v>42</v>
      </c>
      <c r="I33" s="272"/>
      <c r="J33" s="272" t="s">
        <v>43</v>
      </c>
      <c r="K33" s="272"/>
      <c r="L33" s="272" t="s">
        <v>44</v>
      </c>
      <c r="M33" s="244"/>
      <c r="N33" s="272" t="s">
        <v>42</v>
      </c>
      <c r="O33" s="272"/>
      <c r="P33" s="272" t="s">
        <v>43</v>
      </c>
      <c r="Q33" s="272"/>
      <c r="R33" s="272" t="s">
        <v>44</v>
      </c>
      <c r="S33" s="272" t="s">
        <v>45</v>
      </c>
      <c r="T33" s="272" t="s">
        <v>46</v>
      </c>
      <c r="U33" s="273"/>
      <c r="V33" s="273"/>
      <c r="W33" s="244"/>
      <c r="X33" s="244"/>
    </row>
    <row r="34" spans="1:24" x14ac:dyDescent="0.35">
      <c r="A34" s="273"/>
      <c r="B34" s="272"/>
      <c r="C34" s="272"/>
      <c r="D34" s="272"/>
      <c r="E34" s="272"/>
      <c r="F34" s="272"/>
      <c r="G34" s="244"/>
      <c r="H34" s="272"/>
      <c r="I34" s="272"/>
      <c r="J34" s="272"/>
      <c r="K34" s="272"/>
      <c r="L34" s="272"/>
      <c r="M34" s="244"/>
      <c r="N34" s="272"/>
      <c r="O34" s="272"/>
      <c r="P34" s="272"/>
      <c r="Q34" s="272"/>
      <c r="R34" s="272"/>
      <c r="S34" s="272"/>
      <c r="T34" s="272"/>
      <c r="U34" s="273"/>
      <c r="V34" s="273"/>
      <c r="W34" s="244"/>
      <c r="X34" s="244"/>
    </row>
    <row r="35" spans="1:24" x14ac:dyDescent="0.35">
      <c r="A35" s="273"/>
      <c r="B35" s="244" t="s">
        <v>47</v>
      </c>
      <c r="C35" s="244" t="s">
        <v>48</v>
      </c>
      <c r="D35" s="244" t="s">
        <v>47</v>
      </c>
      <c r="E35" s="244" t="s">
        <v>48</v>
      </c>
      <c r="F35" s="244"/>
      <c r="G35" s="244"/>
      <c r="H35" s="244" t="s">
        <v>47</v>
      </c>
      <c r="I35" s="244" t="s">
        <v>48</v>
      </c>
      <c r="J35" s="244" t="s">
        <v>47</v>
      </c>
      <c r="K35" s="244" t="s">
        <v>48</v>
      </c>
      <c r="L35" s="244"/>
      <c r="M35" s="244"/>
      <c r="N35" s="244" t="s">
        <v>47</v>
      </c>
      <c r="O35" s="244" t="s">
        <v>48</v>
      </c>
      <c r="P35" s="244" t="s">
        <v>47</v>
      </c>
      <c r="Q35" s="244" t="s">
        <v>48</v>
      </c>
      <c r="R35" s="244"/>
      <c r="S35" s="244"/>
      <c r="T35" s="244"/>
      <c r="U35" s="244"/>
      <c r="V35" s="244"/>
      <c r="W35" s="244"/>
      <c r="X35" s="244"/>
    </row>
    <row r="36" spans="1:24" x14ac:dyDescent="0.35">
      <c r="A36" s="273"/>
      <c r="B36" s="3">
        <v>4.3548770000000001</v>
      </c>
      <c r="C36" s="3">
        <v>3.392367E-4</v>
      </c>
      <c r="D36" s="3">
        <v>2.3837420000000001E-4</v>
      </c>
      <c r="E36" s="3">
        <v>1.3733900000000001E-5</v>
      </c>
      <c r="F36" s="3">
        <f>B36-D36</f>
        <v>4.3546386257999998</v>
      </c>
      <c r="G36" s="244"/>
      <c r="H36" s="3">
        <v>4.3554599999999999</v>
      </c>
      <c r="I36" s="3">
        <v>1.082221E-4</v>
      </c>
      <c r="J36" s="3">
        <v>2.348463E-4</v>
      </c>
      <c r="K36" s="3">
        <v>1.6070590000000001E-5</v>
      </c>
      <c r="L36" s="3">
        <f>H36-J36</f>
        <v>4.3552251537000002</v>
      </c>
      <c r="M36" s="244"/>
      <c r="N36" s="3">
        <v>2.7918029999999998</v>
      </c>
      <c r="O36" s="3">
        <v>4.766541E-4</v>
      </c>
      <c r="P36" s="3">
        <v>2.2783119999999999E-4</v>
      </c>
      <c r="Q36" s="3">
        <v>1.916902E-5</v>
      </c>
      <c r="R36" s="3">
        <f>N36-P36</f>
        <v>2.7915751687999997</v>
      </c>
      <c r="S36" s="244" t="s">
        <v>4</v>
      </c>
      <c r="T36" s="244" t="s">
        <v>51</v>
      </c>
      <c r="U36" s="5">
        <f>I32*(R36/L36)</f>
        <v>0.32557506011730392</v>
      </c>
      <c r="V36" s="5">
        <f>C32*(R36/F36)</f>
        <v>0.32554198500445769</v>
      </c>
      <c r="W36" s="244">
        <f>V36/V40</f>
        <v>0.35764092616876014</v>
      </c>
      <c r="X36" s="244"/>
    </row>
    <row r="37" spans="1:24" x14ac:dyDescent="0.35">
      <c r="A37" s="273"/>
      <c r="B37" s="3">
        <f>B36/100</f>
        <v>4.3548770000000001E-2</v>
      </c>
      <c r="C37" s="244"/>
      <c r="D37" s="3">
        <f>D36/100</f>
        <v>2.383742E-6</v>
      </c>
      <c r="E37" s="244"/>
      <c r="F37" s="3">
        <f>B37-D37</f>
        <v>4.3546386258000003E-2</v>
      </c>
      <c r="G37" s="244"/>
      <c r="H37" s="3">
        <f>H36/100</f>
        <v>4.3554599999999999E-2</v>
      </c>
      <c r="I37" s="244"/>
      <c r="J37" s="3">
        <f>J36/100</f>
        <v>2.3484630000000001E-6</v>
      </c>
      <c r="K37" s="244"/>
      <c r="L37" s="3">
        <f>H37-J37</f>
        <v>4.3552251537E-2</v>
      </c>
      <c r="M37" s="244"/>
      <c r="N37" s="3">
        <f>N36/100</f>
        <v>2.7918029999999996E-2</v>
      </c>
      <c r="O37" s="244"/>
      <c r="P37" s="3">
        <f>P36/100</f>
        <v>2.2783119999999998E-6</v>
      </c>
      <c r="Q37" s="244"/>
      <c r="R37" s="3">
        <f>N37-P37</f>
        <v>2.7915751687999996E-2</v>
      </c>
      <c r="S37" s="244"/>
      <c r="T37" s="244"/>
      <c r="U37" s="244"/>
      <c r="V37" s="244">
        <f>V36/C32</f>
        <v>0.64105782561627678</v>
      </c>
      <c r="W37" s="244">
        <f>V36/V27</f>
        <v>0.92884928229040953</v>
      </c>
      <c r="X37" s="244">
        <v>0.90032000000000001</v>
      </c>
    </row>
    <row r="38" spans="1:24" x14ac:dyDescent="0.35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>
        <v>19.736000000000001</v>
      </c>
      <c r="W38" s="244"/>
      <c r="X38" s="244"/>
    </row>
    <row r="39" spans="1:24" x14ac:dyDescent="0.35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>
        <v>21.681999999999999</v>
      </c>
      <c r="W39" s="244"/>
      <c r="X39" s="244"/>
    </row>
    <row r="40" spans="1:24" x14ac:dyDescent="0.35">
      <c r="A40" s="244"/>
      <c r="B40" s="244">
        <v>27.93</v>
      </c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>
        <f>V38/V39</f>
        <v>0.91024813209113564</v>
      </c>
      <c r="W40" s="244"/>
      <c r="X40" s="244"/>
    </row>
    <row r="41" spans="1:24" x14ac:dyDescent="0.35">
      <c r="A41" s="244"/>
      <c r="B41" s="3">
        <f>B40/(B36*10)</f>
        <v>0.6413499164270311</v>
      </c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</row>
    <row r="43" spans="1:24" x14ac:dyDescent="0.35">
      <c r="A43" s="272" t="s">
        <v>53</v>
      </c>
      <c r="B43" s="272"/>
      <c r="C43" s="272"/>
      <c r="D43" s="272"/>
      <c r="E43" s="272"/>
      <c r="F43" s="272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</row>
    <row r="44" spans="1:24" x14ac:dyDescent="0.35">
      <c r="A44" s="244"/>
      <c r="B44" s="244" t="s">
        <v>36</v>
      </c>
      <c r="C44" s="244" t="s">
        <v>37</v>
      </c>
      <c r="D44" s="244" t="s">
        <v>38</v>
      </c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</row>
    <row r="45" spans="1:24" x14ac:dyDescent="0.35">
      <c r="A45" s="244"/>
      <c r="B45" s="268">
        <f>F37/F26</f>
        <v>0.43559770738075376</v>
      </c>
      <c r="C45" s="268">
        <f>L37/L26</f>
        <v>0.4356153280074006</v>
      </c>
      <c r="D45" s="268">
        <f>R37/R27</f>
        <v>0.40460461786796093</v>
      </c>
      <c r="E45" s="244"/>
      <c r="F45" s="244"/>
      <c r="G45" s="244"/>
      <c r="H45" s="3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</row>
    <row r="46" spans="1:24" x14ac:dyDescent="0.35">
      <c r="A46" s="244"/>
      <c r="B46" s="244">
        <f>B45*2</f>
        <v>0.87119541476150753</v>
      </c>
      <c r="C46" s="244">
        <f t="shared" ref="C46:D46" si="0">C45*2</f>
        <v>0.87123065601480121</v>
      </c>
      <c r="D46" s="244">
        <f t="shared" si="0"/>
        <v>0.80920923573592185</v>
      </c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</row>
  </sheetData>
  <mergeCells count="35">
    <mergeCell ref="A43:F43"/>
    <mergeCell ref="P33:Q34"/>
    <mergeCell ref="R33:R34"/>
    <mergeCell ref="S33:S34"/>
    <mergeCell ref="T33:T34"/>
    <mergeCell ref="N33:O34"/>
    <mergeCell ref="A21:A27"/>
    <mergeCell ref="A31:A37"/>
    <mergeCell ref="J33:K34"/>
    <mergeCell ref="L33:L34"/>
    <mergeCell ref="B31:E31"/>
    <mergeCell ref="H31:K31"/>
    <mergeCell ref="D23:E24"/>
    <mergeCell ref="B23:C24"/>
    <mergeCell ref="L23:L24"/>
    <mergeCell ref="N31:V31"/>
    <mergeCell ref="U32:U34"/>
    <mergeCell ref="V32:V34"/>
    <mergeCell ref="B33:C34"/>
    <mergeCell ref="D33:E34"/>
    <mergeCell ref="F33:F34"/>
    <mergeCell ref="H33:I34"/>
    <mergeCell ref="T23:T24"/>
    <mergeCell ref="B21:E21"/>
    <mergeCell ref="H21:K21"/>
    <mergeCell ref="N21:V21"/>
    <mergeCell ref="U22:U24"/>
    <mergeCell ref="V22:V24"/>
    <mergeCell ref="J23:K24"/>
    <mergeCell ref="H23:I24"/>
    <mergeCell ref="F23:F24"/>
    <mergeCell ref="S23:S24"/>
    <mergeCell ref="R23:R24"/>
    <mergeCell ref="P23:Q24"/>
    <mergeCell ref="N23:O2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EFB60-31BE-49CF-BA91-3017CAE027E5}">
  <dimension ref="A1:AC186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61" sqref="F61"/>
    </sheetView>
  </sheetViews>
  <sheetFormatPr defaultRowHeight="14.5" x14ac:dyDescent="0.35"/>
  <cols>
    <col min="1" max="1" width="23.7265625" style="119" customWidth="1"/>
    <col min="2" max="4" width="14" style="119" customWidth="1"/>
    <col min="5" max="8" width="14" style="4" customWidth="1"/>
    <col min="9" max="9" width="3.453125" style="4" customWidth="1"/>
    <col min="10" max="10" width="15.453125" style="125" customWidth="1"/>
    <col min="11" max="12" width="15.453125" style="119" customWidth="1"/>
    <col min="13" max="13" width="15.453125" style="4" customWidth="1"/>
    <col min="14" max="15" width="15.453125" style="119" customWidth="1"/>
    <col min="16" max="16" width="15.453125" style="124" customWidth="1"/>
    <col min="17" max="29" width="9.1796875" style="119"/>
  </cols>
  <sheetData>
    <row r="1" spans="1:16" x14ac:dyDescent="0.35">
      <c r="A1" s="273" t="s">
        <v>351</v>
      </c>
      <c r="B1" s="272" t="s">
        <v>352</v>
      </c>
      <c r="C1" s="272"/>
      <c r="D1" s="272"/>
      <c r="E1" s="272"/>
      <c r="F1" s="244"/>
      <c r="G1" s="244"/>
      <c r="H1" s="244"/>
      <c r="I1" s="268"/>
      <c r="J1" s="334" t="s">
        <v>353</v>
      </c>
      <c r="K1" s="334"/>
      <c r="L1" s="334"/>
      <c r="M1" s="334"/>
      <c r="N1" s="334"/>
      <c r="O1" s="334"/>
      <c r="P1" s="334"/>
    </row>
    <row r="2" spans="1:16" ht="75.25" customHeight="1" x14ac:dyDescent="0.35">
      <c r="A2" s="272"/>
      <c r="B2" s="340" t="s">
        <v>354</v>
      </c>
      <c r="C2" s="340" t="s">
        <v>355</v>
      </c>
      <c r="D2" s="339" t="s">
        <v>356</v>
      </c>
      <c r="E2" s="338" t="s">
        <v>357</v>
      </c>
      <c r="F2" s="333" t="s">
        <v>358</v>
      </c>
      <c r="G2" s="333" t="s">
        <v>359</v>
      </c>
      <c r="H2" s="337" t="s">
        <v>360</v>
      </c>
      <c r="I2" s="268"/>
      <c r="J2" s="335" t="s">
        <v>361</v>
      </c>
      <c r="K2" s="245" t="s">
        <v>362</v>
      </c>
      <c r="L2" s="273" t="s">
        <v>363</v>
      </c>
      <c r="M2" s="333" t="s">
        <v>364</v>
      </c>
      <c r="N2" s="273" t="s">
        <v>362</v>
      </c>
      <c r="O2" s="273" t="s">
        <v>365</v>
      </c>
      <c r="P2" s="273" t="s">
        <v>366</v>
      </c>
    </row>
    <row r="3" spans="1:16" x14ac:dyDescent="0.35">
      <c r="A3" s="272"/>
      <c r="B3" s="340"/>
      <c r="C3" s="340"/>
      <c r="D3" s="339"/>
      <c r="E3" s="338"/>
      <c r="F3" s="334"/>
      <c r="G3" s="333"/>
      <c r="H3" s="337"/>
      <c r="I3" s="268"/>
      <c r="J3" s="336"/>
      <c r="K3" s="142">
        <v>2.5999999999999999E-2</v>
      </c>
      <c r="L3" s="273"/>
      <c r="M3" s="334"/>
      <c r="N3" s="273"/>
      <c r="O3" s="273"/>
      <c r="P3" s="273"/>
    </row>
    <row r="4" spans="1:16" x14ac:dyDescent="0.35">
      <c r="A4" s="244">
        <v>600</v>
      </c>
      <c r="B4" s="268">
        <f>'[1]Final Spectral Response_Set1'!X13</f>
        <v>0.33252653483901484</v>
      </c>
      <c r="C4" s="268">
        <f>'[1]Final Spectral Response_Set2'!X13</f>
        <v>0.3327990534006296</v>
      </c>
      <c r="D4" s="136">
        <f>'[1]Final Spectral Response_Set3_4'!Y9</f>
        <v>0.3332025560552957</v>
      </c>
      <c r="E4" s="268"/>
      <c r="F4" s="268">
        <f t="shared" ref="F4:F38" si="0">AVERAGE(B4:D4)</f>
        <v>0.33284271476498006</v>
      </c>
      <c r="G4" s="268">
        <f>'[1]Pyro absorbance'!C4</f>
        <v>1.0000751285691891</v>
      </c>
      <c r="H4" s="134">
        <f t="shared" ref="H4:H35" si="1">F4*G4</f>
        <v>0.33286772076190541</v>
      </c>
      <c r="I4" s="268"/>
      <c r="J4" s="269">
        <v>0.33200000000000002</v>
      </c>
      <c r="K4" s="268">
        <f t="shared" ref="K4:K44" si="2">$K$3*J4</f>
        <v>8.6320000000000008E-3</v>
      </c>
      <c r="L4" s="270">
        <f t="shared" ref="L4:L44" si="3">ABS(H4-J4)</f>
        <v>8.6772076190538838E-4</v>
      </c>
      <c r="M4" s="268">
        <v>0.32100000000000001</v>
      </c>
      <c r="N4" s="133">
        <v>0.02</v>
      </c>
      <c r="O4" s="268">
        <f t="shared" ref="O4:O35" si="4">M4*N4</f>
        <v>6.4200000000000004E-3</v>
      </c>
      <c r="P4" s="268">
        <f t="shared" ref="P4:P35" si="5">ABS(M4-H4)</f>
        <v>1.1867720761905398E-2</v>
      </c>
    </row>
    <row r="5" spans="1:16" x14ac:dyDescent="0.35">
      <c r="A5" s="244">
        <v>610</v>
      </c>
      <c r="B5" s="268">
        <f>'[1]Final Spectral Response_Set1'!X14</f>
        <v>0.3370954587514286</v>
      </c>
      <c r="C5" s="268">
        <f>'[1]Final Spectral Response_Set2'!X14</f>
        <v>0.33448271422883319</v>
      </c>
      <c r="D5" s="136">
        <f>'[1]Final Spectral Response_Set3_4'!Y10</f>
        <v>0.33676729933895372</v>
      </c>
      <c r="E5" s="268"/>
      <c r="F5" s="268">
        <f t="shared" si="0"/>
        <v>0.33611515743973852</v>
      </c>
      <c r="G5" s="268">
        <f>'[1]Pyro absorbance'!C5</f>
        <v>1.00006942274636</v>
      </c>
      <c r="H5" s="134">
        <f t="shared" si="1"/>
        <v>0.33613849147706121</v>
      </c>
      <c r="I5" s="268"/>
      <c r="J5" s="269">
        <v>0.33700000000000002</v>
      </c>
      <c r="K5" s="268">
        <f t="shared" si="2"/>
        <v>8.7620000000000007E-3</v>
      </c>
      <c r="L5" s="270">
        <f t="shared" si="3"/>
        <v>8.6150852293881419E-4</v>
      </c>
      <c r="M5" s="268">
        <v>0.32500000000000001</v>
      </c>
      <c r="N5" s="133">
        <v>0.02</v>
      </c>
      <c r="O5" s="268">
        <f t="shared" si="4"/>
        <v>6.5000000000000006E-3</v>
      </c>
      <c r="P5" s="268">
        <f t="shared" si="5"/>
        <v>1.1138491477061196E-2</v>
      </c>
    </row>
    <row r="6" spans="1:16" x14ac:dyDescent="0.35">
      <c r="A6" s="244">
        <v>620</v>
      </c>
      <c r="B6" s="268">
        <f>'[1]Final Spectral Response_Set1'!X15</f>
        <v>0.34396808352795444</v>
      </c>
      <c r="C6" s="268">
        <f>'[1]Final Spectral Response_Set2'!X15</f>
        <v>0.34848956302989248</v>
      </c>
      <c r="D6" s="136">
        <f>'[1]Final Spectral Response_Set3_4'!Y11</f>
        <v>0.34528934263888067</v>
      </c>
      <c r="E6" s="268"/>
      <c r="F6" s="268">
        <f t="shared" si="0"/>
        <v>0.34591566306557581</v>
      </c>
      <c r="G6" s="268">
        <f>'[1]Pyro absorbance'!C6</f>
        <v>1.0000502304332082</v>
      </c>
      <c r="H6" s="134">
        <f t="shared" si="1"/>
        <v>0.34593303855918506</v>
      </c>
      <c r="I6" s="268"/>
      <c r="J6" s="269">
        <v>0.34200000000000003</v>
      </c>
      <c r="K6" s="268">
        <f t="shared" si="2"/>
        <v>8.8920000000000006E-3</v>
      </c>
      <c r="L6" s="270">
        <f t="shared" si="3"/>
        <v>3.9330385591850314E-3</v>
      </c>
      <c r="M6" s="268">
        <v>0.33</v>
      </c>
      <c r="N6" s="133">
        <v>0.02</v>
      </c>
      <c r="O6" s="268">
        <f t="shared" si="4"/>
        <v>6.6000000000000008E-3</v>
      </c>
      <c r="P6" s="268">
        <f t="shared" si="5"/>
        <v>1.5933038559185042E-2</v>
      </c>
    </row>
    <row r="7" spans="1:16" x14ac:dyDescent="0.35">
      <c r="A7" s="244">
        <v>630</v>
      </c>
      <c r="B7" s="268">
        <f>'[1]Final Spectral Response_Set1'!X16</f>
        <v>0.35023695578677977</v>
      </c>
      <c r="C7" s="268">
        <f>'[1]Final Spectral Response_Set2'!X16</f>
        <v>0.34708076250509573</v>
      </c>
      <c r="D7" s="136">
        <f>'[1]Final Spectral Response_Set3_4'!Y12</f>
        <v>0.35275215430903506</v>
      </c>
      <c r="E7" s="268"/>
      <c r="F7" s="268">
        <f t="shared" si="0"/>
        <v>0.3500232908669702</v>
      </c>
      <c r="G7" s="268">
        <f>'[1]Pyro absorbance'!C7</f>
        <v>1.0000144393627355</v>
      </c>
      <c r="H7" s="134">
        <f t="shared" si="1"/>
        <v>0.35002834498023289</v>
      </c>
      <c r="I7" s="268"/>
      <c r="J7" s="269">
        <v>0.34699999999999998</v>
      </c>
      <c r="K7" s="268">
        <f t="shared" si="2"/>
        <v>9.0219999999999988E-3</v>
      </c>
      <c r="L7" s="270">
        <f t="shared" si="3"/>
        <v>3.028344980232911E-3</v>
      </c>
      <c r="M7" s="268">
        <v>0.33400000000000002</v>
      </c>
      <c r="N7" s="133">
        <v>0.02</v>
      </c>
      <c r="O7" s="268">
        <f t="shared" si="4"/>
        <v>6.6800000000000002E-3</v>
      </c>
      <c r="P7" s="268">
        <f t="shared" si="5"/>
        <v>1.6028344980232867E-2</v>
      </c>
    </row>
    <row r="8" spans="1:16" x14ac:dyDescent="0.35">
      <c r="A8" s="244">
        <v>640</v>
      </c>
      <c r="B8" s="268">
        <f>'[1]Final Spectral Response_Set1'!X17</f>
        <v>0.35624908551138407</v>
      </c>
      <c r="C8" s="268">
        <f>'[1]Final Spectral Response_Set2'!X17</f>
        <v>0.35065566323459424</v>
      </c>
      <c r="D8" s="136">
        <f>'[1]Final Spectral Response_Set3_4'!Y13</f>
        <v>0.36166798993690247</v>
      </c>
      <c r="E8" s="268"/>
      <c r="F8" s="268">
        <f t="shared" si="0"/>
        <v>0.35619091289429355</v>
      </c>
      <c r="G8" s="268">
        <f>'[1]Pyro absorbance'!C8</f>
        <v>0.99995893726794449</v>
      </c>
      <c r="H8" s="134">
        <f t="shared" si="1"/>
        <v>0.35617628672227675</v>
      </c>
      <c r="I8" s="268"/>
      <c r="J8" s="269">
        <v>0.35399999999999998</v>
      </c>
      <c r="K8" s="268">
        <f t="shared" si="2"/>
        <v>9.2039999999999986E-3</v>
      </c>
      <c r="L8" s="270">
        <f t="shared" si="3"/>
        <v>2.1762867222767657E-3</v>
      </c>
      <c r="M8" s="268">
        <v>0.33900000000000002</v>
      </c>
      <c r="N8" s="133">
        <v>0.02</v>
      </c>
      <c r="O8" s="268">
        <f t="shared" si="4"/>
        <v>6.7800000000000004E-3</v>
      </c>
      <c r="P8" s="268">
        <f t="shared" si="5"/>
        <v>1.7176286722276723E-2</v>
      </c>
    </row>
    <row r="9" spans="1:16" x14ac:dyDescent="0.35">
      <c r="A9" s="244">
        <v>650</v>
      </c>
      <c r="B9" s="268">
        <f>'[1]Final Spectral Response_Set1'!X18</f>
        <v>0.36054186567946828</v>
      </c>
      <c r="C9" s="268">
        <f>'[1]Final Spectral Response_Set2'!X18</f>
        <v>0.35930789781905392</v>
      </c>
      <c r="D9" s="136">
        <f>'[1]Final Spectral Response_Set3_4'!Y14</f>
        <v>0.36011056634300609</v>
      </c>
      <c r="E9" s="268"/>
      <c r="F9" s="268">
        <f t="shared" si="0"/>
        <v>0.35998677661384271</v>
      </c>
      <c r="G9" s="268">
        <f>'[1]Pyro absorbance'!C9</f>
        <v>0.99988061188183763</v>
      </c>
      <c r="H9" s="134">
        <f t="shared" si="1"/>
        <v>0.35994379847001945</v>
      </c>
      <c r="I9" s="268"/>
      <c r="J9" s="269">
        <v>0.36</v>
      </c>
      <c r="K9" s="268">
        <f t="shared" si="2"/>
        <v>9.3599999999999985E-3</v>
      </c>
      <c r="L9" s="270">
        <f t="shared" si="3"/>
        <v>5.6201529980537401E-5</v>
      </c>
      <c r="M9" s="268">
        <v>0.34499999999999997</v>
      </c>
      <c r="N9" s="133">
        <v>0.02</v>
      </c>
      <c r="O9" s="268">
        <f t="shared" si="4"/>
        <v>6.8999999999999999E-3</v>
      </c>
      <c r="P9" s="268">
        <f t="shared" si="5"/>
        <v>1.4943798470019476E-2</v>
      </c>
    </row>
    <row r="10" spans="1:16" x14ac:dyDescent="0.35">
      <c r="A10" s="244">
        <v>660</v>
      </c>
      <c r="B10" s="268">
        <f>'[1]Final Spectral Response_Set1'!X19</f>
        <v>0.36460490128778755</v>
      </c>
      <c r="C10" s="268">
        <f>'[1]Final Spectral Response_Set2'!X19</f>
        <v>0.36264729276200913</v>
      </c>
      <c r="D10" s="136">
        <f>'[1]Final Spectral Response_Set3_4'!Y15</f>
        <v>0.36685417567256706</v>
      </c>
      <c r="E10" s="268"/>
      <c r="F10" s="268">
        <f t="shared" si="0"/>
        <v>0.36470212324078793</v>
      </c>
      <c r="G10" s="268">
        <f>'[1]Pyro absorbance'!C10</f>
        <v>0.99977635093741735</v>
      </c>
      <c r="H10" s="134">
        <f t="shared" si="1"/>
        <v>0.36462055795280324</v>
      </c>
      <c r="I10" s="268"/>
      <c r="J10" s="269">
        <v>0.36599999999999999</v>
      </c>
      <c r="K10" s="268">
        <f t="shared" si="2"/>
        <v>9.5160000000000002E-3</v>
      </c>
      <c r="L10" s="270">
        <f t="shared" si="3"/>
        <v>1.379442047196755E-3</v>
      </c>
      <c r="M10" s="268">
        <v>0.34899999999999998</v>
      </c>
      <c r="N10" s="133">
        <v>0.02</v>
      </c>
      <c r="O10" s="268">
        <f t="shared" si="4"/>
        <v>6.9800000000000001E-3</v>
      </c>
      <c r="P10" s="268">
        <f t="shared" si="5"/>
        <v>1.562055795280326E-2</v>
      </c>
    </row>
    <row r="11" spans="1:16" x14ac:dyDescent="0.35">
      <c r="A11" s="244">
        <v>670</v>
      </c>
      <c r="B11" s="268">
        <f>'[1]Final Spectral Response_Set1'!X20</f>
        <v>0.37436624962618475</v>
      </c>
      <c r="C11" s="268">
        <f>'[1]Final Spectral Response_Set2'!X20</f>
        <v>0.36953165527898152</v>
      </c>
      <c r="D11" s="136">
        <f>'[1]Final Spectral Response_Set3_4'!Y16</f>
        <v>0.37257694389639096</v>
      </c>
      <c r="E11" s="268"/>
      <c r="F11" s="268">
        <f t="shared" si="0"/>
        <v>0.37215828293385239</v>
      </c>
      <c r="G11" s="268">
        <f>'[1]Pyro absorbance'!C11</f>
        <v>0.99964304216768596</v>
      </c>
      <c r="H11" s="134">
        <f t="shared" si="1"/>
        <v>0.37202543811989863</v>
      </c>
      <c r="I11" s="268"/>
      <c r="J11" s="269">
        <v>0.372</v>
      </c>
      <c r="K11" s="268">
        <f t="shared" si="2"/>
        <v>9.672E-3</v>
      </c>
      <c r="L11" s="270">
        <f t="shared" si="3"/>
        <v>2.5438119898635314E-5</v>
      </c>
      <c r="M11" s="268">
        <v>0.35299999999999998</v>
      </c>
      <c r="N11" s="133">
        <v>0.02</v>
      </c>
      <c r="O11" s="268">
        <f t="shared" si="4"/>
        <v>7.0599999999999994E-3</v>
      </c>
      <c r="P11" s="268">
        <f t="shared" si="5"/>
        <v>1.9025438119898652E-2</v>
      </c>
    </row>
    <row r="12" spans="1:16" x14ac:dyDescent="0.35">
      <c r="A12" s="244">
        <v>680</v>
      </c>
      <c r="B12" s="268">
        <f>'[1]Final Spectral Response_Set1'!X21</f>
        <v>0.37852257952290802</v>
      </c>
      <c r="C12" s="268">
        <f>'[1]Final Spectral Response_Set2'!X21</f>
        <v>0.37778252099385617</v>
      </c>
      <c r="D12" s="136">
        <f>'[1]Final Spectral Response_Set3_4'!Y17</f>
        <v>0.37859320459988755</v>
      </c>
      <c r="E12" s="268"/>
      <c r="F12" s="268">
        <f t="shared" si="0"/>
        <v>0.37829943503888391</v>
      </c>
      <c r="G12" s="268">
        <f>'[1]Pyro absorbance'!C12</f>
        <v>0.99947757330564557</v>
      </c>
      <c r="H12" s="134">
        <f t="shared" si="1"/>
        <v>0.37810180131556043</v>
      </c>
      <c r="I12" s="268"/>
      <c r="J12" s="269">
        <v>0.378</v>
      </c>
      <c r="K12" s="268">
        <f t="shared" si="2"/>
        <v>9.8279999999999999E-3</v>
      </c>
      <c r="L12" s="270">
        <f t="shared" si="3"/>
        <v>1.018013155604236E-4</v>
      </c>
      <c r="M12" s="268">
        <v>0.35699999999999998</v>
      </c>
      <c r="N12" s="133">
        <v>0.02</v>
      </c>
      <c r="O12" s="268">
        <f t="shared" si="4"/>
        <v>7.1399999999999996E-3</v>
      </c>
      <c r="P12" s="268">
        <f t="shared" si="5"/>
        <v>2.1101801315560442E-2</v>
      </c>
    </row>
    <row r="13" spans="1:16" x14ac:dyDescent="0.35">
      <c r="A13" s="244">
        <v>690</v>
      </c>
      <c r="B13" s="268">
        <f>'[1]Final Spectral Response_Set1'!X22</f>
        <v>0.38838649990390739</v>
      </c>
      <c r="C13" s="268">
        <f>'[1]Final Spectral Response_Set2'!X22</f>
        <v>0.3810826767699157</v>
      </c>
      <c r="D13" s="136">
        <f>'[1]Final Spectral Response_Set3_4'!Y18</f>
        <v>0.38453402602023495</v>
      </c>
      <c r="E13" s="268"/>
      <c r="F13" s="268">
        <f t="shared" si="0"/>
        <v>0.3846677342313527</v>
      </c>
      <c r="G13" s="268">
        <f>'[1]Pyro absorbance'!C13</f>
        <v>0.99927683208429907</v>
      </c>
      <c r="H13" s="134">
        <f t="shared" si="1"/>
        <v>0.38438955486775123</v>
      </c>
      <c r="I13" s="268"/>
      <c r="J13" s="269">
        <v>0.38500000000000001</v>
      </c>
      <c r="K13" s="268">
        <f t="shared" si="2"/>
        <v>1.001E-2</v>
      </c>
      <c r="L13" s="270">
        <f t="shared" si="3"/>
        <v>6.104451322487825E-4</v>
      </c>
      <c r="M13" s="268">
        <v>0.36399999999999999</v>
      </c>
      <c r="N13" s="133">
        <v>0.02</v>
      </c>
      <c r="O13" s="268">
        <f t="shared" si="4"/>
        <v>7.28E-3</v>
      </c>
      <c r="P13" s="268">
        <f t="shared" si="5"/>
        <v>2.0389554867751236E-2</v>
      </c>
    </row>
    <row r="14" spans="1:16" x14ac:dyDescent="0.35">
      <c r="A14" s="244">
        <v>700</v>
      </c>
      <c r="B14" s="268">
        <f>'[1]Final Spectral Response_Set1'!X23</f>
        <v>0.38980403168018707</v>
      </c>
      <c r="C14" s="268">
        <f>'[1]Final Spectral Response_Set2'!X23</f>
        <v>0.38861728899266235</v>
      </c>
      <c r="D14" s="136">
        <f>'[1]Final Spectral Response_Set3_4'!Y19</f>
        <v>0.39017278044485071</v>
      </c>
      <c r="E14" s="268"/>
      <c r="F14" s="268">
        <f t="shared" si="0"/>
        <v>0.38953136703923336</v>
      </c>
      <c r="G14" s="268">
        <f>'[1]Pyro absorbance'!C14</f>
        <v>0.99903770623664834</v>
      </c>
      <c r="H14" s="134">
        <f t="shared" si="1"/>
        <v>0.38915652343410168</v>
      </c>
      <c r="I14" s="268"/>
      <c r="J14" s="269">
        <v>0.39100000000000001</v>
      </c>
      <c r="K14" s="268">
        <f t="shared" si="2"/>
        <v>1.0166E-2</v>
      </c>
      <c r="L14" s="270">
        <f t="shared" si="3"/>
        <v>1.8434765658983387E-3</v>
      </c>
      <c r="M14" s="268">
        <v>0.37</v>
      </c>
      <c r="N14" s="133">
        <v>0.02</v>
      </c>
      <c r="O14" s="268">
        <f t="shared" si="4"/>
        <v>7.4000000000000003E-3</v>
      </c>
      <c r="P14" s="268">
        <f t="shared" si="5"/>
        <v>1.915652343410168E-2</v>
      </c>
    </row>
    <row r="15" spans="1:16" x14ac:dyDescent="0.35">
      <c r="A15" s="244">
        <v>710</v>
      </c>
      <c r="B15" s="268">
        <f>'[1]Final Spectral Response_Set1'!X24</f>
        <v>0.39616817474627669</v>
      </c>
      <c r="C15" s="268">
        <f>'[1]Final Spectral Response_Set2'!X24</f>
        <v>0.39937102743876829</v>
      </c>
      <c r="D15" s="136">
        <f>'[1]Final Spectral Response_Set3_4'!Y20</f>
        <v>0.39524191795915853</v>
      </c>
      <c r="E15" s="268"/>
      <c r="F15" s="268">
        <f t="shared" si="0"/>
        <v>0.39692704004806778</v>
      </c>
      <c r="G15" s="268">
        <f>'[1]Pyro absorbance'!C15</f>
        <v>0.99875345251753223</v>
      </c>
      <c r="H15" s="134">
        <f t="shared" si="1"/>
        <v>0.3964322516455725</v>
      </c>
      <c r="I15" s="268"/>
      <c r="J15" s="269">
        <v>0.39800000000000002</v>
      </c>
      <c r="K15" s="268">
        <f t="shared" si="2"/>
        <v>1.0348E-2</v>
      </c>
      <c r="L15" s="270">
        <f t="shared" si="3"/>
        <v>1.5677483544275228E-3</v>
      </c>
      <c r="M15" s="268">
        <v>0.374</v>
      </c>
      <c r="N15" s="133">
        <v>0.02</v>
      </c>
      <c r="O15" s="268">
        <f t="shared" si="4"/>
        <v>7.4800000000000005E-3</v>
      </c>
      <c r="P15" s="268">
        <f t="shared" si="5"/>
        <v>2.2432251645572499E-2</v>
      </c>
    </row>
    <row r="16" spans="1:16" x14ac:dyDescent="0.35">
      <c r="A16" s="244">
        <v>720</v>
      </c>
      <c r="B16" s="268">
        <f>'[1]Final Spectral Response_Set1'!X25</f>
        <v>0.40322865404119485</v>
      </c>
      <c r="C16" s="268">
        <f>'[1]Final Spectral Response_Set2'!X25</f>
        <v>0.40855360999395396</v>
      </c>
      <c r="D16" s="136">
        <f>'[1]Final Spectral Response_Set3_4'!Y21</f>
        <v>0.40191023888057109</v>
      </c>
      <c r="E16" s="268"/>
      <c r="F16" s="268">
        <f t="shared" si="0"/>
        <v>0.40456416763857334</v>
      </c>
      <c r="G16" s="268">
        <f>'[1]Pyro absorbance'!C16</f>
        <v>0.99842355221578438</v>
      </c>
      <c r="H16" s="134">
        <f t="shared" si="1"/>
        <v>0.40392639335292646</v>
      </c>
      <c r="I16" s="268"/>
      <c r="J16" s="269">
        <v>0.40400000000000003</v>
      </c>
      <c r="K16" s="268">
        <f t="shared" si="2"/>
        <v>1.0503999999999999E-2</v>
      </c>
      <c r="L16" s="270">
        <f t="shared" si="3"/>
        <v>7.3606647073565235E-5</v>
      </c>
      <c r="M16" s="268">
        <v>0.38</v>
      </c>
      <c r="N16" s="133">
        <v>0.02</v>
      </c>
      <c r="O16" s="268">
        <f t="shared" si="4"/>
        <v>7.6E-3</v>
      </c>
      <c r="P16" s="268">
        <f t="shared" si="5"/>
        <v>2.3926393352926456E-2</v>
      </c>
    </row>
    <row r="17" spans="1:16" x14ac:dyDescent="0.35">
      <c r="A17" s="244">
        <v>730</v>
      </c>
      <c r="B17" s="268">
        <f>'[1]Final Spectral Response_Set1'!X26</f>
        <v>0.40628510455141786</v>
      </c>
      <c r="C17" s="268">
        <f>'[1]Final Spectral Response_Set2'!X26</f>
        <v>0.40311761082291786</v>
      </c>
      <c r="D17" s="136">
        <f>'[1]Final Spectral Response_Set3_4'!Y22</f>
        <v>0.40810343649786845</v>
      </c>
      <c r="E17" s="268"/>
      <c r="F17" s="268">
        <f t="shared" si="0"/>
        <v>0.40583538395740137</v>
      </c>
      <c r="G17" s="268">
        <f>'[1]Pyro absorbance'!C17</f>
        <v>0.99805422986539993</v>
      </c>
      <c r="H17" s="134">
        <f t="shared" si="1"/>
        <v>0.40504572158773311</v>
      </c>
      <c r="I17" s="268"/>
      <c r="J17" s="269">
        <v>0.41</v>
      </c>
      <c r="K17" s="268">
        <f t="shared" si="2"/>
        <v>1.0659999999999999E-2</v>
      </c>
      <c r="L17" s="270">
        <f t="shared" si="3"/>
        <v>4.9542784122668659E-3</v>
      </c>
      <c r="M17" s="268">
        <v>0.38400000000000001</v>
      </c>
      <c r="N17" s="133">
        <v>0.02</v>
      </c>
      <c r="O17" s="268">
        <f t="shared" si="4"/>
        <v>7.6800000000000002E-3</v>
      </c>
      <c r="P17" s="268">
        <f t="shared" si="5"/>
        <v>2.1045721587733102E-2</v>
      </c>
    </row>
    <row r="18" spans="1:16" x14ac:dyDescent="0.35">
      <c r="A18" s="244">
        <v>740</v>
      </c>
      <c r="B18" s="268">
        <f>'[1]Final Spectral Response_Set1'!X27</f>
        <v>0.41488698076567992</v>
      </c>
      <c r="C18" s="268">
        <f>'[1]Final Spectral Response_Set2'!X27</f>
        <v>0.41480097472492411</v>
      </c>
      <c r="D18" s="136">
        <f>'[1]Final Spectral Response_Set3_4'!Y23</f>
        <v>0.41426025039592312</v>
      </c>
      <c r="E18" s="268"/>
      <c r="F18" s="268">
        <f t="shared" si="0"/>
        <v>0.41464940196217576</v>
      </c>
      <c r="G18" s="268">
        <f>'[1]Pyro absorbance'!C18</f>
        <v>0.99765171000037411</v>
      </c>
      <c r="H18" s="134">
        <f t="shared" si="1"/>
        <v>0.41367568491819712</v>
      </c>
      <c r="I18" s="268"/>
      <c r="J18" s="269">
        <v>0.41699999999999998</v>
      </c>
      <c r="K18" s="268">
        <f t="shared" si="2"/>
        <v>1.0841999999999999E-2</v>
      </c>
      <c r="L18" s="270">
        <f t="shared" si="3"/>
        <v>3.3243150818028644E-3</v>
      </c>
      <c r="M18" s="268">
        <v>0.38900000000000001</v>
      </c>
      <c r="N18" s="133">
        <v>0.02</v>
      </c>
      <c r="O18" s="268">
        <f t="shared" si="4"/>
        <v>7.7800000000000005E-3</v>
      </c>
      <c r="P18" s="268">
        <f t="shared" si="5"/>
        <v>2.4675684918197105E-2</v>
      </c>
    </row>
    <row r="19" spans="1:16" x14ac:dyDescent="0.35">
      <c r="A19" s="244">
        <v>750</v>
      </c>
      <c r="B19" s="268">
        <f>'[1]Final Spectral Response_Set1'!X28</f>
        <v>0.42128402440956209</v>
      </c>
      <c r="C19" s="268">
        <f>'[1]Final Spectral Response_Set2'!X28</f>
        <v>0.42756629701781035</v>
      </c>
      <c r="D19" s="136">
        <f>'[1]Final Spectral Response_Set3_4'!Y24</f>
        <v>0.41959777818841243</v>
      </c>
      <c r="E19" s="268"/>
      <c r="F19" s="268">
        <f t="shared" si="0"/>
        <v>0.42281603320526157</v>
      </c>
      <c r="G19" s="268">
        <f>'[1]Pyro absorbance'!C19</f>
        <v>0.99722221715470238</v>
      </c>
      <c r="H19" s="134">
        <f t="shared" si="1"/>
        <v>0.42164154208150723</v>
      </c>
      <c r="I19" s="268"/>
      <c r="J19" s="269">
        <v>0.42099999999999999</v>
      </c>
      <c r="K19" s="268">
        <f t="shared" si="2"/>
        <v>1.0945999999999999E-2</v>
      </c>
      <c r="L19" s="270">
        <f t="shared" si="3"/>
        <v>6.4154208150724035E-4</v>
      </c>
      <c r="M19" s="268">
        <v>0.39300000000000002</v>
      </c>
      <c r="N19" s="133">
        <v>0.02</v>
      </c>
      <c r="O19" s="268">
        <f t="shared" si="4"/>
        <v>7.8600000000000007E-3</v>
      </c>
      <c r="P19" s="268">
        <f t="shared" si="5"/>
        <v>2.864154208150721E-2</v>
      </c>
    </row>
    <row r="20" spans="1:16" x14ac:dyDescent="0.35">
      <c r="A20" s="244">
        <v>760</v>
      </c>
      <c r="B20" s="268">
        <f>'[1]Final Spectral Response_Set1'!X29</f>
        <v>0.42351892539301433</v>
      </c>
      <c r="C20" s="268">
        <f>'[1]Final Spectral Response_Set2'!X29</f>
        <v>0.4227131352395298</v>
      </c>
      <c r="D20" s="136">
        <f>'[1]Final Spectral Response_Set3_4'!Y25</f>
        <v>0.42692345297021572</v>
      </c>
      <c r="E20" s="268"/>
      <c r="F20" s="268">
        <f t="shared" si="0"/>
        <v>0.42438517120091995</v>
      </c>
      <c r="G20" s="268">
        <f>'[1]Pyro absorbance'!C20</f>
        <v>0.99677197586237964</v>
      </c>
      <c r="H20" s="134">
        <f t="shared" si="1"/>
        <v>0.42301524562463522</v>
      </c>
      <c r="I20" s="268"/>
      <c r="J20" s="269">
        <v>0.42699999999999999</v>
      </c>
      <c r="K20" s="268">
        <f t="shared" si="2"/>
        <v>1.1101999999999999E-2</v>
      </c>
      <c r="L20" s="270">
        <f t="shared" si="3"/>
        <v>3.9847543753647741E-3</v>
      </c>
      <c r="M20" s="268">
        <v>0.39900000000000002</v>
      </c>
      <c r="N20" s="133">
        <v>0.02</v>
      </c>
      <c r="O20" s="268">
        <f t="shared" si="4"/>
        <v>7.980000000000001E-3</v>
      </c>
      <c r="P20" s="268">
        <f t="shared" si="5"/>
        <v>2.4015245624635195E-2</v>
      </c>
    </row>
    <row r="21" spans="1:16" x14ac:dyDescent="0.35">
      <c r="A21" s="244">
        <v>770</v>
      </c>
      <c r="B21" s="268">
        <f>'[1]Final Spectral Response_Set1'!X30</f>
        <v>0.43064013832812092</v>
      </c>
      <c r="C21" s="268">
        <f>'[1]Final Spectral Response_Set2'!X30</f>
        <v>0.42848928194710867</v>
      </c>
      <c r="D21" s="136">
        <f>'[1]Final Spectral Response_Set3_4'!Y26</f>
        <v>0.43355041809620037</v>
      </c>
      <c r="E21" s="268"/>
      <c r="F21" s="268">
        <f t="shared" si="0"/>
        <v>0.43089327945714334</v>
      </c>
      <c r="G21" s="268">
        <f>'[1]Pyro absorbance'!C21</f>
        <v>0.99630721065740147</v>
      </c>
      <c r="H21" s="134">
        <f t="shared" si="1"/>
        <v>0.42930208134696668</v>
      </c>
      <c r="I21" s="268"/>
      <c r="J21" s="269">
        <v>0.432</v>
      </c>
      <c r="K21" s="268">
        <f t="shared" si="2"/>
        <v>1.1231999999999999E-2</v>
      </c>
      <c r="L21" s="270">
        <f t="shared" si="3"/>
        <v>2.6979186530333155E-3</v>
      </c>
      <c r="M21" s="268">
        <v>0.40300000000000002</v>
      </c>
      <c r="N21" s="133">
        <v>0.02</v>
      </c>
      <c r="O21" s="268">
        <f t="shared" si="4"/>
        <v>8.0600000000000012E-3</v>
      </c>
      <c r="P21" s="268">
        <f t="shared" si="5"/>
        <v>2.6302081346966655E-2</v>
      </c>
    </row>
    <row r="22" spans="1:16" x14ac:dyDescent="0.35">
      <c r="A22" s="244">
        <v>780</v>
      </c>
      <c r="B22" s="268">
        <f>'[1]Final Spectral Response_Set1'!X31</f>
        <v>0.43535737519692136</v>
      </c>
      <c r="C22" s="268">
        <f>'[1]Final Spectral Response_Set2'!X31</f>
        <v>0.4398934461962708</v>
      </c>
      <c r="D22" s="136">
        <f>'[1]Final Spectral Response_Set3_4'!Y27</f>
        <v>0.44067115170341553</v>
      </c>
      <c r="E22" s="268"/>
      <c r="F22" s="268">
        <f t="shared" si="0"/>
        <v>0.43864065769886923</v>
      </c>
      <c r="G22" s="268">
        <f>'[1]Pyro absorbance'!C22</f>
        <v>0.99583414607376286</v>
      </c>
      <c r="H22" s="134">
        <f t="shared" si="1"/>
        <v>0.43681334479278716</v>
      </c>
      <c r="I22" s="268"/>
      <c r="J22" s="269">
        <v>0.439</v>
      </c>
      <c r="K22" s="268">
        <f t="shared" si="2"/>
        <v>1.1413999999999999E-2</v>
      </c>
      <c r="L22" s="270">
        <f t="shared" si="3"/>
        <v>2.1866552072128398E-3</v>
      </c>
      <c r="M22" s="268">
        <v>0.40799999999999997</v>
      </c>
      <c r="N22" s="133">
        <v>0.02</v>
      </c>
      <c r="O22" s="268">
        <f t="shared" si="4"/>
        <v>8.1599999999999989E-3</v>
      </c>
      <c r="P22" s="268">
        <f t="shared" si="5"/>
        <v>2.8813344792787188E-2</v>
      </c>
    </row>
    <row r="23" spans="1:16" x14ac:dyDescent="0.35">
      <c r="A23" s="244">
        <v>790</v>
      </c>
      <c r="B23" s="268">
        <f>'[1]Final Spectral Response_Set1'!X32</f>
        <v>0.44956028795152198</v>
      </c>
      <c r="C23" s="268">
        <f>'[1]Final Spectral Response_Set2'!X32</f>
        <v>0.43964351663143197</v>
      </c>
      <c r="D23" s="136">
        <f>'[1]Final Spectral Response_Set3_4'!Y28</f>
        <v>0.44819982590715435</v>
      </c>
      <c r="E23" s="268"/>
      <c r="F23" s="268">
        <f t="shared" si="0"/>
        <v>0.44580121016336943</v>
      </c>
      <c r="G23" s="268">
        <f>'[1]Pyro absorbance'!C23</f>
        <v>0.99535900664545929</v>
      </c>
      <c r="H23" s="134">
        <f t="shared" si="1"/>
        <v>0.44373224970955505</v>
      </c>
      <c r="I23" s="268"/>
      <c r="J23" s="269">
        <v>0.44500000000000001</v>
      </c>
      <c r="K23" s="268">
        <f t="shared" si="2"/>
        <v>1.157E-2</v>
      </c>
      <c r="L23" s="270">
        <f t="shared" si="3"/>
        <v>1.2677502904449578E-3</v>
      </c>
      <c r="M23" s="268">
        <v>0.41299999999999998</v>
      </c>
      <c r="N23" s="133">
        <v>0.02</v>
      </c>
      <c r="O23" s="268">
        <f t="shared" si="4"/>
        <v>8.26E-3</v>
      </c>
      <c r="P23" s="268">
        <f t="shared" si="5"/>
        <v>3.0732249709555071E-2</v>
      </c>
    </row>
    <row r="24" spans="1:16" x14ac:dyDescent="0.35">
      <c r="A24" s="244">
        <v>800</v>
      </c>
      <c r="B24" s="268">
        <f>'[1]Final Spectral Response_Set1'!X33</f>
        <v>0.45197808732150069</v>
      </c>
      <c r="C24" s="268">
        <f>'[1]Final Spectral Response_Set2'!X33</f>
        <v>0.4504930008818534</v>
      </c>
      <c r="D24" s="136">
        <f>'[1]Final Spectral Response_Set3_4'!Y29</f>
        <v>0.44863018629189089</v>
      </c>
      <c r="E24" s="268"/>
      <c r="F24" s="268">
        <f t="shared" si="0"/>
        <v>0.45036709149841503</v>
      </c>
      <c r="G24" s="268">
        <f>'[1]Pyro absorbance'!C24</f>
        <v>0.99488801690648576</v>
      </c>
      <c r="H24" s="134">
        <f t="shared" si="1"/>
        <v>0.44806482254079993</v>
      </c>
      <c r="I24" s="268"/>
      <c r="J24" s="269">
        <v>0.45</v>
      </c>
      <c r="K24" s="268">
        <f t="shared" si="2"/>
        <v>1.17E-2</v>
      </c>
      <c r="L24" s="270">
        <f t="shared" si="3"/>
        <v>1.935177459200077E-3</v>
      </c>
      <c r="M24" s="268">
        <v>0.41799999999999998</v>
      </c>
      <c r="N24" s="133">
        <v>0.02</v>
      </c>
      <c r="O24" s="268">
        <f t="shared" si="4"/>
        <v>8.3599999999999994E-3</v>
      </c>
      <c r="P24" s="268">
        <f t="shared" si="5"/>
        <v>3.0064822540799951E-2</v>
      </c>
    </row>
    <row r="25" spans="1:16" x14ac:dyDescent="0.35">
      <c r="A25" s="244">
        <v>810</v>
      </c>
      <c r="B25" s="268">
        <f>'[1]Final Spectral Response_Set1'!X34</f>
        <v>0.45513719285390608</v>
      </c>
      <c r="C25" s="268">
        <f>'[1]Final Spectral Response_Set2'!X34</f>
        <v>0.44717314371669337</v>
      </c>
      <c r="D25" s="136">
        <f>'[1]Final Spectral Response_Set3_4'!Y30</f>
        <v>0.45548838121459467</v>
      </c>
      <c r="E25" s="268"/>
      <c r="F25" s="268">
        <f t="shared" si="0"/>
        <v>0.45259957259506473</v>
      </c>
      <c r="G25" s="268">
        <f>'[1]Pyro absorbance'!C25</f>
        <v>0.99440198454369044</v>
      </c>
      <c r="H25" s="134">
        <f t="shared" si="1"/>
        <v>0.45006591319215844</v>
      </c>
      <c r="I25" s="268"/>
      <c r="J25" s="269">
        <v>0.45600000000000002</v>
      </c>
      <c r="K25" s="268">
        <f t="shared" si="2"/>
        <v>1.1856E-2</v>
      </c>
      <c r="L25" s="270">
        <f t="shared" si="3"/>
        <v>5.9340868078415765E-3</v>
      </c>
      <c r="M25" s="268">
        <v>0.42299999999999999</v>
      </c>
      <c r="N25" s="133">
        <v>0.02</v>
      </c>
      <c r="O25" s="268">
        <f t="shared" si="4"/>
        <v>8.4600000000000005E-3</v>
      </c>
      <c r="P25" s="268">
        <f t="shared" si="5"/>
        <v>2.7065913192158453E-2</v>
      </c>
    </row>
    <row r="26" spans="1:16" x14ac:dyDescent="0.35">
      <c r="A26" s="244">
        <v>820</v>
      </c>
      <c r="B26" s="268">
        <f>'[1]Final Spectral Response_Set1'!X35</f>
        <v>0.46528290039917691</v>
      </c>
      <c r="C26" s="268">
        <f>'[1]Final Spectral Response_Set2'!X35</f>
        <v>0.46270742776279222</v>
      </c>
      <c r="D26" s="136">
        <f>'[1]Final Spectral Response_Set3_4'!Y31</f>
        <v>0.46279191915451029</v>
      </c>
      <c r="E26" s="268"/>
      <c r="F26" s="268">
        <f t="shared" si="0"/>
        <v>0.46359408243882649</v>
      </c>
      <c r="G26" s="268">
        <f>'[1]Pyro absorbance'!C26</f>
        <v>0.99388379208858646</v>
      </c>
      <c r="H26" s="134">
        <f t="shared" si="1"/>
        <v>0.46075864464412963</v>
      </c>
      <c r="I26" s="268"/>
      <c r="J26" s="269">
        <v>0.46100000000000002</v>
      </c>
      <c r="K26" s="268">
        <f t="shared" si="2"/>
        <v>1.1986E-2</v>
      </c>
      <c r="L26" s="270">
        <f t="shared" si="3"/>
        <v>2.4135535587038737E-4</v>
      </c>
      <c r="M26" s="268">
        <v>0.42799999999999999</v>
      </c>
      <c r="N26" s="133">
        <v>0.02</v>
      </c>
      <c r="O26" s="268">
        <f t="shared" si="4"/>
        <v>8.5599999999999999E-3</v>
      </c>
      <c r="P26" s="268">
        <f t="shared" si="5"/>
        <v>3.2758644644129642E-2</v>
      </c>
    </row>
    <row r="27" spans="1:16" x14ac:dyDescent="0.35">
      <c r="A27" s="244">
        <v>830</v>
      </c>
      <c r="B27" s="268">
        <f>'[1]Final Spectral Response_Set1'!X36</f>
        <v>0.47005647198077272</v>
      </c>
      <c r="C27" s="268">
        <f>'[1]Final Spectral Response_Set2'!X36</f>
        <v>0.47004249206921267</v>
      </c>
      <c r="D27" s="136">
        <f>'[1]Final Spectral Response_Set3_4'!Y32</f>
        <v>0.46852924734765722</v>
      </c>
      <c r="E27" s="268"/>
      <c r="F27" s="268">
        <f t="shared" si="0"/>
        <v>0.46954273713254757</v>
      </c>
      <c r="G27" s="268">
        <f>'[1]Pyro absorbance'!C27</f>
        <v>0.9933427763421665</v>
      </c>
      <c r="H27" s="134">
        <f t="shared" si="1"/>
        <v>0.4664168861145449</v>
      </c>
      <c r="I27" s="268"/>
      <c r="J27" s="269">
        <v>0.46800000000000003</v>
      </c>
      <c r="K27" s="268">
        <f t="shared" si="2"/>
        <v>1.2168E-2</v>
      </c>
      <c r="L27" s="270">
        <f t="shared" si="3"/>
        <v>1.583113885455123E-3</v>
      </c>
      <c r="M27" s="268">
        <v>0.434</v>
      </c>
      <c r="N27" s="133">
        <v>0.02</v>
      </c>
      <c r="O27" s="268">
        <f t="shared" si="4"/>
        <v>8.6800000000000002E-3</v>
      </c>
      <c r="P27" s="268">
        <f t="shared" si="5"/>
        <v>3.2416886114544907E-2</v>
      </c>
    </row>
    <row r="28" spans="1:16" x14ac:dyDescent="0.35">
      <c r="A28" s="244">
        <v>840</v>
      </c>
      <c r="B28" s="268">
        <f>'[1]Final Spectral Response_Set1'!X37</f>
        <v>0.47299750203875662</v>
      </c>
      <c r="C28" s="268">
        <f>'[1]Final Spectral Response_Set2'!X37</f>
        <v>0.47449914693227496</v>
      </c>
      <c r="D28" s="136">
        <f>'[1]Final Spectral Response_Set3_4'!Y33</f>
        <v>0.47491919683769923</v>
      </c>
      <c r="E28" s="268"/>
      <c r="F28" s="268">
        <f t="shared" si="0"/>
        <v>0.47413861526957696</v>
      </c>
      <c r="G28" s="268">
        <f>'[1]Pyro absorbance'!C28</f>
        <v>0.99278827410542358</v>
      </c>
      <c r="H28" s="134">
        <f t="shared" si="1"/>
        <v>0.47071925754021876</v>
      </c>
      <c r="I28" s="268"/>
      <c r="J28" s="269">
        <v>0.47399999999999998</v>
      </c>
      <c r="K28" s="268">
        <f t="shared" si="2"/>
        <v>1.2323999999999998E-2</v>
      </c>
      <c r="L28" s="270">
        <f t="shared" si="3"/>
        <v>3.2807424597812163E-3</v>
      </c>
      <c r="M28" s="268">
        <v>0.439</v>
      </c>
      <c r="N28" s="133">
        <v>0.02</v>
      </c>
      <c r="O28" s="268">
        <f t="shared" si="4"/>
        <v>8.7799999999999996E-3</v>
      </c>
      <c r="P28" s="268">
        <f t="shared" si="5"/>
        <v>3.1719257540218759E-2</v>
      </c>
    </row>
    <row r="29" spans="1:16" x14ac:dyDescent="0.35">
      <c r="A29" s="244">
        <v>850</v>
      </c>
      <c r="B29" s="268">
        <f>'[1]Final Spectral Response_Set1'!X38</f>
        <v>0.47892303999169911</v>
      </c>
      <c r="C29" s="268">
        <f>'[1]Final Spectral Response_Set2'!X38</f>
        <v>0.47869520894467393</v>
      </c>
      <c r="D29" s="136">
        <f>'[1]Final Spectral Response_Set3_4'!Y34</f>
        <v>0.47810276637151822</v>
      </c>
      <c r="E29" s="268"/>
      <c r="F29" s="268">
        <f t="shared" si="0"/>
        <v>0.47857367176929705</v>
      </c>
      <c r="G29" s="268">
        <f>'[1]Pyro absorbance'!C29</f>
        <v>0.9922296221793504</v>
      </c>
      <c r="H29" s="134">
        <f t="shared" si="1"/>
        <v>0.47485497352463407</v>
      </c>
      <c r="I29" s="268"/>
      <c r="J29" s="269">
        <v>0.47899999999999998</v>
      </c>
      <c r="K29" s="268">
        <f t="shared" si="2"/>
        <v>1.2454E-2</v>
      </c>
      <c r="L29" s="270">
        <f t="shared" si="3"/>
        <v>4.1450264753659094E-3</v>
      </c>
      <c r="M29" s="268">
        <v>0.44600000000000001</v>
      </c>
      <c r="N29" s="133">
        <v>0.02</v>
      </c>
      <c r="O29" s="268">
        <f t="shared" si="4"/>
        <v>8.9200000000000008E-3</v>
      </c>
      <c r="P29" s="268">
        <f t="shared" si="5"/>
        <v>2.8854973524634064E-2</v>
      </c>
    </row>
    <row r="30" spans="1:16" x14ac:dyDescent="0.35">
      <c r="A30" s="244">
        <v>860</v>
      </c>
      <c r="B30" s="268">
        <f>'[1]Final Spectral Response_Set1'!X39</f>
        <v>0.48492529955526037</v>
      </c>
      <c r="C30" s="268">
        <f>'[1]Final Spectral Response_Set2'!X39</f>
        <v>0.48301874038930331</v>
      </c>
      <c r="D30" s="136">
        <f>'[1]Final Spectral Response_Set3_4'!Y35</f>
        <v>0.48497646318942911</v>
      </c>
      <c r="E30" s="268"/>
      <c r="F30" s="268">
        <f t="shared" si="0"/>
        <v>0.48430683437799765</v>
      </c>
      <c r="G30" s="268">
        <f>'[1]Pyro absorbance'!C30</f>
        <v>0.99167615736493997</v>
      </c>
      <c r="H30" s="134">
        <f t="shared" si="1"/>
        <v>0.48027554050155113</v>
      </c>
      <c r="I30" s="268"/>
      <c r="J30" s="269">
        <v>0.48599999999999999</v>
      </c>
      <c r="K30" s="268">
        <f t="shared" si="2"/>
        <v>1.2636E-2</v>
      </c>
      <c r="L30" s="270">
        <f t="shared" si="3"/>
        <v>5.7244594984488528E-3</v>
      </c>
      <c r="M30" s="268">
        <v>0.45100000000000001</v>
      </c>
      <c r="N30" s="133">
        <v>0.02</v>
      </c>
      <c r="O30" s="268">
        <f t="shared" si="4"/>
        <v>9.0200000000000002E-3</v>
      </c>
      <c r="P30" s="268">
        <f t="shared" si="5"/>
        <v>2.9275540501551123E-2</v>
      </c>
    </row>
    <row r="31" spans="1:16" x14ac:dyDescent="0.35">
      <c r="A31" s="244">
        <v>870</v>
      </c>
      <c r="B31" s="268">
        <f>'[1]Final Spectral Response_Set1'!X40</f>
        <v>0.48951238791993112</v>
      </c>
      <c r="C31" s="268">
        <f>'[1]Final Spectral Response_Set2'!X40</f>
        <v>0.49897501985839549</v>
      </c>
      <c r="D31" s="136">
        <f>'[1]Final Spectral Response_Set3_4'!Y36</f>
        <v>0.49201173789944946</v>
      </c>
      <c r="E31" s="268"/>
      <c r="F31" s="268">
        <f t="shared" si="0"/>
        <v>0.49349971522592534</v>
      </c>
      <c r="G31" s="268">
        <f>'[1]Pyro absorbance'!C31</f>
        <v>0.99113721646318509</v>
      </c>
      <c r="H31" s="134">
        <f t="shared" si="1"/>
        <v>0.48912593407439814</v>
      </c>
      <c r="I31" s="268"/>
      <c r="J31" s="269">
        <v>0.49099999999999999</v>
      </c>
      <c r="K31" s="268">
        <f t="shared" si="2"/>
        <v>1.2766E-2</v>
      </c>
      <c r="L31" s="270">
        <f t="shared" si="3"/>
        <v>1.8740659256018533E-3</v>
      </c>
      <c r="M31" s="268">
        <v>0.45600000000000002</v>
      </c>
      <c r="N31" s="133">
        <v>0.02</v>
      </c>
      <c r="O31" s="268">
        <f t="shared" si="4"/>
        <v>9.1200000000000014E-3</v>
      </c>
      <c r="P31" s="268">
        <f t="shared" si="5"/>
        <v>3.3125934074398122E-2</v>
      </c>
    </row>
    <row r="32" spans="1:16" x14ac:dyDescent="0.35">
      <c r="A32" s="244">
        <v>880</v>
      </c>
      <c r="B32" s="268">
        <f>'[1]Final Spectral Response_Set1'!X41</f>
        <v>0.49735574991013914</v>
      </c>
      <c r="C32" s="268">
        <f>'[1]Final Spectral Response_Set2'!X41</f>
        <v>0.49562322414230081</v>
      </c>
      <c r="D32" s="136">
        <f>'[1]Final Spectral Response_Set3_4'!Y37</f>
        <v>0.49918705276029324</v>
      </c>
      <c r="E32" s="268"/>
      <c r="F32" s="268">
        <f t="shared" si="0"/>
        <v>0.49738867560424443</v>
      </c>
      <c r="G32" s="268">
        <f>'[1]Pyro absorbance'!C32</f>
        <v>0.99062213627507856</v>
      </c>
      <c r="H32" s="134">
        <f t="shared" si="1"/>
        <v>0.49272423238610868</v>
      </c>
      <c r="I32" s="268"/>
      <c r="J32" s="269">
        <v>0.496</v>
      </c>
      <c r="K32" s="268">
        <f t="shared" si="2"/>
        <v>1.2895999999999999E-2</v>
      </c>
      <c r="L32" s="270">
        <f t="shared" si="3"/>
        <v>3.2757676138913117E-3</v>
      </c>
      <c r="M32" s="268">
        <v>0.46100000000000002</v>
      </c>
      <c r="N32" s="133">
        <v>0.02</v>
      </c>
      <c r="O32" s="268">
        <f t="shared" si="4"/>
        <v>9.2200000000000008E-3</v>
      </c>
      <c r="P32" s="268">
        <f t="shared" si="5"/>
        <v>3.1724232386108664E-2</v>
      </c>
    </row>
    <row r="33" spans="1:16" x14ac:dyDescent="0.35">
      <c r="A33" s="244">
        <v>890</v>
      </c>
      <c r="B33" s="268">
        <f>'[1]Final Spectral Response_Set1'!X42</f>
        <v>0.50322384301471701</v>
      </c>
      <c r="C33" s="268">
        <f>'[1]Final Spectral Response_Set2'!X42</f>
        <v>0.50043355627686037</v>
      </c>
      <c r="D33" s="136">
        <f>'[1]Final Spectral Response_Set3_4'!Y38</f>
        <v>0.50714010189232306</v>
      </c>
      <c r="E33" s="268"/>
      <c r="F33" s="268">
        <f t="shared" si="0"/>
        <v>0.50359916706130015</v>
      </c>
      <c r="G33" s="268">
        <f>'[1]Pyro absorbance'!C33</f>
        <v>0.99014025360161351</v>
      </c>
      <c r="H33" s="134">
        <f t="shared" si="1"/>
        <v>0.49863380698763704</v>
      </c>
      <c r="I33" s="268"/>
      <c r="J33" s="269">
        <v>0.501</v>
      </c>
      <c r="K33" s="268">
        <f t="shared" si="2"/>
        <v>1.3025999999999999E-2</v>
      </c>
      <c r="L33" s="270">
        <f t="shared" si="3"/>
        <v>2.3661930123629604E-3</v>
      </c>
      <c r="M33" s="268">
        <v>0.46700000000000003</v>
      </c>
      <c r="N33" s="133">
        <v>0.02</v>
      </c>
      <c r="O33" s="268">
        <f t="shared" si="4"/>
        <v>9.3400000000000011E-3</v>
      </c>
      <c r="P33" s="268">
        <f t="shared" si="5"/>
        <v>3.1633806987637014E-2</v>
      </c>
    </row>
    <row r="34" spans="1:16" x14ac:dyDescent="0.35">
      <c r="A34" s="244">
        <v>900</v>
      </c>
      <c r="B34" s="268">
        <f>'[1]Final Spectral Response_Set1'!X43</f>
        <v>0.51296147306470963</v>
      </c>
      <c r="C34" s="268">
        <f>'[1]Final Spectral Response_Set2'!X43</f>
        <v>0.50688516466397959</v>
      </c>
      <c r="D34" s="136">
        <f>'[1]Final Spectral Response_Set3_4'!Y39</f>
        <v>0.51060014700273548</v>
      </c>
      <c r="E34" s="268"/>
      <c r="F34" s="268">
        <f t="shared" si="0"/>
        <v>0.5101489282438082</v>
      </c>
      <c r="G34" s="268">
        <f>'[1]Pyro absorbance'!C34</f>
        <v>0.98970090524378251</v>
      </c>
      <c r="H34" s="134">
        <f t="shared" si="1"/>
        <v>0.50489485609204243</v>
      </c>
      <c r="I34" s="268"/>
      <c r="J34" s="269">
        <v>0.50700000000000001</v>
      </c>
      <c r="K34" s="268">
        <f t="shared" si="2"/>
        <v>1.3181999999999999E-2</v>
      </c>
      <c r="L34" s="270">
        <f t="shared" si="3"/>
        <v>2.105143907957574E-3</v>
      </c>
      <c r="M34" s="268">
        <v>0.47199999999999998</v>
      </c>
      <c r="N34" s="133">
        <v>0.02</v>
      </c>
      <c r="O34" s="268">
        <f t="shared" si="4"/>
        <v>9.4400000000000005E-3</v>
      </c>
      <c r="P34" s="268">
        <f t="shared" si="5"/>
        <v>3.2894856092042457E-2</v>
      </c>
    </row>
    <row r="35" spans="1:16" x14ac:dyDescent="0.35">
      <c r="A35" s="141">
        <v>910</v>
      </c>
      <c r="B35" s="268">
        <f>'[1]Final Spectral Response_Set1'!X44</f>
        <v>0.51592595743393421</v>
      </c>
      <c r="C35" s="268">
        <f>'[1]Final Spectral Response_Set2'!X44</f>
        <v>0.51836513242389715</v>
      </c>
      <c r="D35" s="136">
        <f>'[1]Final Spectral Response_Set3_4'!Y40</f>
        <v>0.51651811514273183</v>
      </c>
      <c r="E35" s="139"/>
      <c r="F35" s="268">
        <f t="shared" si="0"/>
        <v>0.51693640166685439</v>
      </c>
      <c r="G35" s="268">
        <f>'[1]Pyro absorbance'!C35</f>
        <v>0.98930253506808696</v>
      </c>
      <c r="H35" s="134">
        <f t="shared" si="1"/>
        <v>0.51140649263799387</v>
      </c>
      <c r="I35" s="139"/>
      <c r="J35" s="140">
        <v>0.51300000000000001</v>
      </c>
      <c r="K35" s="268">
        <f t="shared" si="2"/>
        <v>1.3337999999999999E-2</v>
      </c>
      <c r="L35" s="270">
        <f t="shared" si="3"/>
        <v>1.5935073620061413E-3</v>
      </c>
      <c r="M35" s="268">
        <v>0.47699999999999998</v>
      </c>
      <c r="N35" s="133">
        <v>0.02</v>
      </c>
      <c r="O35" s="268">
        <f t="shared" si="4"/>
        <v>9.5399999999999999E-3</v>
      </c>
      <c r="P35" s="268">
        <f t="shared" si="5"/>
        <v>3.4406492637993891E-2</v>
      </c>
    </row>
    <row r="36" spans="1:16" x14ac:dyDescent="0.35">
      <c r="A36" s="244">
        <v>920</v>
      </c>
      <c r="B36" s="268">
        <f>'[1]Final Spectral Response_Set1'!X45</f>
        <v>0.52074169093271294</v>
      </c>
      <c r="C36" s="268">
        <f>'[1]Final Spectral Response_Set2'!X45</f>
        <v>0.52362599025744039</v>
      </c>
      <c r="D36" s="136">
        <f>'[1]Final Spectral Response_Set3_4'!Y41</f>
        <v>0.52384986701157599</v>
      </c>
      <c r="E36" s="268"/>
      <c r="F36" s="268">
        <f t="shared" si="0"/>
        <v>0.52273918273390985</v>
      </c>
      <c r="G36" s="268">
        <f>'[1]Pyro absorbance'!C36</f>
        <v>0.98893459594747879</v>
      </c>
      <c r="H36" s="134">
        <f t="shared" ref="H36:H56" si="6">F36*G36</f>
        <v>0.51695486246287436</v>
      </c>
      <c r="I36" s="139"/>
      <c r="J36" s="269">
        <v>0.52</v>
      </c>
      <c r="K36" s="268">
        <f t="shared" si="2"/>
        <v>1.3519999999999999E-2</v>
      </c>
      <c r="L36" s="270">
        <f t="shared" si="3"/>
        <v>3.0451375371256528E-3</v>
      </c>
      <c r="M36" s="268">
        <v>0.48199999999999998</v>
      </c>
      <c r="N36" s="133">
        <v>0.02</v>
      </c>
      <c r="O36" s="268">
        <f t="shared" ref="O36:O54" si="7">M36*N36</f>
        <v>9.6399999999999993E-3</v>
      </c>
      <c r="P36" s="268">
        <f t="shared" ref="P36:P54" si="8">ABS(M36-H36)</f>
        <v>3.4954862462874381E-2</v>
      </c>
    </row>
    <row r="37" spans="1:16" x14ac:dyDescent="0.35">
      <c r="A37" s="244">
        <v>930</v>
      </c>
      <c r="B37" s="268">
        <f>'[1]Final Spectral Response_Set1'!X46</f>
        <v>0.52886678144564336</v>
      </c>
      <c r="C37" s="268">
        <f>'[1]Final Spectral Response_Set2'!X46</f>
        <v>0.52947872193270185</v>
      </c>
      <c r="D37" s="136">
        <f>'[1]Final Spectral Response_Set3_4'!Y42</f>
        <v>0.52882204938895916</v>
      </c>
      <c r="E37" s="268"/>
      <c r="F37" s="268">
        <f t="shared" si="0"/>
        <v>0.52905585092243479</v>
      </c>
      <c r="G37" s="268">
        <f>'[1]Pyro absorbance'!C37</f>
        <v>0.98859293819262917</v>
      </c>
      <c r="H37" s="134">
        <f t="shared" si="6"/>
        <v>0.5230208781314114</v>
      </c>
      <c r="I37" s="268"/>
      <c r="J37" s="269">
        <v>0.52500000000000002</v>
      </c>
      <c r="K37" s="268">
        <f t="shared" si="2"/>
        <v>1.3650000000000001E-2</v>
      </c>
      <c r="L37" s="270">
        <f t="shared" si="3"/>
        <v>1.979121868588618E-3</v>
      </c>
      <c r="M37" s="268">
        <v>0.48799999999999999</v>
      </c>
      <c r="N37" s="133">
        <v>0.02</v>
      </c>
      <c r="O37" s="268">
        <f t="shared" si="7"/>
        <v>9.7599999999999996E-3</v>
      </c>
      <c r="P37" s="268">
        <f t="shared" si="8"/>
        <v>3.5020878131411415E-2</v>
      </c>
    </row>
    <row r="38" spans="1:16" x14ac:dyDescent="0.35">
      <c r="A38" s="244">
        <v>940</v>
      </c>
      <c r="B38" s="268">
        <f>'[1]Final Spectral Response_Set1'!X47</f>
        <v>0.53349721473486977</v>
      </c>
      <c r="C38" s="268">
        <f>'[1]Final Spectral Response_Set2'!X47</f>
        <v>0.53613844572024971</v>
      </c>
      <c r="D38" s="136">
        <f>'[1]Final Spectral Response_Set3_4'!Y43</f>
        <v>0.53585184024394961</v>
      </c>
      <c r="E38" s="268"/>
      <c r="F38" s="268">
        <f t="shared" si="0"/>
        <v>0.53516250023302303</v>
      </c>
      <c r="G38" s="268">
        <f>'[1]Pyro absorbance'!C38</f>
        <v>0.98827341211420661</v>
      </c>
      <c r="H38" s="134">
        <f t="shared" si="6"/>
        <v>0.52888687014085956</v>
      </c>
      <c r="I38" s="268"/>
      <c r="J38" s="269">
        <v>0.53100000000000003</v>
      </c>
      <c r="K38" s="268">
        <f t="shared" si="2"/>
        <v>1.3806000000000001E-2</v>
      </c>
      <c r="L38" s="270">
        <f t="shared" si="3"/>
        <v>2.1131298591404724E-3</v>
      </c>
      <c r="M38" s="268">
        <v>0.49199999999999999</v>
      </c>
      <c r="N38" s="133">
        <v>0.02</v>
      </c>
      <c r="O38" s="268">
        <f t="shared" si="7"/>
        <v>9.8399999999999998E-3</v>
      </c>
      <c r="P38" s="268">
        <f t="shared" si="8"/>
        <v>3.6886870140859562E-2</v>
      </c>
    </row>
    <row r="39" spans="1:16" x14ac:dyDescent="0.35">
      <c r="A39" s="244">
        <v>950</v>
      </c>
      <c r="B39" s="268">
        <f>'[1]Final Spectral Response_Set1'!X48</f>
        <v>0.53872351610118119</v>
      </c>
      <c r="C39" s="268">
        <f>'[1]Final Spectral Response_Set2'!X48</f>
        <v>0.54047981888957419</v>
      </c>
      <c r="D39" s="136">
        <f>'[1]Final Spectral Response_Set3_4'!Y44</f>
        <v>0.54054582739152113</v>
      </c>
      <c r="E39" s="268">
        <f>'[1]Final Spectral Response_Set3_4'!X44</f>
        <v>0.54184947398721528</v>
      </c>
      <c r="F39" s="268">
        <f t="shared" ref="F39:F44" si="9">AVERAGE(B39:E39)</f>
        <v>0.54039965909237297</v>
      </c>
      <c r="G39" s="268">
        <f>'[1]Pyro absorbance'!C39</f>
        <v>0.98797186802288117</v>
      </c>
      <c r="H39" s="134">
        <f t="shared" si="6"/>
        <v>0.5338996606724199</v>
      </c>
      <c r="I39" s="268"/>
      <c r="J39" s="269">
        <v>0.53500000000000003</v>
      </c>
      <c r="K39" s="268">
        <f t="shared" si="2"/>
        <v>1.391E-2</v>
      </c>
      <c r="L39" s="270">
        <f t="shared" si="3"/>
        <v>1.1003393275801354E-3</v>
      </c>
      <c r="M39" s="268">
        <v>0.496</v>
      </c>
      <c r="N39" s="133">
        <v>0.02</v>
      </c>
      <c r="O39" s="268">
        <f t="shared" si="7"/>
        <v>9.92E-3</v>
      </c>
      <c r="P39" s="268">
        <f t="shared" si="8"/>
        <v>3.7899660672419899E-2</v>
      </c>
    </row>
    <row r="40" spans="1:16" x14ac:dyDescent="0.35">
      <c r="A40" s="244">
        <v>960</v>
      </c>
      <c r="B40" s="268">
        <f>'[1]Final Spectral Response_Set1'!X49</f>
        <v>0.541399805174128</v>
      </c>
      <c r="C40" s="268">
        <f>'[1]Final Spectral Response_Set2'!X49</f>
        <v>0.54503994354384977</v>
      </c>
      <c r="D40" s="136">
        <f>'[1]Final Spectral Response_Set3_4'!Y45</f>
        <v>0.54609586061574356</v>
      </c>
      <c r="E40" s="268">
        <f>'[1]Final Spectral Response_Set3_4'!X45</f>
        <v>0.54727991809982124</v>
      </c>
      <c r="F40" s="268">
        <f t="shared" si="9"/>
        <v>0.54495388185838567</v>
      </c>
      <c r="G40" s="268">
        <f>'[1]Pyro absorbance'!C40</f>
        <v>0.98768415622932348</v>
      </c>
      <c r="H40" s="134">
        <f t="shared" si="6"/>
        <v>0.5382423149871941</v>
      </c>
      <c r="I40" s="268"/>
      <c r="J40" s="269">
        <v>0.53500000000000003</v>
      </c>
      <c r="K40" s="268">
        <f t="shared" si="2"/>
        <v>1.391E-2</v>
      </c>
      <c r="L40" s="270">
        <f t="shared" si="3"/>
        <v>3.2423149871940726E-3</v>
      </c>
      <c r="M40" s="268">
        <v>0.504</v>
      </c>
      <c r="N40" s="133">
        <v>0.03</v>
      </c>
      <c r="O40" s="268">
        <f t="shared" si="7"/>
        <v>1.512E-2</v>
      </c>
      <c r="P40" s="268">
        <f t="shared" si="8"/>
        <v>3.42423149871941E-2</v>
      </c>
    </row>
    <row r="41" spans="1:16" x14ac:dyDescent="0.35">
      <c r="A41" s="271">
        <v>970</v>
      </c>
      <c r="B41" s="268">
        <f>'[1]Final Spectral Response_Set1'!X50</f>
        <v>0.54335581038853686</v>
      </c>
      <c r="C41" s="268">
        <f>'[1]Final Spectral Response_Set2'!X50</f>
        <v>0.55479242781638749</v>
      </c>
      <c r="D41" s="136">
        <f>'[1]Final Spectral Response_Set3_4'!Y46</f>
        <v>0.54867582972722806</v>
      </c>
      <c r="E41" s="268">
        <f>'[1]Final Spectral Response_Set3_4'!X46</f>
        <v>0.55107700155837713</v>
      </c>
      <c r="F41" s="268">
        <f t="shared" si="9"/>
        <v>0.54947526737263241</v>
      </c>
      <c r="G41" s="268">
        <f>'[1]Pyro absorbance'!C41</f>
        <v>0.98740612704420261</v>
      </c>
      <c r="H41" s="134">
        <f t="shared" si="6"/>
        <v>0.54255524566298863</v>
      </c>
      <c r="I41" s="268"/>
      <c r="J41" s="269">
        <v>0.53600000000000003</v>
      </c>
      <c r="K41" s="268">
        <f t="shared" si="2"/>
        <v>1.3936E-2</v>
      </c>
      <c r="L41" s="270">
        <f t="shared" si="3"/>
        <v>6.5552456629885958E-3</v>
      </c>
      <c r="M41" s="268">
        <v>0.50700000000000001</v>
      </c>
      <c r="N41" s="133">
        <v>0.03</v>
      </c>
      <c r="O41" s="268">
        <f t="shared" si="7"/>
        <v>1.521E-2</v>
      </c>
      <c r="P41" s="268">
        <f t="shared" si="8"/>
        <v>3.5555245662988622E-2</v>
      </c>
    </row>
    <row r="42" spans="1:16" x14ac:dyDescent="0.35">
      <c r="A42" s="271">
        <v>980</v>
      </c>
      <c r="B42" s="268">
        <f>'[1]Final Spectral Response_Set1'!X51</f>
        <v>0.54366430546193967</v>
      </c>
      <c r="C42" s="268">
        <f>'[1]Final Spectral Response_Set2'!X51</f>
        <v>0.55404790446034791</v>
      </c>
      <c r="D42" s="136">
        <f>'[1]Final Spectral Response_Set3_4'!Y47</f>
        <v>0.54941945949227389</v>
      </c>
      <c r="E42" s="268">
        <f>'[1]Final Spectral Response_Set3_4'!X47</f>
        <v>0.5526978716222708</v>
      </c>
      <c r="F42" s="268">
        <f t="shared" si="9"/>
        <v>0.54995738525920812</v>
      </c>
      <c r="G42" s="268">
        <f>'[1]Pyro absorbance'!C42</f>
        <v>0.98713363077818828</v>
      </c>
      <c r="H42" s="134">
        <f t="shared" si="6"/>
        <v>0.54288143048420101</v>
      </c>
      <c r="I42" s="268"/>
      <c r="J42" s="269">
        <v>0.53500000000000003</v>
      </c>
      <c r="K42" s="268">
        <f t="shared" si="2"/>
        <v>1.391E-2</v>
      </c>
      <c r="L42" s="270">
        <f t="shared" si="3"/>
        <v>7.8814304842009797E-3</v>
      </c>
      <c r="M42" s="268">
        <v>0.505</v>
      </c>
      <c r="N42" s="133">
        <v>0.03</v>
      </c>
      <c r="O42" s="268">
        <f t="shared" si="7"/>
        <v>1.515E-2</v>
      </c>
      <c r="P42" s="268">
        <f t="shared" si="8"/>
        <v>3.7881430484201006E-2</v>
      </c>
    </row>
    <row r="43" spans="1:16" x14ac:dyDescent="0.35">
      <c r="A43" s="271">
        <v>990</v>
      </c>
      <c r="B43" s="268">
        <f>'[1]Final Spectral Response_Set1'!X52</f>
        <v>0.54102175625259885</v>
      </c>
      <c r="C43" s="268">
        <f>'[1]Final Spectral Response_Set2'!X52</f>
        <v>0.5482161746791725</v>
      </c>
      <c r="D43" s="136">
        <f>'[1]Final Spectral Response_Set3_4'!Y48</f>
        <v>0.54554093316086927</v>
      </c>
      <c r="E43" s="268">
        <f>'[1]Final Spectral Response_Set3_4'!X48</f>
        <v>0.5497538903590734</v>
      </c>
      <c r="F43" s="268">
        <f t="shared" si="9"/>
        <v>0.54613318861292859</v>
      </c>
      <c r="G43" s="268">
        <f>'[1]Pyro absorbance'!C43</f>
        <v>0.98686251774195133</v>
      </c>
      <c r="H43" s="134">
        <f t="shared" si="6"/>
        <v>0.53895837353699472</v>
      </c>
      <c r="I43" s="268"/>
      <c r="J43" s="269">
        <v>0.53100000000000003</v>
      </c>
      <c r="K43" s="268">
        <f t="shared" si="2"/>
        <v>1.3806000000000001E-2</v>
      </c>
      <c r="L43" s="270">
        <f t="shared" si="3"/>
        <v>7.9583735369946895E-3</v>
      </c>
      <c r="M43" s="268">
        <v>0.499</v>
      </c>
      <c r="N43" s="133">
        <v>0.03</v>
      </c>
      <c r="O43" s="268">
        <f t="shared" si="7"/>
        <v>1.4969999999999999E-2</v>
      </c>
      <c r="P43" s="268">
        <f t="shared" si="8"/>
        <v>3.9958373536994718E-2</v>
      </c>
    </row>
    <row r="44" spans="1:16" x14ac:dyDescent="0.35">
      <c r="A44" s="244">
        <v>1000</v>
      </c>
      <c r="B44" s="138">
        <f>'[1]Final Spectral Response_Set1'!X53</f>
        <v>0.53351392325604063</v>
      </c>
      <c r="C44" s="268">
        <f>'[1]Final Spectral Response_Set2'!X53</f>
        <v>0.53999907838742378</v>
      </c>
      <c r="D44" s="136">
        <f>'[1]Final Spectral Response_Set3_4'!Y49</f>
        <v>0.53721179437359412</v>
      </c>
      <c r="E44" s="268">
        <f>'[1]Final Spectral Response_Set3_4'!X49</f>
        <v>0.54037355740312065</v>
      </c>
      <c r="F44" s="268">
        <f t="shared" si="9"/>
        <v>0.53777458835504477</v>
      </c>
      <c r="G44" s="268">
        <f>'[1]Pyro absorbance'!C44</f>
        <v>0.9865886382461605</v>
      </c>
      <c r="H44" s="134">
        <f t="shared" si="6"/>
        <v>0.53056229880859318</v>
      </c>
      <c r="I44" s="268"/>
      <c r="J44" s="269">
        <v>0.52800000000000002</v>
      </c>
      <c r="K44" s="268">
        <f t="shared" si="2"/>
        <v>1.3728000000000001E-2</v>
      </c>
      <c r="L44" s="270">
        <f t="shared" si="3"/>
        <v>2.5622988085931553E-3</v>
      </c>
      <c r="M44" s="268">
        <v>0.48699999999999999</v>
      </c>
      <c r="N44" s="133">
        <v>0.03</v>
      </c>
      <c r="O44" s="268">
        <f t="shared" si="7"/>
        <v>1.461E-2</v>
      </c>
      <c r="P44" s="268">
        <f t="shared" si="8"/>
        <v>4.3562298808593192E-2</v>
      </c>
    </row>
    <row r="45" spans="1:16" x14ac:dyDescent="0.35">
      <c r="A45" s="244">
        <v>1010</v>
      </c>
      <c r="B45" s="138">
        <f>'[1]Final Spectral Response_Set1'!X54</f>
        <v>0.51645548804170649</v>
      </c>
      <c r="C45" s="268"/>
      <c r="D45" s="136">
        <f>'[1]Final Spectral Response_Set3_4'!Y50</f>
        <v>0.522642515257012</v>
      </c>
      <c r="E45" s="268">
        <f>'[1]Final Spectral Response_Set3_4'!X50</f>
        <v>0.52463180327296421</v>
      </c>
      <c r="F45" s="268">
        <f t="shared" ref="F45:F52" si="10">AVERAGE(B45,D45,E45)</f>
        <v>0.5212432688572276</v>
      </c>
      <c r="G45" s="268">
        <f>'[1]Pyro absorbance'!C45</f>
        <v>0.98631545036525858</v>
      </c>
      <c r="H45" s="134">
        <f t="shared" si="6"/>
        <v>0.51411028947277604</v>
      </c>
      <c r="I45" s="268"/>
      <c r="J45" s="270"/>
      <c r="K45" s="268"/>
      <c r="L45" s="270"/>
      <c r="M45" s="268">
        <v>0.46700000000000003</v>
      </c>
      <c r="N45" s="133">
        <v>0.03</v>
      </c>
      <c r="O45" s="268">
        <f t="shared" si="7"/>
        <v>1.401E-2</v>
      </c>
      <c r="P45" s="268">
        <f t="shared" si="8"/>
        <v>4.7110289472776012E-2</v>
      </c>
    </row>
    <row r="46" spans="1:16" x14ac:dyDescent="0.35">
      <c r="A46" s="244">
        <v>1020</v>
      </c>
      <c r="B46" s="138">
        <f>'[1]Final Spectral Response_Set1'!X55</f>
        <v>0.48930526619633652</v>
      </c>
      <c r="C46" s="268"/>
      <c r="D46" s="136">
        <f>'[1]Final Spectral Response_Set3_4'!Y51</f>
        <v>0.4955626776329814</v>
      </c>
      <c r="E46" s="268">
        <f>'[1]Final Spectral Response_Set3_4'!X51</f>
        <v>0.49445587151342707</v>
      </c>
      <c r="F46" s="268">
        <f t="shared" si="10"/>
        <v>0.49310793844758166</v>
      </c>
      <c r="G46" s="268">
        <f>'[1]Pyro absorbance'!C46</f>
        <v>0.98604917863323949</v>
      </c>
      <c r="H46" s="134">
        <f t="shared" si="6"/>
        <v>0.48622867768376793</v>
      </c>
      <c r="I46" s="268"/>
      <c r="J46" s="270"/>
      <c r="K46" s="244"/>
      <c r="L46" s="270"/>
      <c r="M46" s="268">
        <v>0.438</v>
      </c>
      <c r="N46" s="133">
        <v>0.03</v>
      </c>
      <c r="O46" s="268">
        <f t="shared" si="7"/>
        <v>1.3139999999999999E-2</v>
      </c>
      <c r="P46" s="268">
        <f t="shared" si="8"/>
        <v>4.8228677683767929E-2</v>
      </c>
    </row>
    <row r="47" spans="1:16" x14ac:dyDescent="0.35">
      <c r="A47" s="244">
        <v>1030</v>
      </c>
      <c r="B47" s="138">
        <f>'[1]Final Spectral Response_Set1'!X56</f>
        <v>0.45176398408000673</v>
      </c>
      <c r="C47" s="268"/>
      <c r="D47" s="136">
        <f>'[1]Final Spectral Response_Set3_4'!Y52</f>
        <v>0.45740044897432647</v>
      </c>
      <c r="E47" s="268">
        <f>'[1]Final Spectral Response_Set3_4'!X52</f>
        <v>0.45540547770208695</v>
      </c>
      <c r="F47" s="268">
        <f t="shared" si="10"/>
        <v>0.45485663691880668</v>
      </c>
      <c r="G47" s="268">
        <f>'[1]Pyro absorbance'!C47</f>
        <v>0.98578982305010432</v>
      </c>
      <c r="H47" s="134">
        <f t="shared" si="6"/>
        <v>0.44839304362135596</v>
      </c>
      <c r="I47" s="268"/>
      <c r="J47" s="270"/>
      <c r="K47" s="244"/>
      <c r="L47" s="270"/>
      <c r="M47" s="268">
        <v>0.39700000000000002</v>
      </c>
      <c r="N47" s="133">
        <v>0.03</v>
      </c>
      <c r="O47" s="268">
        <f t="shared" si="7"/>
        <v>1.191E-2</v>
      </c>
      <c r="P47" s="268">
        <f t="shared" si="8"/>
        <v>5.1393043621355938E-2</v>
      </c>
    </row>
    <row r="48" spans="1:16" x14ac:dyDescent="0.35">
      <c r="A48" s="244">
        <v>1040</v>
      </c>
      <c r="B48" s="138">
        <f>'[1]Final Spectral Response_Set1'!X57</f>
        <v>0.39855781987136213</v>
      </c>
      <c r="C48" s="268"/>
      <c r="D48" s="136">
        <f>'[1]Final Spectral Response_Set3_4'!Y53</f>
        <v>0.40366815239401366</v>
      </c>
      <c r="E48" s="268">
        <f>'[1]Final Spectral Response_Set3_4'!X53</f>
        <v>0.40440415219637205</v>
      </c>
      <c r="F48" s="268">
        <f t="shared" si="10"/>
        <v>0.4022100414872492</v>
      </c>
      <c r="G48" s="268">
        <f>'[1]Pyro absorbance'!C48</f>
        <v>0.98553738361585308</v>
      </c>
      <c r="H48" s="134">
        <f t="shared" si="6"/>
        <v>0.39639303195136733</v>
      </c>
      <c r="I48" s="268"/>
      <c r="J48" s="270"/>
      <c r="K48" s="244"/>
      <c r="L48" s="270"/>
      <c r="M48" s="268">
        <v>0.34799999999999998</v>
      </c>
      <c r="N48" s="133">
        <v>0.03</v>
      </c>
      <c r="O48" s="268">
        <f t="shared" si="7"/>
        <v>1.044E-2</v>
      </c>
      <c r="P48" s="268">
        <f t="shared" si="8"/>
        <v>4.8393031951367349E-2</v>
      </c>
    </row>
    <row r="49" spans="1:16" x14ac:dyDescent="0.35">
      <c r="A49" s="244">
        <v>1050</v>
      </c>
      <c r="B49" s="138">
        <f>'[1]Final Spectral Response_Set1'!X58</f>
        <v>0.34234912118006122</v>
      </c>
      <c r="C49" s="268"/>
      <c r="D49" s="136">
        <f>'[1]Final Spectral Response_Set3_4'!Y54</f>
        <v>0.34559965039197216</v>
      </c>
      <c r="E49" s="268">
        <f>'[1]Final Spectral Response_Set3_4'!X54</f>
        <v>0.34573494420693968</v>
      </c>
      <c r="F49" s="268">
        <f t="shared" si="10"/>
        <v>0.34456123859299104</v>
      </c>
      <c r="G49" s="268">
        <f>'[1]Pyro absorbance'!C49</f>
        <v>0.98529186033048477</v>
      </c>
      <c r="H49" s="134">
        <f t="shared" si="6"/>
        <v>0.33949338377106414</v>
      </c>
      <c r="I49" s="268"/>
      <c r="J49" s="270"/>
      <c r="K49" s="244"/>
      <c r="L49" s="270"/>
      <c r="M49" s="268">
        <v>0.29099999999999998</v>
      </c>
      <c r="N49" s="133">
        <v>0.04</v>
      </c>
      <c r="O49" s="268">
        <f t="shared" si="7"/>
        <v>1.1639999999999999E-2</v>
      </c>
      <c r="P49" s="268">
        <f t="shared" si="8"/>
        <v>4.8493383771064158E-2</v>
      </c>
    </row>
    <row r="50" spans="1:16" x14ac:dyDescent="0.35">
      <c r="A50" s="244">
        <v>1060</v>
      </c>
      <c r="B50" s="138">
        <f>'[1]Final Spectral Response_Set1'!X59</f>
        <v>0.27967394569503656</v>
      </c>
      <c r="C50" s="268"/>
      <c r="D50" s="136">
        <f>'[1]Final Spectral Response_Set3_4'!Y55</f>
        <v>0.28291759875408085</v>
      </c>
      <c r="E50" s="268">
        <f>'[1]Final Spectral Response_Set3_4'!X55</f>
        <v>0.28335761160617612</v>
      </c>
      <c r="F50" s="268">
        <f t="shared" si="10"/>
        <v>0.28198305201843116</v>
      </c>
      <c r="G50" s="268">
        <f>'[1]Pyro absorbance'!C50</f>
        <v>0.9850532531940005</v>
      </c>
      <c r="H50" s="134">
        <f t="shared" si="6"/>
        <v>0.27776832273632868</v>
      </c>
      <c r="I50" s="268"/>
      <c r="J50" s="270"/>
      <c r="K50" s="244"/>
      <c r="L50" s="270"/>
      <c r="M50" s="268">
        <v>0.23200000000000001</v>
      </c>
      <c r="N50" s="133">
        <v>0.04</v>
      </c>
      <c r="O50" s="268">
        <f t="shared" si="7"/>
        <v>9.2800000000000001E-3</v>
      </c>
      <c r="P50" s="268">
        <f t="shared" si="8"/>
        <v>4.5768322736328665E-2</v>
      </c>
    </row>
    <row r="51" spans="1:16" x14ac:dyDescent="0.35">
      <c r="A51" s="244">
        <v>1070</v>
      </c>
      <c r="B51" s="138">
        <f>'[1]Final Spectral Response_Set1'!X60</f>
        <v>0.22891510018834502</v>
      </c>
      <c r="C51" s="268"/>
      <c r="D51" s="136">
        <f>'[1]Final Spectral Response_Set3_4'!Y56</f>
        <v>0.23147296502157907</v>
      </c>
      <c r="E51" s="268">
        <f>'[1]Final Spectral Response_Set3_4'!X56</f>
        <v>0.23089776543380761</v>
      </c>
      <c r="F51" s="268">
        <f t="shared" si="10"/>
        <v>0.23042861021457725</v>
      </c>
      <c r="G51" s="268">
        <f>'[1]Pyro absorbance'!C51</f>
        <v>0.98482156220640005</v>
      </c>
      <c r="H51" s="134">
        <f t="shared" si="6"/>
        <v>0.2269310638885696</v>
      </c>
      <c r="I51" s="268"/>
      <c r="J51" s="270"/>
      <c r="K51" s="244"/>
      <c r="L51" s="270"/>
      <c r="M51" s="268">
        <v>0.189</v>
      </c>
      <c r="N51" s="133">
        <v>0.04</v>
      </c>
      <c r="O51" s="268">
        <f t="shared" si="7"/>
        <v>7.5599999999999999E-3</v>
      </c>
      <c r="P51" s="268">
        <f t="shared" si="8"/>
        <v>3.7931063888569594E-2</v>
      </c>
    </row>
    <row r="52" spans="1:16" x14ac:dyDescent="0.35">
      <c r="A52" s="244">
        <v>1080</v>
      </c>
      <c r="B52" s="138">
        <f>'[1]Final Spectral Response_Set1'!X61</f>
        <v>0.18870251738665558</v>
      </c>
      <c r="C52" s="268"/>
      <c r="D52" s="136">
        <f>'[1]Final Spectral Response_Set3_4'!Y57</f>
        <v>0.19335213430424636</v>
      </c>
      <c r="E52" s="268">
        <f>'[1]Final Spectral Response_Set3_4'!X57</f>
        <v>0.19296346202425149</v>
      </c>
      <c r="F52" s="268">
        <f t="shared" si="10"/>
        <v>0.19167270457171781</v>
      </c>
      <c r="G52" s="268">
        <f>'[1]Pyro absorbance'!C52</f>
        <v>0.98459678736768252</v>
      </c>
      <c r="H52" s="134">
        <f t="shared" si="6"/>
        <v>0.18872032914738826</v>
      </c>
      <c r="I52" s="268"/>
      <c r="J52" s="270"/>
      <c r="K52" s="244"/>
      <c r="L52" s="270"/>
      <c r="M52" s="268">
        <v>0.156</v>
      </c>
      <c r="N52" s="133">
        <v>0.04</v>
      </c>
      <c r="O52" s="268">
        <f t="shared" si="7"/>
        <v>6.2399999999999999E-3</v>
      </c>
      <c r="P52" s="268">
        <f t="shared" si="8"/>
        <v>3.2720329147388261E-2</v>
      </c>
    </row>
    <row r="53" spans="1:16" x14ac:dyDescent="0.35">
      <c r="A53" s="244">
        <v>1090</v>
      </c>
      <c r="B53" s="137">
        <f>'[1]Final Spectral Response_Set1'!X62</f>
        <v>0.19035358765571261</v>
      </c>
      <c r="C53" s="268"/>
      <c r="D53" s="136">
        <f>'[1]Final Spectral Response_Set3_4'!Y58</f>
        <v>0.15909733107778165</v>
      </c>
      <c r="E53" s="268">
        <f>'[1]Final Spectral Response_Set3_4'!X58</f>
        <v>0.15891279884484941</v>
      </c>
      <c r="F53" s="268">
        <f>AVERAGE(D53,E53)</f>
        <v>0.15900506496131553</v>
      </c>
      <c r="G53" s="268">
        <f>'[1]Pyro absorbance'!C53</f>
        <v>0.98437892867784904</v>
      </c>
      <c r="H53" s="134">
        <f t="shared" si="6"/>
        <v>0.15652123550097158</v>
      </c>
      <c r="I53" s="268"/>
      <c r="J53" s="270"/>
      <c r="K53" s="244"/>
      <c r="L53" s="270"/>
      <c r="M53" s="268">
        <v>0.126</v>
      </c>
      <c r="N53" s="133">
        <v>0.04</v>
      </c>
      <c r="O53" s="268">
        <f t="shared" si="7"/>
        <v>5.0400000000000002E-3</v>
      </c>
      <c r="P53" s="268">
        <f t="shared" si="8"/>
        <v>3.0521235500971577E-2</v>
      </c>
    </row>
    <row r="54" spans="1:16" x14ac:dyDescent="0.35">
      <c r="A54" s="244">
        <v>1100</v>
      </c>
      <c r="B54" s="268"/>
      <c r="C54" s="268"/>
      <c r="D54" s="136">
        <f>'[1]Final Spectral Response_Set3_4'!Y59</f>
        <v>0.12867098625898832</v>
      </c>
      <c r="E54" s="268">
        <f>'[1]Final Spectral Response_Set3_4'!X59</f>
        <v>0.12867761284442686</v>
      </c>
      <c r="F54" s="135">
        <f>AVERAGE(D54,E54)</f>
        <v>0.12867429955170759</v>
      </c>
      <c r="G54" s="268">
        <f>'[1]Pyro absorbance'!C54</f>
        <v>0.98416798613689938</v>
      </c>
      <c r="H54" s="134">
        <f t="shared" si="6"/>
        <v>0.12663712625738019</v>
      </c>
      <c r="I54" s="268"/>
      <c r="J54" s="270"/>
      <c r="K54" s="244"/>
      <c r="L54" s="270"/>
      <c r="M54" s="268">
        <v>0.10199999999999999</v>
      </c>
      <c r="N54" s="133">
        <v>0.04</v>
      </c>
      <c r="O54" s="268">
        <f t="shared" si="7"/>
        <v>4.0799999999999994E-3</v>
      </c>
      <c r="P54" s="268">
        <f t="shared" si="8"/>
        <v>2.4637126257380196E-2</v>
      </c>
    </row>
    <row r="55" spans="1:16" x14ac:dyDescent="0.35">
      <c r="A55" s="132">
        <v>633</v>
      </c>
      <c r="B55" s="244"/>
      <c r="C55" s="244"/>
      <c r="D55" s="244"/>
      <c r="E55" s="268"/>
      <c r="F55" s="131">
        <v>0.35055280500000002</v>
      </c>
      <c r="G55" s="268">
        <f>'[1]Pyro absorbance'!G4</f>
        <v>1</v>
      </c>
      <c r="H55" s="130">
        <f t="shared" si="6"/>
        <v>0.35055280500000002</v>
      </c>
      <c r="I55" s="268"/>
      <c r="J55" s="271"/>
      <c r="K55" s="244"/>
      <c r="L55" s="244"/>
      <c r="M55" s="268"/>
      <c r="N55" s="244"/>
      <c r="O55" s="244"/>
      <c r="P55" s="244"/>
    </row>
    <row r="56" spans="1:16" x14ac:dyDescent="0.35">
      <c r="A56" s="132">
        <v>905</v>
      </c>
      <c r="B56" s="268">
        <f>AVERAGE('[1]Final Spectral Response_Set1'!U70:U71,'[1]Final Spectral Response_Set1'!U72:U73)</f>
        <v>0.50952840258254128</v>
      </c>
      <c r="C56" s="268">
        <v>0.51490838339891276</v>
      </c>
      <c r="D56" s="268">
        <v>0.5137334417456394</v>
      </c>
      <c r="E56" s="268"/>
      <c r="F56" s="131">
        <f>AVERAGE(B56:D56)</f>
        <v>0.51272340924236448</v>
      </c>
      <c r="G56" s="268">
        <f>'[1]Pyro absorbance'!G5</f>
        <v>0.98949765691846525</v>
      </c>
      <c r="H56" s="130">
        <f t="shared" si="6"/>
        <v>0.50733861209256703</v>
      </c>
      <c r="I56" s="268"/>
      <c r="J56" s="271"/>
      <c r="K56" s="244"/>
      <c r="L56" s="244"/>
      <c r="M56" s="268"/>
      <c r="N56" s="244"/>
      <c r="O56" s="244"/>
      <c r="P56" s="244"/>
    </row>
    <row r="57" spans="1:16" x14ac:dyDescent="0.35">
      <c r="A57" s="244"/>
      <c r="B57" s="244"/>
      <c r="C57" s="268"/>
      <c r="D57" s="244"/>
      <c r="E57" s="268"/>
      <c r="F57" s="268"/>
      <c r="G57" s="268"/>
      <c r="H57" s="268"/>
      <c r="I57" s="268"/>
      <c r="J57" s="271"/>
      <c r="K57" s="244"/>
      <c r="L57" s="244"/>
      <c r="M57" s="268"/>
      <c r="N57" s="244"/>
      <c r="O57" s="244"/>
      <c r="P57" s="244"/>
    </row>
    <row r="58" spans="1:16" x14ac:dyDescent="0.35">
      <c r="A58" s="244"/>
      <c r="B58" s="244"/>
      <c r="C58" s="244"/>
      <c r="D58" s="244"/>
      <c r="E58" s="268"/>
      <c r="F58" s="268"/>
      <c r="G58" s="268"/>
      <c r="H58" s="268"/>
      <c r="I58" s="129"/>
      <c r="J58" s="271"/>
      <c r="K58" s="244"/>
      <c r="L58" s="244"/>
      <c r="M58" s="268"/>
      <c r="N58" s="244"/>
      <c r="O58" s="244"/>
      <c r="P58" s="244"/>
    </row>
    <row r="59" spans="1:16" x14ac:dyDescent="0.35">
      <c r="A59" s="244"/>
      <c r="B59" s="244"/>
      <c r="C59" s="244"/>
      <c r="D59" s="244"/>
      <c r="E59" s="268"/>
      <c r="F59" s="268"/>
      <c r="G59" s="268"/>
      <c r="H59" s="268"/>
      <c r="I59" s="268"/>
      <c r="J59" s="271"/>
      <c r="K59" s="244"/>
      <c r="L59" s="244"/>
      <c r="M59" s="268"/>
      <c r="N59" s="244"/>
      <c r="O59" s="244"/>
      <c r="P59" s="244"/>
    </row>
    <row r="60" spans="1:16" x14ac:dyDescent="0.35">
      <c r="A60" s="244"/>
      <c r="B60" s="244"/>
      <c r="C60" s="244"/>
      <c r="D60" s="244"/>
      <c r="E60" s="268"/>
      <c r="F60" s="268"/>
      <c r="G60" s="268"/>
      <c r="H60" s="268"/>
      <c r="I60" s="268"/>
      <c r="J60" s="271"/>
      <c r="K60" s="244"/>
      <c r="L60" s="244"/>
      <c r="M60" s="268"/>
      <c r="N60" s="244"/>
      <c r="O60" s="244"/>
      <c r="P60" s="244"/>
    </row>
    <row r="61" spans="1:16" x14ac:dyDescent="0.35">
      <c r="A61" s="244"/>
      <c r="B61" s="244"/>
      <c r="C61" s="244"/>
      <c r="D61" s="244"/>
      <c r="E61" s="268"/>
      <c r="F61" s="268"/>
      <c r="G61" s="268"/>
      <c r="H61" s="268"/>
      <c r="I61" s="268"/>
      <c r="J61" s="271"/>
      <c r="K61" s="244"/>
      <c r="L61" s="244"/>
      <c r="M61" s="268"/>
      <c r="N61" s="244"/>
      <c r="O61" s="244"/>
      <c r="P61" s="244"/>
    </row>
    <row r="62" spans="1:16" x14ac:dyDescent="0.35">
      <c r="A62" s="244"/>
      <c r="B62" s="244"/>
      <c r="C62" s="244"/>
      <c r="D62" s="244"/>
      <c r="E62" s="268"/>
      <c r="F62" s="268"/>
      <c r="G62" s="268"/>
      <c r="H62" s="268"/>
      <c r="I62" s="268"/>
      <c r="J62" s="271"/>
      <c r="K62" s="244"/>
      <c r="L62" s="244"/>
      <c r="M62" s="268"/>
      <c r="N62" s="244"/>
      <c r="O62" s="244"/>
      <c r="P62" s="244"/>
    </row>
    <row r="63" spans="1:16" x14ac:dyDescent="0.35">
      <c r="A63" s="244"/>
      <c r="B63" s="244"/>
      <c r="C63" s="244"/>
      <c r="D63" s="244"/>
      <c r="E63" s="268"/>
      <c r="F63" s="268"/>
      <c r="G63" s="268"/>
      <c r="H63" s="268"/>
      <c r="I63" s="268"/>
      <c r="J63" s="271"/>
      <c r="K63" s="244"/>
      <c r="L63" s="244"/>
      <c r="M63" s="268"/>
      <c r="N63" s="244"/>
      <c r="O63" s="244"/>
      <c r="P63" s="244"/>
    </row>
    <row r="64" spans="1:16" x14ac:dyDescent="0.35">
      <c r="A64" s="244"/>
      <c r="B64" s="244"/>
      <c r="C64" s="244"/>
      <c r="D64" s="244"/>
      <c r="E64" s="268"/>
      <c r="F64" s="268"/>
      <c r="G64" s="268"/>
      <c r="H64" s="268"/>
      <c r="I64" s="268"/>
      <c r="J64" s="271"/>
      <c r="K64" s="244"/>
      <c r="L64" s="244"/>
      <c r="M64" s="268"/>
      <c r="N64" s="244"/>
      <c r="O64" s="244"/>
      <c r="P64" s="244"/>
    </row>
    <row r="65" spans="5:16" x14ac:dyDescent="0.35">
      <c r="E65" s="268"/>
      <c r="F65" s="268"/>
      <c r="G65" s="268"/>
      <c r="H65" s="268"/>
      <c r="I65" s="268"/>
      <c r="J65" s="271"/>
      <c r="K65" s="244"/>
      <c r="L65" s="244"/>
      <c r="M65" s="268"/>
      <c r="N65" s="244"/>
      <c r="O65" s="244"/>
      <c r="P65" s="244"/>
    </row>
    <row r="66" spans="5:16" x14ac:dyDescent="0.35">
      <c r="E66" s="268"/>
      <c r="F66" s="268"/>
      <c r="G66" s="268"/>
      <c r="H66" s="268"/>
      <c r="I66" s="268"/>
      <c r="J66" s="271"/>
      <c r="K66" s="244"/>
      <c r="L66" s="244"/>
      <c r="M66" s="268"/>
      <c r="N66" s="244"/>
      <c r="O66" s="244"/>
      <c r="P66" s="244"/>
    </row>
    <row r="67" spans="5:16" x14ac:dyDescent="0.35">
      <c r="E67" s="268"/>
      <c r="F67" s="268"/>
      <c r="G67" s="268"/>
      <c r="H67" s="268"/>
      <c r="I67" s="268"/>
      <c r="J67" s="271"/>
      <c r="K67" s="244"/>
      <c r="L67" s="244"/>
      <c r="M67" s="268"/>
      <c r="N67" s="244"/>
      <c r="O67" s="244"/>
      <c r="P67" s="244"/>
    </row>
    <row r="68" spans="5:16" x14ac:dyDescent="0.35">
      <c r="E68" s="268"/>
      <c r="F68" s="268"/>
      <c r="G68" s="268"/>
      <c r="H68" s="268"/>
      <c r="I68" s="268"/>
      <c r="J68" s="271"/>
      <c r="K68" s="244"/>
      <c r="L68" s="244"/>
      <c r="M68" s="268"/>
      <c r="N68" s="244"/>
      <c r="O68" s="244"/>
      <c r="P68" s="244"/>
    </row>
    <row r="69" spans="5:16" x14ac:dyDescent="0.35">
      <c r="E69" s="268"/>
      <c r="F69" s="268"/>
      <c r="G69" s="268"/>
      <c r="H69" s="268"/>
      <c r="I69" s="268"/>
      <c r="J69" s="271"/>
      <c r="K69" s="244"/>
      <c r="L69" s="244"/>
      <c r="M69" s="268"/>
      <c r="N69" s="244"/>
      <c r="O69" s="244"/>
      <c r="P69" s="244"/>
    </row>
    <row r="78" spans="5:16" x14ac:dyDescent="0.35">
      <c r="E78" s="244"/>
      <c r="F78" s="244"/>
      <c r="G78" s="244"/>
      <c r="H78" s="244"/>
      <c r="I78" s="268"/>
      <c r="J78" s="270"/>
      <c r="K78" s="244"/>
      <c r="L78" s="244"/>
      <c r="M78" s="268"/>
      <c r="N78" s="244"/>
      <c r="O78" s="244"/>
    </row>
    <row r="79" spans="5:16" x14ac:dyDescent="0.35">
      <c r="E79" s="244"/>
      <c r="F79" s="244"/>
      <c r="G79" s="244"/>
      <c r="H79" s="244"/>
      <c r="I79" s="268"/>
      <c r="J79" s="270"/>
      <c r="K79" s="244"/>
      <c r="L79" s="244"/>
      <c r="M79" s="268"/>
      <c r="N79" s="244"/>
      <c r="O79" s="244"/>
    </row>
    <row r="80" spans="5:16" x14ac:dyDescent="0.35">
      <c r="E80" s="244"/>
      <c r="F80" s="244"/>
      <c r="G80" s="244"/>
      <c r="H80" s="244"/>
      <c r="I80" s="268"/>
      <c r="J80" s="270"/>
      <c r="K80" s="244"/>
      <c r="L80" s="244"/>
      <c r="M80" s="268"/>
      <c r="N80" s="244"/>
      <c r="O80" s="244"/>
    </row>
    <row r="83" spans="4:29" x14ac:dyDescent="0.35">
      <c r="D83" s="244"/>
      <c r="E83" s="268"/>
      <c r="F83" s="268"/>
      <c r="G83" s="268"/>
      <c r="H83" s="268"/>
      <c r="I83" s="244"/>
      <c r="J83" s="270"/>
      <c r="K83" s="244"/>
      <c r="L83" s="244"/>
      <c r="M83" s="268"/>
      <c r="N83" s="244"/>
      <c r="O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</row>
    <row r="84" spans="4:29" x14ac:dyDescent="0.35">
      <c r="D84" s="244"/>
      <c r="E84" s="126"/>
      <c r="F84" s="126"/>
      <c r="G84" s="126"/>
      <c r="H84" s="126"/>
      <c r="I84" s="244"/>
      <c r="J84" s="270"/>
      <c r="K84" s="244"/>
      <c r="L84" s="244"/>
      <c r="M84" s="268"/>
      <c r="N84" s="244"/>
      <c r="O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</row>
    <row r="85" spans="4:29" x14ac:dyDescent="0.35">
      <c r="D85" s="244"/>
      <c r="E85" s="126"/>
      <c r="F85" s="126"/>
      <c r="G85" s="126"/>
      <c r="H85" s="126"/>
      <c r="I85" s="244"/>
      <c r="J85" s="270"/>
      <c r="K85" s="244"/>
      <c r="L85" s="244"/>
      <c r="M85" s="268"/>
      <c r="N85" s="244"/>
      <c r="O85" s="244"/>
      <c r="Q85" s="244"/>
      <c r="R85" s="244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</row>
    <row r="86" spans="4:29" x14ac:dyDescent="0.35">
      <c r="D86" s="244"/>
      <c r="E86" s="126"/>
      <c r="F86" s="126"/>
      <c r="G86" s="126"/>
      <c r="H86" s="126"/>
      <c r="I86" s="268"/>
      <c r="J86" s="127"/>
      <c r="K86" s="268"/>
      <c r="L86" s="244"/>
      <c r="M86" s="268"/>
      <c r="N86" s="244"/>
      <c r="O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</row>
    <row r="87" spans="4:29" x14ac:dyDescent="0.35">
      <c r="D87" s="244"/>
      <c r="E87" s="126"/>
      <c r="F87" s="126"/>
      <c r="G87" s="126"/>
      <c r="H87" s="126"/>
      <c r="I87" s="268"/>
      <c r="J87" s="128"/>
      <c r="K87" s="239"/>
      <c r="L87" s="244"/>
      <c r="M87" s="268"/>
      <c r="N87" s="244"/>
      <c r="O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</row>
    <row r="88" spans="4:29" x14ac:dyDescent="0.35">
      <c r="D88" s="239"/>
      <c r="E88" s="126"/>
      <c r="F88" s="126"/>
      <c r="G88" s="126"/>
      <c r="H88" s="126"/>
      <c r="I88" s="268"/>
      <c r="J88" s="270"/>
      <c r="K88" s="244"/>
      <c r="L88" s="244"/>
      <c r="M88" s="268"/>
      <c r="N88" s="244"/>
      <c r="O88" s="244"/>
      <c r="Q88" s="244"/>
      <c r="R88" s="244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</row>
    <row r="89" spans="4:29" x14ac:dyDescent="0.35">
      <c r="D89" s="244"/>
      <c r="E89" s="268"/>
      <c r="F89" s="268"/>
      <c r="G89" s="268"/>
      <c r="H89" s="268"/>
      <c r="I89" s="126"/>
      <c r="J89" s="270"/>
      <c r="K89" s="244"/>
      <c r="L89" s="244"/>
      <c r="M89" s="268"/>
      <c r="N89" s="244"/>
      <c r="O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</row>
    <row r="90" spans="4:29" x14ac:dyDescent="0.35">
      <c r="D90" s="244"/>
      <c r="E90" s="268"/>
      <c r="F90" s="268"/>
      <c r="G90" s="268"/>
      <c r="H90" s="268"/>
      <c r="I90" s="126"/>
      <c r="J90" s="270"/>
      <c r="K90" s="244"/>
      <c r="L90" s="244"/>
      <c r="M90" s="268"/>
      <c r="N90" s="244"/>
      <c r="O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</row>
    <row r="91" spans="4:29" x14ac:dyDescent="0.35">
      <c r="D91" s="244"/>
      <c r="E91" s="268"/>
      <c r="F91" s="268"/>
      <c r="G91" s="268"/>
      <c r="H91" s="268"/>
      <c r="I91" s="126"/>
      <c r="J91" s="270"/>
      <c r="K91" s="244"/>
      <c r="L91" s="244"/>
      <c r="M91" s="268"/>
      <c r="N91" s="244"/>
      <c r="O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</row>
    <row r="92" spans="4:29" x14ac:dyDescent="0.35">
      <c r="D92" s="244"/>
      <c r="E92" s="268"/>
      <c r="F92" s="268"/>
      <c r="G92" s="268"/>
      <c r="H92" s="268"/>
      <c r="I92" s="126"/>
      <c r="J92" s="270"/>
      <c r="K92" s="244"/>
      <c r="L92" s="244"/>
      <c r="M92" s="268"/>
      <c r="N92" s="244"/>
      <c r="O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</row>
    <row r="93" spans="4:29" x14ac:dyDescent="0.35">
      <c r="D93" s="244"/>
      <c r="E93" s="268"/>
      <c r="F93" s="268"/>
      <c r="G93" s="268"/>
      <c r="H93" s="268"/>
      <c r="I93" s="126"/>
      <c r="J93" s="270"/>
      <c r="K93" s="244"/>
      <c r="L93" s="244"/>
      <c r="M93" s="268"/>
      <c r="N93" s="244"/>
      <c r="O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</row>
    <row r="100" spans="5:16" x14ac:dyDescent="0.35">
      <c r="E100" s="244"/>
      <c r="F100" s="244"/>
      <c r="G100" s="244"/>
      <c r="H100" s="244"/>
      <c r="I100" s="268"/>
      <c r="J100" s="270"/>
      <c r="K100" s="244"/>
      <c r="L100" s="244"/>
      <c r="M100" s="268"/>
      <c r="N100" s="244"/>
      <c r="O100" s="244"/>
    </row>
    <row r="101" spans="5:16" x14ac:dyDescent="0.35">
      <c r="E101" s="244"/>
      <c r="F101" s="244"/>
      <c r="G101" s="244"/>
      <c r="H101" s="244"/>
      <c r="I101" s="268"/>
      <c r="J101" s="270"/>
      <c r="K101" s="244"/>
      <c r="L101" s="244"/>
      <c r="M101" s="268"/>
      <c r="N101" s="244"/>
      <c r="O101" s="244"/>
    </row>
    <row r="102" spans="5:16" x14ac:dyDescent="0.35">
      <c r="E102" s="244"/>
      <c r="F102" s="244"/>
      <c r="G102" s="244"/>
      <c r="H102" s="244"/>
      <c r="I102" s="268"/>
      <c r="J102" s="270"/>
      <c r="K102" s="244"/>
      <c r="L102" s="244"/>
      <c r="M102" s="268"/>
      <c r="N102" s="244"/>
      <c r="O102" s="244"/>
    </row>
    <row r="103" spans="5:16" x14ac:dyDescent="0.35">
      <c r="E103" s="244"/>
      <c r="F103" s="244"/>
      <c r="G103" s="244"/>
      <c r="H103" s="244"/>
      <c r="I103" s="268"/>
      <c r="J103" s="270"/>
      <c r="K103" s="244"/>
      <c r="L103" s="244"/>
      <c r="M103" s="268"/>
      <c r="N103" s="244"/>
      <c r="O103" s="244"/>
    </row>
    <row r="104" spans="5:16" x14ac:dyDescent="0.35">
      <c r="E104" s="244"/>
      <c r="F104" s="244"/>
      <c r="G104" s="244"/>
      <c r="H104" s="244"/>
      <c r="I104" s="268"/>
      <c r="J104" s="271"/>
      <c r="K104" s="244"/>
      <c r="L104" s="244"/>
      <c r="M104" s="268"/>
      <c r="N104" s="244"/>
      <c r="O104" s="244"/>
      <c r="P104" s="244"/>
    </row>
    <row r="105" spans="5:16" x14ac:dyDescent="0.35">
      <c r="E105" s="244"/>
      <c r="F105" s="244"/>
      <c r="G105" s="244"/>
      <c r="H105" s="244"/>
      <c r="I105" s="244"/>
      <c r="J105" s="271"/>
      <c r="K105" s="244"/>
      <c r="L105" s="244"/>
      <c r="M105" s="268"/>
      <c r="N105" s="244"/>
      <c r="O105" s="244"/>
      <c r="P105" s="244"/>
    </row>
    <row r="106" spans="5:16" x14ac:dyDescent="0.35">
      <c r="E106" s="244"/>
      <c r="F106" s="244"/>
      <c r="G106" s="244"/>
      <c r="H106" s="244"/>
      <c r="I106" s="244"/>
      <c r="J106" s="271"/>
      <c r="K106" s="244"/>
      <c r="L106" s="244"/>
      <c r="M106" s="268"/>
      <c r="N106" s="244"/>
      <c r="O106" s="244"/>
      <c r="P106" s="244"/>
    </row>
    <row r="107" spans="5:16" x14ac:dyDescent="0.35">
      <c r="E107" s="244"/>
      <c r="F107" s="244"/>
      <c r="G107" s="244"/>
      <c r="H107" s="244"/>
      <c r="I107" s="244"/>
      <c r="J107" s="271"/>
      <c r="K107" s="244"/>
      <c r="L107" s="244"/>
      <c r="M107" s="268"/>
      <c r="N107" s="244"/>
      <c r="O107" s="244"/>
      <c r="P107" s="244"/>
    </row>
    <row r="108" spans="5:16" x14ac:dyDescent="0.35">
      <c r="E108" s="244"/>
      <c r="F108" s="244"/>
      <c r="G108" s="244"/>
      <c r="H108" s="244"/>
      <c r="I108" s="244"/>
      <c r="J108" s="271"/>
      <c r="K108" s="244"/>
      <c r="L108" s="244"/>
      <c r="M108" s="268"/>
      <c r="N108" s="244"/>
      <c r="O108" s="244"/>
      <c r="P108" s="244"/>
    </row>
    <row r="109" spans="5:16" x14ac:dyDescent="0.35">
      <c r="E109" s="244"/>
      <c r="F109" s="244"/>
      <c r="G109" s="244"/>
      <c r="H109" s="244"/>
      <c r="I109" s="244"/>
      <c r="J109" s="271"/>
      <c r="K109" s="244"/>
      <c r="L109" s="244"/>
      <c r="M109" s="268"/>
      <c r="N109" s="244"/>
      <c r="O109" s="244"/>
      <c r="P109" s="244"/>
    </row>
    <row r="110" spans="5:16" x14ac:dyDescent="0.35">
      <c r="E110" s="244"/>
      <c r="F110" s="244"/>
      <c r="G110" s="244"/>
      <c r="H110" s="244"/>
      <c r="I110" s="244"/>
      <c r="J110" s="271"/>
      <c r="K110" s="244"/>
      <c r="L110" s="244"/>
      <c r="M110" s="268"/>
      <c r="N110" s="244"/>
      <c r="O110" s="244"/>
      <c r="P110" s="244"/>
    </row>
    <row r="111" spans="5:16" x14ac:dyDescent="0.35">
      <c r="E111" s="244"/>
      <c r="F111" s="244"/>
      <c r="G111" s="244"/>
      <c r="H111" s="244"/>
      <c r="I111" s="244"/>
      <c r="J111" s="271"/>
      <c r="K111" s="244"/>
      <c r="L111" s="244"/>
      <c r="M111" s="268"/>
      <c r="N111" s="244"/>
      <c r="O111" s="244"/>
      <c r="P111" s="244"/>
    </row>
    <row r="112" spans="5:16" x14ac:dyDescent="0.35">
      <c r="E112" s="244"/>
      <c r="F112" s="244"/>
      <c r="G112" s="244"/>
      <c r="H112" s="244"/>
      <c r="I112" s="244"/>
      <c r="J112" s="271"/>
      <c r="K112" s="244"/>
      <c r="L112" s="244"/>
      <c r="M112" s="268"/>
      <c r="N112" s="244"/>
      <c r="O112" s="244"/>
      <c r="P112" s="244"/>
    </row>
    <row r="113" spans="1:29" x14ac:dyDescent="0.35">
      <c r="A113" s="244"/>
      <c r="B113" s="244"/>
      <c r="C113" s="244"/>
      <c r="D113" s="244"/>
      <c r="E113" s="244"/>
      <c r="F113" s="244"/>
      <c r="G113" s="244"/>
      <c r="H113" s="244"/>
      <c r="I113" s="244"/>
      <c r="J113" s="271"/>
      <c r="K113" s="244"/>
      <c r="L113" s="244"/>
      <c r="M113" s="268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</row>
    <row r="114" spans="1:29" x14ac:dyDescent="0.35">
      <c r="A114" s="244"/>
      <c r="B114" s="244"/>
      <c r="C114" s="244"/>
      <c r="D114" s="244"/>
      <c r="E114" s="244"/>
      <c r="F114" s="244"/>
      <c r="G114" s="244"/>
      <c r="H114" s="244"/>
      <c r="I114" s="244"/>
      <c r="J114" s="271"/>
      <c r="K114" s="244"/>
      <c r="L114" s="244"/>
      <c r="M114" s="268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</row>
    <row r="115" spans="1:29" x14ac:dyDescent="0.35">
      <c r="A115" s="244"/>
      <c r="B115" s="244"/>
      <c r="C115" s="244"/>
      <c r="D115" s="244"/>
      <c r="E115" s="244"/>
      <c r="F115" s="244"/>
      <c r="G115" s="244"/>
      <c r="H115" s="244"/>
      <c r="I115" s="244"/>
      <c r="J115" s="271"/>
      <c r="K115" s="244"/>
      <c r="L115" s="244"/>
      <c r="M115" s="268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</row>
    <row r="116" spans="1:29" x14ac:dyDescent="0.35">
      <c r="A116" s="244"/>
      <c r="B116" s="244"/>
      <c r="C116" s="244"/>
      <c r="D116" s="244"/>
      <c r="E116" s="268"/>
      <c r="F116" s="268"/>
      <c r="G116" s="268"/>
      <c r="H116" s="268"/>
      <c r="I116" s="244"/>
      <c r="J116" s="271"/>
      <c r="K116" s="244"/>
      <c r="L116" s="244"/>
      <c r="M116" s="268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</row>
    <row r="117" spans="1:29" x14ac:dyDescent="0.35">
      <c r="A117" s="244"/>
      <c r="B117" s="244"/>
      <c r="C117" s="244"/>
      <c r="D117" s="244"/>
      <c r="E117" s="268"/>
      <c r="F117" s="268"/>
      <c r="G117" s="268"/>
      <c r="H117" s="268"/>
      <c r="I117" s="244"/>
      <c r="J117" s="271"/>
      <c r="K117" s="244"/>
      <c r="L117" s="244"/>
      <c r="M117" s="268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</row>
    <row r="118" spans="1:29" x14ac:dyDescent="0.35">
      <c r="A118" s="244"/>
      <c r="B118" s="244"/>
      <c r="C118" s="244"/>
      <c r="D118" s="244"/>
      <c r="E118" s="268"/>
      <c r="F118" s="268"/>
      <c r="G118" s="268"/>
      <c r="H118" s="268"/>
      <c r="I118" s="244"/>
      <c r="J118" s="271"/>
      <c r="K118" s="244"/>
      <c r="L118" s="244"/>
      <c r="M118" s="268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</row>
    <row r="119" spans="1:29" x14ac:dyDescent="0.35">
      <c r="A119" s="244"/>
      <c r="B119" s="244"/>
      <c r="C119" s="244"/>
      <c r="D119" s="244"/>
      <c r="E119" s="244"/>
      <c r="F119" s="244"/>
      <c r="G119" s="244"/>
      <c r="H119" s="244"/>
      <c r="I119" s="244"/>
      <c r="J119" s="271"/>
      <c r="K119" s="244"/>
      <c r="L119" s="244"/>
      <c r="M119" s="268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</row>
    <row r="120" spans="1:29" x14ac:dyDescent="0.35">
      <c r="A120" s="239"/>
      <c r="B120" s="239"/>
      <c r="C120" s="239"/>
      <c r="D120" s="244"/>
      <c r="E120" s="244"/>
      <c r="F120" s="244"/>
      <c r="G120" s="244"/>
      <c r="H120" s="244"/>
      <c r="I120" s="244"/>
      <c r="J120" s="270"/>
      <c r="K120" s="244"/>
      <c r="L120" s="244"/>
      <c r="M120" s="268"/>
      <c r="N120" s="244"/>
      <c r="O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</row>
    <row r="121" spans="1:29" x14ac:dyDescent="0.35">
      <c r="A121" s="239"/>
      <c r="B121" s="239"/>
      <c r="C121" s="239"/>
      <c r="D121" s="244"/>
      <c r="E121" s="244"/>
      <c r="F121" s="244"/>
      <c r="G121" s="244"/>
      <c r="H121" s="244"/>
      <c r="I121" s="268"/>
      <c r="J121" s="270"/>
      <c r="K121" s="244"/>
      <c r="L121" s="244"/>
      <c r="M121" s="268"/>
      <c r="N121" s="244"/>
      <c r="O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</row>
    <row r="122" spans="1:29" x14ac:dyDescent="0.35">
      <c r="A122" s="244"/>
      <c r="B122" s="244"/>
      <c r="C122" s="244"/>
      <c r="D122" s="244"/>
      <c r="E122" s="126"/>
      <c r="F122" s="126"/>
      <c r="G122" s="126"/>
      <c r="H122" s="126"/>
      <c r="I122" s="268"/>
      <c r="J122" s="128"/>
      <c r="K122" s="239"/>
      <c r="L122" s="244"/>
      <c r="M122" s="268"/>
      <c r="N122" s="244"/>
      <c r="O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</row>
    <row r="123" spans="1:29" x14ac:dyDescent="0.35">
      <c r="A123" s="244"/>
      <c r="B123" s="244"/>
      <c r="C123" s="244"/>
      <c r="D123" s="244"/>
      <c r="E123" s="126"/>
      <c r="F123" s="126"/>
      <c r="G123" s="126"/>
      <c r="H123" s="126"/>
      <c r="I123" s="268"/>
      <c r="J123" s="270"/>
      <c r="K123" s="244"/>
      <c r="L123" s="244"/>
      <c r="M123" s="268"/>
      <c r="N123" s="244"/>
      <c r="O123" s="244"/>
      <c r="Q123" s="244"/>
      <c r="R123" s="244"/>
      <c r="S123" s="239"/>
      <c r="T123" s="239"/>
      <c r="U123" s="239"/>
      <c r="V123" s="239"/>
      <c r="W123" s="239"/>
      <c r="X123" s="239"/>
      <c r="Y123" s="239"/>
      <c r="Z123" s="239"/>
      <c r="AA123" s="239"/>
      <c r="AB123" s="239"/>
      <c r="AC123" s="239"/>
    </row>
    <row r="124" spans="1:29" x14ac:dyDescent="0.35">
      <c r="A124" s="244"/>
      <c r="B124" s="244"/>
      <c r="C124" s="244"/>
      <c r="D124" s="244"/>
      <c r="E124" s="126"/>
      <c r="F124" s="126"/>
      <c r="G124" s="126"/>
      <c r="H124" s="126"/>
      <c r="I124" s="268"/>
      <c r="J124" s="127"/>
      <c r="K124" s="268"/>
      <c r="L124" s="244"/>
      <c r="M124" s="268"/>
      <c r="N124" s="244"/>
      <c r="O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</row>
    <row r="125" spans="1:29" x14ac:dyDescent="0.35">
      <c r="A125" s="244"/>
      <c r="B125" s="244"/>
      <c r="C125" s="244"/>
      <c r="D125" s="239"/>
      <c r="E125" s="126"/>
      <c r="F125" s="126"/>
      <c r="G125" s="126"/>
      <c r="H125" s="126"/>
      <c r="I125" s="268"/>
      <c r="J125" s="270"/>
      <c r="K125" s="244"/>
      <c r="L125" s="244"/>
      <c r="M125" s="268"/>
      <c r="N125" s="244"/>
      <c r="O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</row>
    <row r="126" spans="1:29" x14ac:dyDescent="0.35">
      <c r="A126" s="244"/>
      <c r="B126" s="244"/>
      <c r="C126" s="244"/>
      <c r="D126" s="244"/>
      <c r="E126" s="268"/>
      <c r="F126" s="268"/>
      <c r="G126" s="268"/>
      <c r="H126" s="268"/>
      <c r="I126" s="126"/>
      <c r="J126" s="270"/>
      <c r="K126" s="244"/>
      <c r="L126" s="244"/>
      <c r="M126" s="268"/>
      <c r="N126" s="244"/>
      <c r="O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</row>
    <row r="127" spans="1:29" x14ac:dyDescent="0.35">
      <c r="A127" s="244"/>
      <c r="B127" s="244"/>
      <c r="C127" s="244"/>
      <c r="D127" s="244"/>
      <c r="E127" s="268"/>
      <c r="F127" s="268"/>
      <c r="G127" s="268"/>
      <c r="H127" s="268"/>
      <c r="I127" s="126"/>
      <c r="J127" s="270"/>
      <c r="K127" s="244"/>
      <c r="L127" s="244"/>
      <c r="M127" s="268"/>
      <c r="N127" s="244"/>
      <c r="O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</row>
    <row r="128" spans="1:29" x14ac:dyDescent="0.35">
      <c r="A128" s="244"/>
      <c r="B128" s="244"/>
      <c r="C128" s="244"/>
      <c r="D128" s="244"/>
      <c r="E128" s="268"/>
      <c r="F128" s="268"/>
      <c r="G128" s="268"/>
      <c r="H128" s="268"/>
      <c r="I128" s="126"/>
      <c r="J128" s="270"/>
      <c r="K128" s="244"/>
      <c r="L128" s="244"/>
      <c r="M128" s="268"/>
      <c r="N128" s="244"/>
      <c r="O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</row>
    <row r="129" spans="5:16" x14ac:dyDescent="0.35">
      <c r="E129" s="268"/>
      <c r="F129" s="268"/>
      <c r="G129" s="268"/>
      <c r="H129" s="268"/>
      <c r="I129" s="126"/>
      <c r="J129" s="270"/>
      <c r="K129" s="244"/>
      <c r="L129" s="244"/>
      <c r="M129" s="268"/>
      <c r="N129" s="244"/>
      <c r="O129" s="244"/>
    </row>
    <row r="130" spans="5:16" x14ac:dyDescent="0.35">
      <c r="E130" s="268"/>
      <c r="F130" s="268"/>
      <c r="G130" s="268"/>
      <c r="H130" s="268"/>
      <c r="I130" s="126"/>
      <c r="J130" s="270"/>
      <c r="K130" s="244"/>
      <c r="L130" s="244"/>
      <c r="M130" s="268"/>
      <c r="N130" s="244"/>
      <c r="O130" s="244"/>
    </row>
    <row r="137" spans="5:16" x14ac:dyDescent="0.35">
      <c r="E137" s="244"/>
      <c r="F137" s="244"/>
      <c r="G137" s="244"/>
      <c r="H137" s="244"/>
      <c r="I137" s="268"/>
      <c r="J137" s="270"/>
      <c r="K137" s="244"/>
      <c r="L137" s="244"/>
      <c r="M137" s="268"/>
      <c r="N137" s="244"/>
      <c r="O137" s="244"/>
    </row>
    <row r="138" spans="5:16" x14ac:dyDescent="0.35">
      <c r="E138" s="244"/>
      <c r="F138" s="244"/>
      <c r="G138" s="244"/>
      <c r="H138" s="244"/>
      <c r="I138" s="268"/>
      <c r="J138" s="270"/>
      <c r="K138" s="244"/>
      <c r="L138" s="244"/>
      <c r="M138" s="268"/>
      <c r="N138" s="244"/>
      <c r="O138" s="244"/>
    </row>
    <row r="139" spans="5:16" x14ac:dyDescent="0.35">
      <c r="E139" s="244"/>
      <c r="F139" s="244"/>
      <c r="G139" s="244"/>
      <c r="H139" s="244"/>
      <c r="I139" s="268"/>
      <c r="J139" s="270"/>
      <c r="K139" s="244"/>
      <c r="L139" s="244"/>
      <c r="M139" s="268"/>
      <c r="N139" s="244"/>
      <c r="O139" s="244"/>
    </row>
    <row r="140" spans="5:16" x14ac:dyDescent="0.35">
      <c r="E140" s="244"/>
      <c r="F140" s="244"/>
      <c r="G140" s="244"/>
      <c r="H140" s="244"/>
      <c r="I140" s="268"/>
      <c r="J140" s="270"/>
      <c r="K140" s="244"/>
      <c r="L140" s="244"/>
      <c r="M140" s="268"/>
      <c r="N140" s="244"/>
      <c r="O140" s="244"/>
    </row>
    <row r="141" spans="5:16" x14ac:dyDescent="0.35">
      <c r="E141" s="244"/>
      <c r="F141" s="244"/>
      <c r="G141" s="244"/>
      <c r="H141" s="244"/>
      <c r="I141" s="268"/>
      <c r="J141" s="271"/>
      <c r="K141" s="244"/>
      <c r="L141" s="244"/>
      <c r="M141" s="268"/>
      <c r="N141" s="244"/>
      <c r="O141" s="244"/>
      <c r="P141" s="244"/>
    </row>
    <row r="142" spans="5:16" x14ac:dyDescent="0.35">
      <c r="E142" s="244"/>
      <c r="F142" s="244"/>
      <c r="G142" s="244"/>
      <c r="H142" s="244"/>
      <c r="I142" s="244"/>
      <c r="J142" s="271"/>
      <c r="K142" s="244"/>
      <c r="L142" s="244"/>
      <c r="M142" s="268"/>
      <c r="N142" s="244"/>
      <c r="O142" s="244"/>
      <c r="P142" s="244"/>
    </row>
    <row r="143" spans="5:16" x14ac:dyDescent="0.35">
      <c r="E143" s="244"/>
      <c r="F143" s="244"/>
      <c r="G143" s="244"/>
      <c r="H143" s="244"/>
      <c r="I143" s="244"/>
      <c r="J143" s="271"/>
      <c r="K143" s="244"/>
      <c r="L143" s="244"/>
      <c r="M143" s="268"/>
      <c r="N143" s="244"/>
      <c r="O143" s="244"/>
      <c r="P143" s="244"/>
    </row>
    <row r="144" spans="5:16" x14ac:dyDescent="0.35">
      <c r="E144" s="244"/>
      <c r="F144" s="244"/>
      <c r="G144" s="244"/>
      <c r="H144" s="244"/>
      <c r="I144" s="244"/>
      <c r="J144" s="271"/>
      <c r="K144" s="244"/>
      <c r="L144" s="244"/>
      <c r="M144" s="268"/>
      <c r="N144" s="244"/>
      <c r="O144" s="244"/>
      <c r="P144" s="244"/>
    </row>
    <row r="145" spans="5:16" x14ac:dyDescent="0.35">
      <c r="E145" s="244"/>
      <c r="F145" s="244"/>
      <c r="G145" s="244"/>
      <c r="H145" s="244"/>
      <c r="I145" s="244"/>
      <c r="J145" s="271"/>
      <c r="K145" s="244"/>
      <c r="L145" s="244"/>
      <c r="M145" s="268"/>
      <c r="N145" s="244"/>
      <c r="O145" s="244"/>
      <c r="P145" s="244"/>
    </row>
    <row r="146" spans="5:16" x14ac:dyDescent="0.35">
      <c r="E146" s="244"/>
      <c r="F146" s="244"/>
      <c r="G146" s="244"/>
      <c r="H146" s="244"/>
      <c r="I146" s="244"/>
      <c r="J146" s="271"/>
      <c r="K146" s="244"/>
      <c r="L146" s="244"/>
      <c r="M146" s="268"/>
      <c r="N146" s="244"/>
      <c r="O146" s="244"/>
      <c r="P146" s="244"/>
    </row>
    <row r="147" spans="5:16" x14ac:dyDescent="0.35">
      <c r="E147" s="244"/>
      <c r="F147" s="244"/>
      <c r="G147" s="244"/>
      <c r="H147" s="244"/>
      <c r="I147" s="244"/>
      <c r="J147" s="271"/>
      <c r="K147" s="244"/>
      <c r="L147" s="244"/>
      <c r="M147" s="268"/>
      <c r="N147" s="244"/>
      <c r="O147" s="244"/>
      <c r="P147" s="244"/>
    </row>
    <row r="148" spans="5:16" x14ac:dyDescent="0.35">
      <c r="E148" s="244"/>
      <c r="F148" s="244"/>
      <c r="G148" s="244"/>
      <c r="H148" s="244"/>
      <c r="I148" s="244"/>
      <c r="J148" s="271"/>
      <c r="K148" s="244"/>
      <c r="L148" s="244"/>
      <c r="M148" s="268"/>
      <c r="N148" s="244"/>
      <c r="O148" s="244"/>
      <c r="P148" s="244"/>
    </row>
    <row r="149" spans="5:16" x14ac:dyDescent="0.35">
      <c r="E149" s="244"/>
      <c r="F149" s="244"/>
      <c r="G149" s="244"/>
      <c r="H149" s="244"/>
      <c r="I149" s="244"/>
      <c r="J149" s="271"/>
      <c r="K149" s="244"/>
      <c r="L149" s="244"/>
      <c r="M149" s="268"/>
      <c r="N149" s="244"/>
      <c r="O149" s="244"/>
      <c r="P149" s="244"/>
    </row>
    <row r="150" spans="5:16" x14ac:dyDescent="0.35">
      <c r="E150" s="244"/>
      <c r="F150" s="244"/>
      <c r="G150" s="244"/>
      <c r="H150" s="244"/>
      <c r="I150" s="244"/>
      <c r="J150" s="271"/>
      <c r="K150" s="244"/>
      <c r="L150" s="244"/>
      <c r="M150" s="268"/>
      <c r="N150" s="244"/>
      <c r="O150" s="244"/>
      <c r="P150" s="244"/>
    </row>
    <row r="151" spans="5:16" x14ac:dyDescent="0.35">
      <c r="E151" s="244"/>
      <c r="F151" s="244"/>
      <c r="G151" s="244"/>
      <c r="H151" s="244"/>
      <c r="I151" s="244"/>
      <c r="J151" s="271"/>
      <c r="K151" s="244"/>
      <c r="L151" s="244"/>
      <c r="M151" s="268"/>
      <c r="N151" s="244"/>
      <c r="O151" s="244"/>
      <c r="P151" s="244"/>
    </row>
    <row r="152" spans="5:16" x14ac:dyDescent="0.35">
      <c r="E152" s="244"/>
      <c r="F152" s="244"/>
      <c r="G152" s="244"/>
      <c r="H152" s="244"/>
      <c r="I152" s="244"/>
      <c r="J152" s="271"/>
      <c r="K152" s="244"/>
      <c r="L152" s="244"/>
      <c r="M152" s="268"/>
      <c r="N152" s="244"/>
      <c r="O152" s="244"/>
      <c r="P152" s="244"/>
    </row>
    <row r="153" spans="5:16" x14ac:dyDescent="0.35">
      <c r="E153" s="268"/>
      <c r="F153" s="268"/>
      <c r="G153" s="268"/>
      <c r="H153" s="268"/>
      <c r="I153" s="244"/>
      <c r="J153" s="271"/>
      <c r="K153" s="244"/>
      <c r="L153" s="244"/>
      <c r="M153" s="268"/>
      <c r="N153" s="244"/>
      <c r="O153" s="244"/>
      <c r="P153" s="244"/>
    </row>
    <row r="154" spans="5:16" x14ac:dyDescent="0.35">
      <c r="E154" s="268"/>
      <c r="F154" s="268"/>
      <c r="G154" s="268"/>
      <c r="H154" s="268"/>
      <c r="I154" s="244"/>
      <c r="J154" s="271"/>
      <c r="K154" s="244"/>
      <c r="L154" s="244"/>
      <c r="M154" s="268"/>
      <c r="N154" s="244"/>
      <c r="O154" s="244"/>
      <c r="P154" s="244"/>
    </row>
    <row r="155" spans="5:16" x14ac:dyDescent="0.35">
      <c r="E155" s="268"/>
      <c r="F155" s="268"/>
      <c r="G155" s="268"/>
      <c r="H155" s="268"/>
      <c r="I155" s="244"/>
      <c r="J155" s="271"/>
      <c r="K155" s="244"/>
      <c r="L155" s="244"/>
      <c r="M155" s="268"/>
      <c r="N155" s="244"/>
      <c r="O155" s="244"/>
      <c r="P155" s="244"/>
    </row>
    <row r="156" spans="5:16" x14ac:dyDescent="0.35">
      <c r="E156" s="244"/>
      <c r="F156" s="244"/>
      <c r="G156" s="244"/>
      <c r="H156" s="244"/>
      <c r="I156" s="244"/>
      <c r="J156" s="271"/>
      <c r="K156" s="244"/>
      <c r="L156" s="244"/>
      <c r="M156" s="268"/>
      <c r="N156" s="244"/>
      <c r="O156" s="244"/>
      <c r="P156" s="244"/>
    </row>
    <row r="157" spans="5:16" x14ac:dyDescent="0.35">
      <c r="E157" s="244"/>
      <c r="F157" s="244"/>
      <c r="G157" s="244"/>
      <c r="H157" s="244"/>
      <c r="I157" s="244"/>
      <c r="J157" s="270"/>
      <c r="K157" s="244"/>
      <c r="L157" s="244"/>
      <c r="M157" s="268"/>
      <c r="N157" s="244"/>
      <c r="O157" s="244"/>
    </row>
    <row r="158" spans="5:16" x14ac:dyDescent="0.35">
      <c r="E158" s="244"/>
      <c r="F158" s="244"/>
      <c r="G158" s="244"/>
      <c r="H158" s="244"/>
      <c r="I158" s="268"/>
      <c r="J158" s="270"/>
      <c r="K158" s="244"/>
      <c r="L158" s="244"/>
      <c r="M158" s="268"/>
      <c r="N158" s="244"/>
      <c r="O158" s="244"/>
      <c r="P158" s="244"/>
    </row>
    <row r="159" spans="5:16" x14ac:dyDescent="0.35">
      <c r="E159" s="244"/>
      <c r="F159" s="244"/>
      <c r="G159" s="244"/>
      <c r="H159" s="244"/>
      <c r="I159" s="268"/>
      <c r="J159" s="271"/>
      <c r="K159" s="244"/>
      <c r="L159" s="244"/>
      <c r="M159" s="268"/>
      <c r="N159" s="244"/>
      <c r="O159" s="244"/>
      <c r="P159" s="244"/>
    </row>
    <row r="160" spans="5:16" x14ac:dyDescent="0.35">
      <c r="E160" s="244"/>
      <c r="F160" s="244"/>
      <c r="G160" s="244"/>
      <c r="H160" s="244"/>
      <c r="I160" s="244"/>
      <c r="J160" s="271"/>
      <c r="K160" s="244"/>
      <c r="L160" s="244"/>
      <c r="M160" s="268"/>
      <c r="N160" s="244"/>
      <c r="O160" s="244"/>
      <c r="P160" s="244"/>
    </row>
    <row r="161" spans="5:16" x14ac:dyDescent="0.35">
      <c r="E161" s="244"/>
      <c r="F161" s="244"/>
      <c r="G161" s="244"/>
      <c r="H161" s="244"/>
      <c r="I161" s="244"/>
      <c r="J161" s="271"/>
      <c r="K161" s="244"/>
      <c r="L161" s="244"/>
      <c r="M161" s="268"/>
      <c r="N161" s="244"/>
      <c r="O161" s="244"/>
      <c r="P161" s="244"/>
    </row>
    <row r="162" spans="5:16" x14ac:dyDescent="0.35">
      <c r="E162" s="244"/>
      <c r="F162" s="244"/>
      <c r="G162" s="244"/>
      <c r="H162" s="244"/>
      <c r="I162" s="244"/>
      <c r="J162" s="271"/>
      <c r="K162" s="244"/>
      <c r="L162" s="244"/>
      <c r="M162" s="268"/>
      <c r="N162" s="244"/>
      <c r="O162" s="244"/>
      <c r="P162" s="244"/>
    </row>
    <row r="163" spans="5:16" x14ac:dyDescent="0.35">
      <c r="E163" s="244"/>
      <c r="F163" s="244"/>
      <c r="G163" s="244"/>
      <c r="H163" s="244"/>
      <c r="I163" s="244"/>
      <c r="J163" s="271"/>
      <c r="K163" s="244"/>
      <c r="L163" s="244"/>
      <c r="M163" s="268"/>
      <c r="N163" s="244"/>
      <c r="O163" s="244"/>
      <c r="P163" s="244"/>
    </row>
    <row r="164" spans="5:16" x14ac:dyDescent="0.35">
      <c r="E164" s="244"/>
      <c r="F164" s="244"/>
      <c r="G164" s="244"/>
      <c r="H164" s="244"/>
      <c r="I164" s="244"/>
      <c r="J164" s="271"/>
      <c r="K164" s="244"/>
      <c r="L164" s="244"/>
      <c r="M164" s="268"/>
      <c r="N164" s="244"/>
      <c r="O164" s="244"/>
      <c r="P164" s="244"/>
    </row>
    <row r="165" spans="5:16" x14ac:dyDescent="0.35">
      <c r="E165" s="244"/>
      <c r="F165" s="244"/>
      <c r="G165" s="244"/>
      <c r="H165" s="244"/>
      <c r="I165" s="244"/>
      <c r="J165" s="271"/>
      <c r="K165" s="244"/>
      <c r="L165" s="244"/>
      <c r="M165" s="268"/>
      <c r="N165" s="244"/>
      <c r="O165" s="244"/>
      <c r="P165" s="244"/>
    </row>
    <row r="166" spans="5:16" x14ac:dyDescent="0.35">
      <c r="E166" s="244"/>
      <c r="F166" s="244"/>
      <c r="G166" s="244"/>
      <c r="H166" s="244"/>
      <c r="I166" s="244"/>
      <c r="J166" s="271"/>
      <c r="K166" s="244"/>
      <c r="L166" s="244"/>
      <c r="M166" s="268"/>
      <c r="N166" s="244"/>
      <c r="O166" s="244"/>
      <c r="P166" s="244"/>
    </row>
    <row r="167" spans="5:16" x14ac:dyDescent="0.35">
      <c r="E167" s="244"/>
      <c r="F167" s="244"/>
      <c r="G167" s="244"/>
      <c r="H167" s="244"/>
      <c r="I167" s="244"/>
      <c r="J167" s="271"/>
      <c r="K167" s="244"/>
      <c r="L167" s="244"/>
      <c r="M167" s="268"/>
      <c r="N167" s="244"/>
      <c r="O167" s="244"/>
      <c r="P167" s="244"/>
    </row>
    <row r="168" spans="5:16" x14ac:dyDescent="0.35">
      <c r="E168" s="244"/>
      <c r="F168" s="244"/>
      <c r="G168" s="244"/>
      <c r="H168" s="244"/>
      <c r="I168" s="244"/>
      <c r="J168" s="271"/>
      <c r="K168" s="244"/>
      <c r="L168" s="244"/>
      <c r="M168" s="268"/>
      <c r="N168" s="244"/>
      <c r="O168" s="244"/>
      <c r="P168" s="244"/>
    </row>
    <row r="169" spans="5:16" x14ac:dyDescent="0.35">
      <c r="E169" s="244"/>
      <c r="F169" s="244"/>
      <c r="G169" s="244"/>
      <c r="H169" s="244"/>
      <c r="I169" s="244"/>
      <c r="J169" s="271"/>
      <c r="K169" s="244"/>
      <c r="L169" s="244"/>
      <c r="M169" s="268"/>
      <c r="N169" s="244"/>
      <c r="O169" s="244"/>
      <c r="P169" s="244"/>
    </row>
    <row r="170" spans="5:16" x14ac:dyDescent="0.35">
      <c r="E170" s="244"/>
      <c r="F170" s="244"/>
      <c r="G170" s="244"/>
      <c r="H170" s="244"/>
      <c r="I170" s="244"/>
      <c r="J170" s="271"/>
      <c r="K170" s="244"/>
      <c r="L170" s="244"/>
      <c r="M170" s="268"/>
      <c r="N170" s="244"/>
      <c r="O170" s="244"/>
      <c r="P170" s="244"/>
    </row>
    <row r="171" spans="5:16" x14ac:dyDescent="0.35">
      <c r="E171" s="244"/>
      <c r="F171" s="244"/>
      <c r="G171" s="244"/>
      <c r="H171" s="244"/>
      <c r="I171" s="244"/>
      <c r="J171" s="271"/>
      <c r="K171" s="244"/>
      <c r="L171" s="244"/>
      <c r="M171" s="268"/>
      <c r="N171" s="244"/>
      <c r="O171" s="244"/>
      <c r="P171" s="244"/>
    </row>
    <row r="172" spans="5:16" x14ac:dyDescent="0.35">
      <c r="E172" s="244"/>
      <c r="F172" s="244"/>
      <c r="G172" s="244"/>
      <c r="H172" s="244"/>
      <c r="I172" s="244"/>
      <c r="J172" s="271"/>
      <c r="K172" s="244"/>
      <c r="L172" s="244"/>
      <c r="M172" s="268"/>
      <c r="N172" s="244"/>
      <c r="O172" s="244"/>
      <c r="P172" s="244"/>
    </row>
    <row r="173" spans="5:16" x14ac:dyDescent="0.35">
      <c r="E173" s="244"/>
      <c r="F173" s="244"/>
      <c r="G173" s="244"/>
      <c r="H173" s="244"/>
      <c r="I173" s="244"/>
      <c r="J173" s="271"/>
      <c r="K173" s="244"/>
      <c r="L173" s="244"/>
      <c r="M173" s="268"/>
      <c r="N173" s="244"/>
      <c r="O173" s="244"/>
      <c r="P173" s="244"/>
    </row>
    <row r="174" spans="5:16" x14ac:dyDescent="0.35">
      <c r="E174" s="244"/>
      <c r="F174" s="244"/>
      <c r="G174" s="244"/>
      <c r="H174" s="244"/>
      <c r="I174" s="244"/>
      <c r="J174" s="271"/>
      <c r="K174" s="244"/>
      <c r="L174" s="244"/>
      <c r="M174" s="268"/>
      <c r="N174" s="244"/>
      <c r="O174" s="244"/>
      <c r="P174" s="244"/>
    </row>
    <row r="175" spans="5:16" x14ac:dyDescent="0.35">
      <c r="E175" s="244"/>
      <c r="F175" s="244"/>
      <c r="G175" s="244"/>
      <c r="H175" s="244"/>
      <c r="I175" s="244"/>
      <c r="J175" s="271"/>
      <c r="K175" s="244"/>
      <c r="L175" s="244"/>
      <c r="M175" s="268"/>
      <c r="N175" s="244"/>
      <c r="O175" s="244"/>
      <c r="P175" s="244"/>
    </row>
    <row r="176" spans="5:16" x14ac:dyDescent="0.35">
      <c r="E176" s="244"/>
      <c r="F176" s="244"/>
      <c r="G176" s="244"/>
      <c r="H176" s="244"/>
      <c r="I176" s="244"/>
      <c r="J176" s="271"/>
      <c r="K176" s="244"/>
      <c r="L176" s="244"/>
      <c r="M176" s="268"/>
      <c r="N176" s="244"/>
      <c r="O176" s="244"/>
      <c r="P176" s="244"/>
    </row>
    <row r="177" spans="5:16" x14ac:dyDescent="0.35">
      <c r="E177" s="244"/>
      <c r="F177" s="244"/>
      <c r="G177" s="244"/>
      <c r="H177" s="244"/>
      <c r="I177" s="244"/>
      <c r="J177" s="271"/>
      <c r="K177" s="244"/>
      <c r="L177" s="244"/>
      <c r="M177" s="268"/>
      <c r="N177" s="244"/>
      <c r="O177" s="244"/>
      <c r="P177" s="244"/>
    </row>
    <row r="178" spans="5:16" x14ac:dyDescent="0.35">
      <c r="E178" s="244"/>
      <c r="F178" s="244"/>
      <c r="G178" s="244"/>
      <c r="H178" s="244"/>
      <c r="I178" s="244"/>
      <c r="J178" s="271"/>
      <c r="K178" s="244"/>
      <c r="L178" s="244"/>
      <c r="M178" s="268"/>
      <c r="N178" s="244"/>
      <c r="O178" s="244"/>
      <c r="P178" s="244"/>
    </row>
    <row r="179" spans="5:16" x14ac:dyDescent="0.35">
      <c r="E179" s="244"/>
      <c r="F179" s="244"/>
      <c r="G179" s="244"/>
      <c r="H179" s="244"/>
      <c r="I179" s="244"/>
      <c r="J179" s="271"/>
      <c r="K179" s="244"/>
      <c r="L179" s="244"/>
      <c r="M179" s="268"/>
      <c r="N179" s="244"/>
      <c r="O179" s="244"/>
      <c r="P179" s="244"/>
    </row>
    <row r="180" spans="5:16" x14ac:dyDescent="0.35">
      <c r="E180" s="244"/>
      <c r="F180" s="244"/>
      <c r="G180" s="244"/>
      <c r="H180" s="244"/>
      <c r="I180" s="244"/>
      <c r="J180" s="271"/>
      <c r="K180" s="244"/>
      <c r="L180" s="244"/>
      <c r="M180" s="268"/>
      <c r="N180" s="244"/>
      <c r="O180" s="244"/>
      <c r="P180" s="244"/>
    </row>
    <row r="181" spans="5:16" x14ac:dyDescent="0.35">
      <c r="E181" s="244"/>
      <c r="F181" s="244"/>
      <c r="G181" s="244"/>
      <c r="H181" s="244"/>
      <c r="I181" s="244"/>
      <c r="J181" s="271"/>
      <c r="K181" s="244"/>
      <c r="L181" s="244"/>
      <c r="M181" s="268"/>
      <c r="N181" s="244"/>
      <c r="O181" s="244"/>
      <c r="P181" s="244"/>
    </row>
    <row r="182" spans="5:16" x14ac:dyDescent="0.35">
      <c r="E182" s="268"/>
      <c r="F182" s="268"/>
      <c r="G182" s="268"/>
      <c r="H182" s="268"/>
      <c r="I182" s="244"/>
      <c r="J182" s="271"/>
      <c r="K182" s="244"/>
      <c r="L182" s="244"/>
      <c r="M182" s="268"/>
      <c r="N182" s="244"/>
      <c r="O182" s="244"/>
      <c r="P182" s="244"/>
    </row>
    <row r="183" spans="5:16" x14ac:dyDescent="0.35">
      <c r="E183" s="268"/>
      <c r="F183" s="268"/>
      <c r="G183" s="268"/>
      <c r="H183" s="268"/>
      <c r="I183" s="244"/>
      <c r="J183" s="271"/>
      <c r="K183" s="244"/>
      <c r="L183" s="244"/>
      <c r="M183" s="268"/>
      <c r="N183" s="244"/>
      <c r="O183" s="244"/>
      <c r="P183" s="244"/>
    </row>
    <row r="184" spans="5:16" x14ac:dyDescent="0.35">
      <c r="E184" s="268"/>
      <c r="F184" s="268"/>
      <c r="G184" s="268"/>
      <c r="H184" s="268"/>
      <c r="I184" s="244"/>
      <c r="J184" s="271"/>
      <c r="K184" s="244"/>
      <c r="L184" s="244"/>
      <c r="M184" s="268"/>
      <c r="N184" s="244"/>
      <c r="O184" s="244"/>
      <c r="P184" s="244"/>
    </row>
    <row r="185" spans="5:16" x14ac:dyDescent="0.35">
      <c r="E185" s="268"/>
      <c r="F185" s="268"/>
      <c r="G185" s="268"/>
      <c r="H185" s="268"/>
      <c r="I185" s="244"/>
      <c r="J185" s="271"/>
      <c r="K185" s="244"/>
      <c r="L185" s="244"/>
      <c r="M185" s="268"/>
      <c r="N185" s="244"/>
      <c r="O185" s="244"/>
    </row>
    <row r="186" spans="5:16" x14ac:dyDescent="0.35">
      <c r="E186" s="268"/>
      <c r="F186" s="268"/>
      <c r="G186" s="268"/>
      <c r="H186" s="268"/>
      <c r="I186" s="244"/>
      <c r="J186" s="270"/>
      <c r="K186" s="244"/>
      <c r="L186" s="244"/>
      <c r="M186" s="268"/>
      <c r="N186" s="244"/>
      <c r="O186" s="244"/>
    </row>
  </sheetData>
  <mergeCells count="16">
    <mergeCell ref="G2:G3"/>
    <mergeCell ref="A1:A3"/>
    <mergeCell ref="B1:E1"/>
    <mergeCell ref="J1:P1"/>
    <mergeCell ref="J2:J3"/>
    <mergeCell ref="M2:M3"/>
    <mergeCell ref="N2:N3"/>
    <mergeCell ref="L2:L3"/>
    <mergeCell ref="P2:P3"/>
    <mergeCell ref="O2:O3"/>
    <mergeCell ref="H2:H3"/>
    <mergeCell ref="E2:E3"/>
    <mergeCell ref="D2:D3"/>
    <mergeCell ref="C2:C3"/>
    <mergeCell ref="B2:B3"/>
    <mergeCell ref="F2:F3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DC372-282F-426C-8931-2CA0F1ECD9F7}">
  <dimension ref="A1:C4"/>
  <sheetViews>
    <sheetView workbookViewId="0">
      <selection activeCell="C12" sqref="C12"/>
    </sheetView>
  </sheetViews>
  <sheetFormatPr defaultColWidth="9.1796875" defaultRowHeight="14.5" x14ac:dyDescent="0.35"/>
  <cols>
    <col min="1" max="1" width="18.453125" style="148" bestFit="1" customWidth="1"/>
    <col min="2" max="16384" width="9.1796875" style="148"/>
  </cols>
  <sheetData>
    <row r="1" spans="1:3" x14ac:dyDescent="0.35">
      <c r="A1" s="244" t="s">
        <v>367</v>
      </c>
      <c r="B1" s="244" t="s">
        <v>368</v>
      </c>
      <c r="C1" s="244" t="s">
        <v>369</v>
      </c>
    </row>
    <row r="2" spans="1:3" x14ac:dyDescent="0.35">
      <c r="A2" s="244" t="s">
        <v>370</v>
      </c>
      <c r="B2" s="244">
        <v>342</v>
      </c>
      <c r="C2" s="244">
        <v>24</v>
      </c>
    </row>
    <row r="3" spans="1:3" x14ac:dyDescent="0.35">
      <c r="A3" s="244" t="s">
        <v>371</v>
      </c>
      <c r="B3" s="244">
        <v>262.25</v>
      </c>
      <c r="C3" s="244">
        <v>11.5</v>
      </c>
    </row>
    <row r="4" spans="1:3" x14ac:dyDescent="0.35">
      <c r="A4" s="244" t="s">
        <v>372</v>
      </c>
      <c r="B4" s="244">
        <v>67.400000000000006</v>
      </c>
      <c r="C4" s="244">
        <v>9.4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39240-F431-4EB5-BA28-096ABB5D7049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AD72"/>
  <sheetViews>
    <sheetView tabSelected="1" zoomScale="80" zoomScaleNormal="80" workbookViewId="0">
      <selection activeCell="G21" sqref="G21"/>
    </sheetView>
  </sheetViews>
  <sheetFormatPr defaultColWidth="9.1796875" defaultRowHeight="14.5" x14ac:dyDescent="0.35"/>
  <cols>
    <col min="1" max="1" width="35.81640625" style="2" bestFit="1" customWidth="1"/>
    <col min="2" max="2" width="4.81640625" style="6" customWidth="1"/>
    <col min="3" max="3" width="18.81640625" style="2" bestFit="1" customWidth="1"/>
    <col min="4" max="4" width="17.26953125" style="2" bestFit="1" customWidth="1"/>
    <col min="5" max="5" width="12.81640625" style="2" bestFit="1" customWidth="1"/>
    <col min="6" max="7" width="12" style="2" customWidth="1"/>
    <col min="8" max="8" width="3" style="2" customWidth="1"/>
    <col min="9" max="9" width="12.54296875" style="2" customWidth="1"/>
    <col min="10" max="10" width="12" style="2" customWidth="1"/>
    <col min="11" max="11" width="12.54296875" style="2" customWidth="1"/>
    <col min="12" max="12" width="12" style="2" customWidth="1"/>
    <col min="13" max="13" width="12.54296875" style="2" customWidth="1"/>
    <col min="14" max="15" width="15.7265625" style="2" customWidth="1"/>
    <col min="16" max="16" width="3" style="2" customWidth="1"/>
    <col min="17" max="21" width="12" style="2" customWidth="1"/>
    <col min="22" max="22" width="4.1796875" style="2" customWidth="1"/>
    <col min="23" max="23" width="12.81640625" style="2" bestFit="1" customWidth="1"/>
    <col min="24" max="24" width="13.453125" style="2" bestFit="1" customWidth="1"/>
    <col min="25" max="25" width="12.81640625" style="2" bestFit="1" customWidth="1"/>
    <col min="26" max="26" width="3.26953125" style="2" customWidth="1"/>
    <col min="27" max="27" width="9.1796875" style="2"/>
    <col min="28" max="28" width="13" style="2" bestFit="1" customWidth="1"/>
    <col min="29" max="30" width="12.81640625" style="2" bestFit="1" customWidth="1"/>
    <col min="31" max="16384" width="9.1796875" style="2"/>
  </cols>
  <sheetData>
    <row r="1" spans="1:20" ht="15" thickBot="1" x14ac:dyDescent="0.4">
      <c r="A1" s="304" t="s">
        <v>54</v>
      </c>
      <c r="B1" s="305"/>
      <c r="C1" s="305"/>
      <c r="D1" s="305"/>
      <c r="E1" s="306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</row>
    <row r="2" spans="1:20" x14ac:dyDescent="0.35">
      <c r="A2" s="223" t="s">
        <v>55</v>
      </c>
      <c r="B2" s="224"/>
      <c r="C2" s="224">
        <v>23.8</v>
      </c>
      <c r="D2" s="224">
        <v>23.6</v>
      </c>
      <c r="E2" s="225"/>
      <c r="F2" s="244"/>
      <c r="G2" s="244"/>
      <c r="H2" s="244"/>
      <c r="I2" s="280" t="s">
        <v>56</v>
      </c>
      <c r="J2" s="281"/>
      <c r="K2" s="281"/>
      <c r="L2" s="281"/>
      <c r="M2" s="281"/>
      <c r="N2" s="282"/>
      <c r="O2" s="244"/>
      <c r="P2" s="244"/>
      <c r="Q2" s="244"/>
      <c r="R2" s="244"/>
      <c r="S2" s="244"/>
      <c r="T2" s="244"/>
    </row>
    <row r="3" spans="1:20" ht="15" thickBot="1" x14ac:dyDescent="0.4">
      <c r="A3" s="205" t="s">
        <v>57</v>
      </c>
      <c r="B3" s="246"/>
      <c r="C3" s="246">
        <v>42.3</v>
      </c>
      <c r="D3" s="246">
        <v>42.3</v>
      </c>
      <c r="E3" s="206"/>
      <c r="F3" s="244"/>
      <c r="G3" s="244"/>
      <c r="H3" s="244"/>
      <c r="I3" s="283" t="s">
        <v>58</v>
      </c>
      <c r="J3" s="284"/>
      <c r="K3" s="284"/>
      <c r="L3" s="284"/>
      <c r="M3" s="284"/>
      <c r="N3" s="285"/>
      <c r="O3" s="244"/>
      <c r="P3" s="244"/>
      <c r="Q3" s="244"/>
      <c r="R3" s="244"/>
      <c r="S3" s="244"/>
      <c r="T3" s="244"/>
    </row>
    <row r="4" spans="1:20" x14ac:dyDescent="0.35">
      <c r="A4" s="205" t="s">
        <v>0</v>
      </c>
      <c r="B4" s="246"/>
      <c r="C4" s="246">
        <v>3502</v>
      </c>
      <c r="D4" s="246" t="s">
        <v>1</v>
      </c>
      <c r="E4" s="206" t="s">
        <v>59</v>
      </c>
      <c r="F4" s="244"/>
      <c r="G4" s="244"/>
      <c r="H4" s="244"/>
      <c r="I4" s="286" t="s">
        <v>60</v>
      </c>
      <c r="J4" s="287"/>
      <c r="K4" s="286" t="s">
        <v>60</v>
      </c>
      <c r="L4" s="287"/>
      <c r="M4" s="288" t="s">
        <v>61</v>
      </c>
      <c r="N4" s="289"/>
      <c r="O4" s="244"/>
      <c r="P4" s="244"/>
      <c r="Q4" s="244"/>
      <c r="R4" s="244"/>
      <c r="S4" s="244"/>
      <c r="T4" s="244"/>
    </row>
    <row r="5" spans="1:20" ht="29" x14ac:dyDescent="0.35">
      <c r="A5" s="205" t="s">
        <v>2</v>
      </c>
      <c r="B5" s="246"/>
      <c r="C5" s="246" t="s">
        <v>3</v>
      </c>
      <c r="D5" s="246" t="s">
        <v>4</v>
      </c>
      <c r="E5" s="206" t="s">
        <v>5</v>
      </c>
      <c r="F5" s="244"/>
      <c r="G5" s="244"/>
      <c r="H5" s="244"/>
      <c r="I5" s="203" t="s">
        <v>62</v>
      </c>
      <c r="J5" s="204" t="s">
        <v>63</v>
      </c>
      <c r="K5" s="203" t="s">
        <v>62</v>
      </c>
      <c r="L5" s="204" t="s">
        <v>63</v>
      </c>
      <c r="M5" s="203" t="s">
        <v>62</v>
      </c>
      <c r="N5" s="204" t="s">
        <v>63</v>
      </c>
      <c r="O5" s="244"/>
      <c r="P5" s="244"/>
      <c r="Q5" s="244"/>
      <c r="R5" s="244"/>
      <c r="S5" s="244"/>
      <c r="T5" s="244"/>
    </row>
    <row r="6" spans="1:20" ht="29" x14ac:dyDescent="0.35">
      <c r="A6" s="203" t="s">
        <v>6</v>
      </c>
      <c r="B6" s="246"/>
      <c r="C6" s="246"/>
      <c r="D6" s="246"/>
      <c r="E6" s="206"/>
      <c r="F6" s="244"/>
      <c r="G6" s="244"/>
      <c r="H6" s="244"/>
      <c r="I6" s="205">
        <v>630</v>
      </c>
      <c r="J6" s="206">
        <v>0.33400000000000002</v>
      </c>
      <c r="K6" s="205">
        <v>630</v>
      </c>
      <c r="L6" s="206">
        <f>_xll.SRS1Splines.Functions25.Linear_Interp($I$6:$I$7,$J$6:$J$7,K6)</f>
        <v>0.33400000000000002</v>
      </c>
      <c r="M6" s="205">
        <v>630</v>
      </c>
      <c r="N6" s="206">
        <f>_xll.SRS1Splines.Functions25.Linear_Interp($I$11:$I$12,$J$11:$J$12,M6)</f>
        <v>0.34699999999999998</v>
      </c>
      <c r="O6" s="244"/>
      <c r="P6" s="244"/>
      <c r="Q6" s="244"/>
      <c r="R6" s="244"/>
      <c r="S6" s="244"/>
      <c r="T6" s="244"/>
    </row>
    <row r="7" spans="1:20" x14ac:dyDescent="0.35">
      <c r="A7" s="205" t="s">
        <v>7</v>
      </c>
      <c r="B7" s="246"/>
      <c r="C7" s="246">
        <v>7214</v>
      </c>
      <c r="D7" s="246"/>
      <c r="E7" s="206"/>
      <c r="F7" s="244"/>
      <c r="G7" s="244"/>
      <c r="H7" s="244"/>
      <c r="I7" s="205">
        <v>640</v>
      </c>
      <c r="J7" s="206">
        <v>0.33900000000000002</v>
      </c>
      <c r="K7" s="205">
        <v>633</v>
      </c>
      <c r="L7" s="210">
        <f>_xll.SRS1Splines.Functions25.Linear_Interp($I$6:$I$7,$J$6:$J$7,K7)</f>
        <v>0.33550000000000002</v>
      </c>
      <c r="M7" s="205">
        <v>632.79999999999995</v>
      </c>
      <c r="N7" s="213">
        <f>_xll.SRS1Splines.Functions25.Linear_Interp($I$11:$I$12,$J$11:$J$12,M7)</f>
        <v>0.34895999999999999</v>
      </c>
      <c r="O7" s="51">
        <f>ABS(N47-N7)/N7*100</f>
        <v>0.57811035442048464</v>
      </c>
      <c r="P7" s="244"/>
      <c r="Q7" s="244">
        <v>0.44</v>
      </c>
      <c r="R7" s="124">
        <f>Q7/100*N47</f>
        <v>1.5443004451282571E-3</v>
      </c>
      <c r="S7" s="244"/>
      <c r="T7" s="244"/>
    </row>
    <row r="8" spans="1:20" ht="15" thickBot="1" x14ac:dyDescent="0.4">
      <c r="A8" s="205" t="s">
        <v>8</v>
      </c>
      <c r="B8" s="246"/>
      <c r="C8" s="246"/>
      <c r="D8" s="246"/>
      <c r="E8" s="206"/>
      <c r="F8" s="244"/>
      <c r="G8" s="244"/>
      <c r="H8" s="244"/>
      <c r="I8" s="207" t="s">
        <v>64</v>
      </c>
      <c r="J8" s="208">
        <v>2.6</v>
      </c>
      <c r="K8" s="205">
        <v>636</v>
      </c>
      <c r="L8" s="211">
        <f>_xll.SRS1Splines.Functions25.Linear_Interp($I$6:$I$7,$J$6:$J$7,K8)</f>
        <v>0.33700000000000002</v>
      </c>
      <c r="M8" s="205">
        <v>636</v>
      </c>
      <c r="N8" s="211">
        <f>_xll.SRS1Splines.Functions25.Linear_Interp($I$11:$I$12,$J$11:$J$12,M8)</f>
        <v>0.35120000000000001</v>
      </c>
      <c r="O8" s="51">
        <f>ABS('13 Sep'!AD50-N7)/N7*100</f>
        <v>0.45644340285651075</v>
      </c>
      <c r="P8" s="244"/>
      <c r="Q8" s="244">
        <v>0.63</v>
      </c>
      <c r="R8" s="124">
        <f>Q8/100*N47</f>
        <v>2.21115745552455E-3</v>
      </c>
      <c r="S8" s="244"/>
      <c r="T8" s="244"/>
    </row>
    <row r="9" spans="1:20" ht="15" thickBot="1" x14ac:dyDescent="0.4">
      <c r="A9" s="205" t="s">
        <v>9</v>
      </c>
      <c r="B9" s="246"/>
      <c r="C9" s="246" t="s">
        <v>65</v>
      </c>
      <c r="D9" s="246"/>
      <c r="E9" s="206"/>
      <c r="F9" s="244"/>
      <c r="G9" s="244"/>
      <c r="H9" s="244"/>
      <c r="I9" s="215"/>
      <c r="J9" s="29"/>
      <c r="K9" s="205">
        <v>639</v>
      </c>
      <c r="L9" s="211">
        <f>_xll.SRS1Splines.Functions25.Linear_Interp($I$6:$I$7,$J$6:$J$7,K9)</f>
        <v>0.33850000000000002</v>
      </c>
      <c r="M9" s="205">
        <v>639</v>
      </c>
      <c r="N9" s="211">
        <f>_xll.SRS1Splines.Functions25.Linear_Interp($I$11:$I$12,$J$11:$J$12,M9)</f>
        <v>0.3533</v>
      </c>
      <c r="O9" s="244"/>
      <c r="P9" s="244"/>
      <c r="Q9" s="244"/>
      <c r="R9" s="244"/>
      <c r="S9" s="244"/>
      <c r="T9" s="244"/>
    </row>
    <row r="10" spans="1:20" x14ac:dyDescent="0.35">
      <c r="A10" s="205" t="s">
        <v>10</v>
      </c>
      <c r="B10" s="246"/>
      <c r="C10" s="246" t="s">
        <v>66</v>
      </c>
      <c r="D10" s="246"/>
      <c r="E10" s="206"/>
      <c r="F10" s="244"/>
      <c r="G10" s="244"/>
      <c r="H10" s="244"/>
      <c r="I10" s="288" t="s">
        <v>61</v>
      </c>
      <c r="J10" s="289"/>
      <c r="K10" s="205" t="s">
        <v>67</v>
      </c>
      <c r="L10" s="206">
        <f>J8/100*L7</f>
        <v>8.7230000000000016E-3</v>
      </c>
      <c r="M10" s="205" t="s">
        <v>67</v>
      </c>
      <c r="N10" s="206">
        <f>J13/100*N7</f>
        <v>9.0729600000000014E-3</v>
      </c>
      <c r="O10" s="244"/>
      <c r="P10" s="244"/>
      <c r="Q10" s="244"/>
      <c r="R10" s="244"/>
      <c r="S10" s="244"/>
      <c r="T10" s="244"/>
    </row>
    <row r="11" spans="1:20" x14ac:dyDescent="0.35">
      <c r="A11" s="205" t="s">
        <v>11</v>
      </c>
      <c r="B11" s="246"/>
      <c r="C11" s="246" t="s">
        <v>12</v>
      </c>
      <c r="D11" s="246"/>
      <c r="E11" s="206"/>
      <c r="F11" s="244"/>
      <c r="G11" s="244"/>
      <c r="H11" s="244"/>
      <c r="I11" s="205">
        <v>630</v>
      </c>
      <c r="J11" s="206">
        <v>0.34699999999999998</v>
      </c>
      <c r="K11" s="205" t="s">
        <v>68</v>
      </c>
      <c r="L11" s="210">
        <f>L7+L10</f>
        <v>0.344223</v>
      </c>
      <c r="M11" s="205" t="s">
        <v>68</v>
      </c>
      <c r="N11" s="213">
        <f>N7+N10</f>
        <v>0.35803296000000001</v>
      </c>
      <c r="O11" s="244"/>
      <c r="P11" s="244"/>
      <c r="Q11" s="244"/>
      <c r="R11" s="244"/>
      <c r="S11" s="244"/>
      <c r="T11" s="244"/>
    </row>
    <row r="12" spans="1:20" ht="15" thickBot="1" x14ac:dyDescent="0.4">
      <c r="A12" s="205" t="s">
        <v>13</v>
      </c>
      <c r="B12" s="246"/>
      <c r="C12" s="246" t="s">
        <v>14</v>
      </c>
      <c r="D12" s="246"/>
      <c r="E12" s="206"/>
      <c r="F12" s="244"/>
      <c r="G12" s="244"/>
      <c r="H12" s="244"/>
      <c r="I12" s="205">
        <v>640</v>
      </c>
      <c r="J12" s="206">
        <v>0.35399999999999998</v>
      </c>
      <c r="K12" s="207" t="s">
        <v>69</v>
      </c>
      <c r="L12" s="212">
        <f>L7-L10</f>
        <v>0.32677700000000004</v>
      </c>
      <c r="M12" s="207" t="s">
        <v>69</v>
      </c>
      <c r="N12" s="214">
        <f>N7-N10</f>
        <v>0.33988703999999997</v>
      </c>
      <c r="O12" s="244"/>
      <c r="P12" s="244"/>
      <c r="Q12" s="244"/>
      <c r="R12" s="244"/>
      <c r="S12" s="244"/>
      <c r="T12" s="244"/>
    </row>
    <row r="13" spans="1:20" ht="30.25" customHeight="1" thickBot="1" x14ac:dyDescent="0.4">
      <c r="A13" s="205" t="s">
        <v>70</v>
      </c>
      <c r="B13" s="246"/>
      <c r="C13" s="246" t="s">
        <v>71</v>
      </c>
      <c r="D13" s="246"/>
      <c r="E13" s="206"/>
      <c r="F13" s="244"/>
      <c r="G13" s="244"/>
      <c r="H13" s="244"/>
      <c r="I13" s="207" t="s">
        <v>64</v>
      </c>
      <c r="J13" s="209">
        <v>2.6</v>
      </c>
      <c r="K13" s="290" t="s">
        <v>72</v>
      </c>
      <c r="L13" s="291"/>
      <c r="M13" s="291"/>
      <c r="N13" s="292"/>
      <c r="O13" s="244"/>
      <c r="P13" s="244"/>
      <c r="Q13" s="244"/>
      <c r="R13" s="244"/>
      <c r="S13" s="244"/>
      <c r="T13" s="244"/>
    </row>
    <row r="14" spans="1:20" x14ac:dyDescent="0.35">
      <c r="A14" s="205" t="s">
        <v>16</v>
      </c>
      <c r="B14" s="246"/>
      <c r="C14" s="246" t="s">
        <v>17</v>
      </c>
      <c r="D14" s="246"/>
      <c r="E14" s="206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</row>
    <row r="15" spans="1:20" x14ac:dyDescent="0.35">
      <c r="A15" s="205" t="s">
        <v>18</v>
      </c>
      <c r="B15" s="246"/>
      <c r="C15" s="246" t="s">
        <v>19</v>
      </c>
      <c r="D15" s="246"/>
      <c r="E15" s="206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</row>
    <row r="16" spans="1:20" x14ac:dyDescent="0.35">
      <c r="A16" s="205" t="s">
        <v>20</v>
      </c>
      <c r="B16" s="246"/>
      <c r="C16" s="246" t="s">
        <v>21</v>
      </c>
      <c r="D16" s="246"/>
      <c r="E16" s="206"/>
      <c r="F16" s="244"/>
      <c r="G16" s="244"/>
      <c r="H16" s="244"/>
      <c r="I16" s="244"/>
      <c r="J16" s="244"/>
      <c r="K16" s="244"/>
      <c r="L16" s="244"/>
      <c r="M16" s="274" t="s">
        <v>73</v>
      </c>
      <c r="N16" s="274"/>
      <c r="O16" s="274"/>
      <c r="P16" s="244"/>
      <c r="Q16" s="274" t="s">
        <v>74</v>
      </c>
      <c r="R16" s="274"/>
      <c r="S16" s="274"/>
      <c r="T16" s="274"/>
    </row>
    <row r="17" spans="1:20" x14ac:dyDescent="0.35">
      <c r="A17" s="205" t="s">
        <v>22</v>
      </c>
      <c r="B17" s="246"/>
      <c r="C17" s="246" t="s">
        <v>23</v>
      </c>
      <c r="D17" s="246"/>
      <c r="E17" s="206"/>
      <c r="F17" s="244"/>
      <c r="G17" s="244"/>
      <c r="H17" s="244"/>
      <c r="I17" s="244"/>
      <c r="J17" s="244"/>
      <c r="K17" s="244"/>
      <c r="L17" s="244"/>
      <c r="M17" s="246" t="s">
        <v>36</v>
      </c>
      <c r="N17" s="246" t="s">
        <v>75</v>
      </c>
      <c r="O17" s="246" t="s">
        <v>37</v>
      </c>
      <c r="P17" s="244"/>
      <c r="Q17" s="274" t="s">
        <v>75</v>
      </c>
      <c r="R17" s="274"/>
      <c r="S17" s="246" t="s">
        <v>36</v>
      </c>
      <c r="T17" s="246" t="s">
        <v>37</v>
      </c>
    </row>
    <row r="18" spans="1:20" x14ac:dyDescent="0.35">
      <c r="A18" s="205" t="s">
        <v>24</v>
      </c>
      <c r="B18" s="246"/>
      <c r="C18" s="246" t="s">
        <v>25</v>
      </c>
      <c r="D18" s="246"/>
      <c r="E18" s="206"/>
      <c r="F18" s="244"/>
      <c r="G18" s="244"/>
      <c r="H18" s="244"/>
      <c r="I18" s="244"/>
      <c r="J18" s="244"/>
      <c r="K18" s="244"/>
      <c r="L18" s="244"/>
      <c r="M18" s="341">
        <f>E45*100/C45</f>
        <v>0.15315796275462312</v>
      </c>
      <c r="N18" s="200">
        <f>ABS((I45-M45)/M45)*100</f>
        <v>0.21681221912613677</v>
      </c>
      <c r="O18" s="200">
        <f>S45*100/Q45</f>
        <v>0.15055292176789106</v>
      </c>
      <c r="P18" s="244"/>
      <c r="Q18" s="246" t="s">
        <v>48</v>
      </c>
      <c r="R18" s="246">
        <f>_xlfn.STDEV.S(M45:M46)</f>
        <v>6.7406368130036989E-6</v>
      </c>
      <c r="S18" s="342">
        <f>D45*100/C45</f>
        <v>5.1897442473434448E-3</v>
      </c>
      <c r="T18" s="202">
        <f>R45*100/Q45</f>
        <v>4.3345584419695613E-3</v>
      </c>
    </row>
    <row r="19" spans="1:20" x14ac:dyDescent="0.35">
      <c r="A19" s="205" t="s">
        <v>26</v>
      </c>
      <c r="B19" s="246"/>
      <c r="C19" s="246" t="s">
        <v>27</v>
      </c>
      <c r="D19" s="246"/>
      <c r="E19" s="206"/>
      <c r="F19" s="244"/>
      <c r="G19" s="244"/>
      <c r="H19" s="244"/>
      <c r="I19" s="244"/>
      <c r="J19" s="244"/>
      <c r="K19" s="244"/>
      <c r="L19" s="244"/>
      <c r="M19" s="229"/>
      <c r="N19" s="341">
        <f>ABS((I46-M46)/M46)*100</f>
        <v>0.21786909765046572</v>
      </c>
      <c r="O19" s="229"/>
      <c r="P19" s="244"/>
      <c r="Q19" s="246" t="s">
        <v>76</v>
      </c>
      <c r="R19" s="246">
        <f>R18/SQRT(2)</f>
        <v>4.7663499999905934E-6</v>
      </c>
      <c r="S19" s="246"/>
      <c r="T19" s="246"/>
    </row>
    <row r="20" spans="1:20" x14ac:dyDescent="0.35">
      <c r="A20" s="205" t="s">
        <v>28</v>
      </c>
      <c r="B20" s="246"/>
      <c r="C20" s="246" t="s">
        <v>23</v>
      </c>
      <c r="D20" s="246"/>
      <c r="E20" s="206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6" t="s">
        <v>47</v>
      </c>
      <c r="R20" s="202">
        <f>AVERAGE(M45:M46)</f>
        <v>6.8883832549999996E-2</v>
      </c>
      <c r="S20" s="246"/>
      <c r="T20" s="246"/>
    </row>
    <row r="21" spans="1:20" ht="30.25" customHeight="1" x14ac:dyDescent="0.35">
      <c r="A21" s="205" t="s">
        <v>29</v>
      </c>
      <c r="B21" s="246"/>
      <c r="C21" s="246" t="s">
        <v>30</v>
      </c>
      <c r="D21" s="246"/>
      <c r="E21" s="206"/>
      <c r="F21" s="244"/>
      <c r="G21" s="244"/>
      <c r="H21" s="244"/>
      <c r="I21" s="244"/>
      <c r="J21" s="244"/>
      <c r="K21" s="244"/>
      <c r="L21" s="244"/>
      <c r="M21" s="244"/>
      <c r="N21" s="51"/>
      <c r="O21" s="244"/>
      <c r="P21" s="244"/>
      <c r="Q21" s="246" t="s">
        <v>77</v>
      </c>
      <c r="R21" s="342">
        <f>R19*100/R20</f>
        <v>6.9194030348571156E-3</v>
      </c>
      <c r="S21" s="246"/>
      <c r="T21" s="246"/>
    </row>
    <row r="22" spans="1:20" ht="29" x14ac:dyDescent="0.35">
      <c r="A22" s="205" t="s">
        <v>31</v>
      </c>
      <c r="B22" s="246"/>
      <c r="C22" s="246" t="s">
        <v>32</v>
      </c>
      <c r="D22" s="255" t="s">
        <v>78</v>
      </c>
      <c r="E22" s="206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</row>
    <row r="23" spans="1:20" ht="15" thickBot="1" x14ac:dyDescent="0.4">
      <c r="A23" s="226" t="s">
        <v>33</v>
      </c>
      <c r="B23" s="227"/>
      <c r="C23" s="228" t="s">
        <v>79</v>
      </c>
      <c r="D23" s="228"/>
      <c r="E23" s="208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</row>
    <row r="24" spans="1:20" ht="15" hidden="1" customHeight="1" x14ac:dyDescent="0.35">
      <c r="A24" s="276" t="s">
        <v>80</v>
      </c>
      <c r="B24" s="248"/>
      <c r="C24" s="277" t="s">
        <v>36</v>
      </c>
      <c r="D24" s="277"/>
      <c r="E24" s="277"/>
      <c r="F24" s="278"/>
      <c r="G24" s="250"/>
      <c r="H24" s="250"/>
      <c r="I24" s="278" t="s">
        <v>38</v>
      </c>
      <c r="J24" s="278"/>
      <c r="K24" s="278"/>
      <c r="L24" s="278"/>
      <c r="M24" s="278"/>
      <c r="N24" s="278"/>
      <c r="O24" s="250"/>
      <c r="P24" s="250"/>
      <c r="Q24" s="250"/>
      <c r="R24" s="244"/>
      <c r="S24" s="244"/>
      <c r="T24" s="244"/>
    </row>
    <row r="25" spans="1:20" ht="15" hidden="1" customHeight="1" x14ac:dyDescent="0.35">
      <c r="A25" s="276"/>
      <c r="B25" s="248"/>
      <c r="C25" s="249" t="s">
        <v>39</v>
      </c>
      <c r="D25" s="249">
        <v>0.50782000000000005</v>
      </c>
      <c r="E25" s="8"/>
      <c r="F25" s="8"/>
      <c r="G25" s="249"/>
      <c r="H25" s="249"/>
      <c r="I25" s="249"/>
      <c r="J25" s="249" t="s">
        <v>39</v>
      </c>
      <c r="K25" s="249">
        <v>0.34899999999999998</v>
      </c>
      <c r="L25" s="9">
        <v>0.35</v>
      </c>
      <c r="M25" s="249"/>
      <c r="N25" s="276" t="s">
        <v>41</v>
      </c>
      <c r="O25" s="249"/>
      <c r="P25" s="249"/>
      <c r="Q25" s="249"/>
      <c r="R25" s="244"/>
      <c r="S25" s="244"/>
      <c r="T25" s="244"/>
    </row>
    <row r="26" spans="1:20" ht="15" hidden="1" customHeight="1" x14ac:dyDescent="0.35">
      <c r="A26" s="276"/>
      <c r="B26" s="248"/>
      <c r="C26" s="277" t="s">
        <v>42</v>
      </c>
      <c r="D26" s="277"/>
      <c r="E26" s="277" t="s">
        <v>43</v>
      </c>
      <c r="F26" s="277"/>
      <c r="G26" s="277" t="s">
        <v>44</v>
      </c>
      <c r="H26" s="249"/>
      <c r="I26" s="277" t="s">
        <v>42</v>
      </c>
      <c r="J26" s="277"/>
      <c r="K26" s="277" t="s">
        <v>43</v>
      </c>
      <c r="L26" s="277"/>
      <c r="M26" s="277" t="s">
        <v>44</v>
      </c>
      <c r="N26" s="276"/>
      <c r="O26" s="249"/>
      <c r="P26" s="249"/>
      <c r="Q26" s="249"/>
      <c r="R26" s="244"/>
      <c r="S26" s="244"/>
      <c r="T26" s="244"/>
    </row>
    <row r="27" spans="1:20" hidden="1" x14ac:dyDescent="0.35">
      <c r="A27" s="276"/>
      <c r="B27" s="248"/>
      <c r="C27" s="277"/>
      <c r="D27" s="277"/>
      <c r="E27" s="277"/>
      <c r="F27" s="277"/>
      <c r="G27" s="277"/>
      <c r="H27" s="249"/>
      <c r="I27" s="277"/>
      <c r="J27" s="277"/>
      <c r="K27" s="277"/>
      <c r="L27" s="277"/>
      <c r="M27" s="277"/>
      <c r="N27" s="276"/>
      <c r="O27" s="249"/>
      <c r="P27" s="249"/>
      <c r="Q27" s="249"/>
      <c r="R27" s="244"/>
      <c r="S27" s="244"/>
      <c r="T27" s="244"/>
    </row>
    <row r="28" spans="1:20" hidden="1" x14ac:dyDescent="0.35">
      <c r="A28" s="276"/>
      <c r="B28" s="248"/>
      <c r="C28" s="249" t="s">
        <v>81</v>
      </c>
      <c r="D28" s="249" t="s">
        <v>48</v>
      </c>
      <c r="E28" s="249" t="s">
        <v>81</v>
      </c>
      <c r="F28" s="249" t="s">
        <v>48</v>
      </c>
      <c r="G28" s="249"/>
      <c r="H28" s="249"/>
      <c r="I28" s="249" t="s">
        <v>81</v>
      </c>
      <c r="J28" s="249" t="s">
        <v>48</v>
      </c>
      <c r="K28" s="249" t="s">
        <v>81</v>
      </c>
      <c r="L28" s="249" t="s">
        <v>48</v>
      </c>
      <c r="M28" s="249"/>
      <c r="N28" s="249"/>
      <c r="O28" s="249"/>
      <c r="P28" s="249"/>
      <c r="Q28" s="249"/>
      <c r="R28" s="244"/>
      <c r="S28" s="244"/>
      <c r="T28" s="244"/>
    </row>
    <row r="29" spans="1:20" hidden="1" x14ac:dyDescent="0.35">
      <c r="A29" s="276"/>
      <c r="B29" s="248"/>
      <c r="C29" s="18">
        <v>9.9970199999999995E-2</v>
      </c>
      <c r="D29" s="263">
        <v>8.8992939999999999E-6</v>
      </c>
      <c r="E29" s="263">
        <v>1.4786700000000001E-4</v>
      </c>
      <c r="F29" s="263">
        <v>8.4591509999999995E-7</v>
      </c>
      <c r="G29" s="263">
        <f>C29-E29</f>
        <v>9.9822332999999999E-2</v>
      </c>
      <c r="H29" s="249"/>
      <c r="I29" s="263">
        <v>6.4452369999999995E-2</v>
      </c>
      <c r="J29" s="263">
        <v>8.0313640000000006E-6</v>
      </c>
      <c r="K29" s="263">
        <v>1.4685969999999999E-4</v>
      </c>
      <c r="L29" s="263">
        <v>1.1056920000000001E-6</v>
      </c>
      <c r="M29" s="263">
        <f>I29-K29</f>
        <v>6.4305510299999993E-2</v>
      </c>
      <c r="N29" s="19">
        <f>D25*(M29/G29)</f>
        <v>0.32713745771245395</v>
      </c>
      <c r="O29" s="249"/>
      <c r="P29" s="249"/>
      <c r="Q29" s="249"/>
      <c r="R29" s="244"/>
      <c r="S29" s="244"/>
      <c r="T29" s="244"/>
    </row>
    <row r="30" spans="1:20" hidden="1" x14ac:dyDescent="0.35">
      <c r="A30" s="279"/>
      <c r="B30" s="251"/>
      <c r="C30" s="10"/>
      <c r="D30" s="11"/>
      <c r="E30" s="11"/>
      <c r="F30" s="11"/>
      <c r="G30" s="11">
        <f>C30-E30</f>
        <v>0</v>
      </c>
      <c r="H30" s="261"/>
      <c r="I30" s="11"/>
      <c r="J30" s="11"/>
      <c r="K30" s="11"/>
      <c r="L30" s="11"/>
      <c r="M30" s="11">
        <f>I30-K30</f>
        <v>0</v>
      </c>
      <c r="N30" s="17" t="e">
        <f>D25*(M30/G30)</f>
        <v>#DIV/0!</v>
      </c>
      <c r="O30" s="261"/>
      <c r="P30" s="261"/>
      <c r="Q30" s="261"/>
      <c r="R30" s="244"/>
      <c r="S30" s="244"/>
      <c r="T30" s="244"/>
    </row>
    <row r="31" spans="1:20" hidden="1" x14ac:dyDescent="0.35">
      <c r="A31" s="1"/>
      <c r="B31" s="1"/>
      <c r="C31" s="244"/>
      <c r="D31" s="244"/>
      <c r="E31" s="244"/>
      <c r="F31" s="244"/>
      <c r="G31" s="244"/>
      <c r="H31" s="244"/>
      <c r="I31" s="3"/>
      <c r="J31" s="3"/>
      <c r="K31" s="3"/>
      <c r="L31" s="3"/>
      <c r="M31" s="3"/>
      <c r="N31" s="5"/>
      <c r="O31" s="244"/>
      <c r="P31" s="244"/>
      <c r="Q31" s="244"/>
      <c r="R31" s="244"/>
      <c r="S31" s="244"/>
      <c r="T31" s="244"/>
    </row>
    <row r="32" spans="1:20" ht="15" hidden="1" customHeight="1" x14ac:dyDescent="0.35">
      <c r="A32" s="275" t="s">
        <v>12</v>
      </c>
      <c r="B32" s="247"/>
      <c r="C32" s="278" t="s">
        <v>36</v>
      </c>
      <c r="D32" s="278"/>
      <c r="E32" s="278"/>
      <c r="F32" s="278"/>
      <c r="G32" s="250"/>
      <c r="H32" s="250"/>
      <c r="I32" s="278" t="s">
        <v>38</v>
      </c>
      <c r="J32" s="278"/>
      <c r="K32" s="278"/>
      <c r="L32" s="278"/>
      <c r="M32" s="278"/>
      <c r="N32" s="278"/>
      <c r="O32" s="250"/>
      <c r="P32" s="250"/>
      <c r="Q32" s="250"/>
      <c r="R32" s="244"/>
      <c r="S32" s="244"/>
      <c r="T32" s="244"/>
    </row>
    <row r="33" spans="1:30" ht="15" hidden="1" customHeight="1" x14ac:dyDescent="0.35">
      <c r="A33" s="276"/>
      <c r="B33" s="248"/>
      <c r="C33" s="249" t="s">
        <v>39</v>
      </c>
      <c r="D33" s="249">
        <v>0.50782000000000005</v>
      </c>
      <c r="E33" s="8"/>
      <c r="F33" s="8"/>
      <c r="G33" s="249"/>
      <c r="H33" s="249"/>
      <c r="I33" s="249"/>
      <c r="J33" s="249" t="s">
        <v>39</v>
      </c>
      <c r="K33" s="249">
        <v>0.34899999999999998</v>
      </c>
      <c r="L33" s="9">
        <v>0.35</v>
      </c>
      <c r="M33" s="249"/>
      <c r="N33" s="276" t="s">
        <v>41</v>
      </c>
      <c r="O33" s="249"/>
      <c r="P33" s="249"/>
      <c r="Q33" s="249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</row>
    <row r="34" spans="1:30" ht="15" hidden="1" customHeight="1" x14ac:dyDescent="0.35">
      <c r="A34" s="276"/>
      <c r="B34" s="248"/>
      <c r="C34" s="277" t="s">
        <v>42</v>
      </c>
      <c r="D34" s="277"/>
      <c r="E34" s="277" t="s">
        <v>43</v>
      </c>
      <c r="F34" s="277"/>
      <c r="G34" s="277" t="s">
        <v>44</v>
      </c>
      <c r="H34" s="249"/>
      <c r="I34" s="277" t="s">
        <v>42</v>
      </c>
      <c r="J34" s="277"/>
      <c r="K34" s="277" t="s">
        <v>43</v>
      </c>
      <c r="L34" s="277"/>
      <c r="M34" s="277" t="s">
        <v>44</v>
      </c>
      <c r="N34" s="276"/>
      <c r="O34" s="249"/>
      <c r="P34" s="249"/>
      <c r="Q34" s="249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</row>
    <row r="35" spans="1:30" hidden="1" x14ac:dyDescent="0.35">
      <c r="A35" s="276"/>
      <c r="B35" s="248"/>
      <c r="C35" s="277"/>
      <c r="D35" s="277"/>
      <c r="E35" s="277"/>
      <c r="F35" s="277"/>
      <c r="G35" s="277"/>
      <c r="H35" s="249"/>
      <c r="I35" s="277"/>
      <c r="J35" s="277"/>
      <c r="K35" s="277"/>
      <c r="L35" s="277"/>
      <c r="M35" s="277"/>
      <c r="N35" s="276"/>
      <c r="O35" s="249"/>
      <c r="P35" s="249"/>
      <c r="Q35" s="249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</row>
    <row r="36" spans="1:30" hidden="1" x14ac:dyDescent="0.35">
      <c r="A36" s="276"/>
      <c r="B36" s="248"/>
      <c r="C36" s="249" t="s">
        <v>47</v>
      </c>
      <c r="D36" s="249" t="s">
        <v>48</v>
      </c>
      <c r="E36" s="249" t="s">
        <v>47</v>
      </c>
      <c r="F36" s="249" t="s">
        <v>48</v>
      </c>
      <c r="G36" s="249"/>
      <c r="H36" s="249"/>
      <c r="I36" s="249" t="s">
        <v>47</v>
      </c>
      <c r="J36" s="249" t="s">
        <v>48</v>
      </c>
      <c r="K36" s="249" t="s">
        <v>47</v>
      </c>
      <c r="L36" s="249" t="s">
        <v>48</v>
      </c>
      <c r="M36" s="249"/>
      <c r="N36" s="249"/>
      <c r="O36" s="249"/>
      <c r="P36" s="249"/>
      <c r="Q36" s="249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</row>
    <row r="37" spans="1:30" hidden="1" x14ac:dyDescent="0.35">
      <c r="A37" s="12" t="s">
        <v>82</v>
      </c>
      <c r="B37" s="12"/>
      <c r="C37" s="263">
        <v>4.3632580000000001</v>
      </c>
      <c r="D37" s="263">
        <v>2.361543E-5</v>
      </c>
      <c r="E37" s="263">
        <v>2.6030150000000001E-4</v>
      </c>
      <c r="F37" s="263">
        <v>1.4612710000000001E-5</v>
      </c>
      <c r="G37" s="13">
        <f>C37-E37</f>
        <v>4.3629976985000001</v>
      </c>
      <c r="H37" s="249"/>
      <c r="I37" s="263"/>
      <c r="J37" s="263"/>
      <c r="K37" s="263"/>
      <c r="L37" s="263"/>
      <c r="M37" s="263">
        <f>I37-K37</f>
        <v>0</v>
      </c>
      <c r="N37" s="14">
        <f>D33*(M37/G37)</f>
        <v>0</v>
      </c>
      <c r="O37" s="249" t="e">
        <f>N37/N41</f>
        <v>#VALUE!</v>
      </c>
      <c r="P37" s="249"/>
      <c r="Q37" s="249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</row>
    <row r="38" spans="1:30" hidden="1" x14ac:dyDescent="0.35">
      <c r="A38" s="15" t="s">
        <v>83</v>
      </c>
      <c r="B38" s="15"/>
      <c r="C38" s="11">
        <v>4.3504430000000003</v>
      </c>
      <c r="D38" s="11">
        <v>1.8543239999999998E-5</v>
      </c>
      <c r="E38" s="11">
        <v>2.29581E-4</v>
      </c>
      <c r="F38" s="11">
        <v>1.364303E-5</v>
      </c>
      <c r="G38" s="16">
        <f>C38-E38</f>
        <v>4.3502134190000001</v>
      </c>
      <c r="H38" s="261"/>
      <c r="I38" s="11"/>
      <c r="J38" s="261"/>
      <c r="K38" s="11"/>
      <c r="L38" s="261"/>
      <c r="M38" s="11">
        <f>I38-K38</f>
        <v>0</v>
      </c>
      <c r="N38" s="261">
        <f>N37/D33</f>
        <v>0</v>
      </c>
      <c r="O38" s="261" t="e">
        <f>N37/N31</f>
        <v>#DIV/0!</v>
      </c>
      <c r="P38" s="261"/>
      <c r="Q38" s="261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</row>
    <row r="39" spans="1:30" ht="15" thickBot="1" x14ac:dyDescent="0.4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</row>
    <row r="40" spans="1:30" x14ac:dyDescent="0.35">
      <c r="A40" s="297" t="s">
        <v>80</v>
      </c>
      <c r="B40" s="216"/>
      <c r="C40" s="295" t="s">
        <v>36</v>
      </c>
      <c r="D40" s="295"/>
      <c r="E40" s="295"/>
      <c r="F40" s="295"/>
      <c r="G40" s="254"/>
      <c r="H40" s="254"/>
      <c r="I40" s="295" t="s">
        <v>75</v>
      </c>
      <c r="J40" s="295"/>
      <c r="K40" s="295"/>
      <c r="L40" s="295"/>
      <c r="M40" s="295"/>
      <c r="N40" s="295"/>
      <c r="O40" s="254"/>
      <c r="P40" s="216"/>
      <c r="Q40" s="295" t="s">
        <v>37</v>
      </c>
      <c r="R40" s="295"/>
      <c r="S40" s="295"/>
      <c r="T40" s="295"/>
      <c r="U40" s="296"/>
      <c r="V40" s="244"/>
      <c r="W40" s="244"/>
      <c r="X40" s="244"/>
      <c r="Y40" s="244"/>
      <c r="Z40" s="244"/>
      <c r="AA40" s="244"/>
      <c r="AB40" s="244"/>
      <c r="AC40" s="244"/>
      <c r="AD40" s="244"/>
    </row>
    <row r="41" spans="1:30" x14ac:dyDescent="0.35">
      <c r="A41" s="298"/>
      <c r="B41" s="255"/>
      <c r="C41" s="246" t="s">
        <v>39</v>
      </c>
      <c r="D41" s="246">
        <v>0.50782000000000005</v>
      </c>
      <c r="E41" s="199"/>
      <c r="F41" s="199"/>
      <c r="G41" s="246"/>
      <c r="H41" s="246"/>
      <c r="I41" s="246"/>
      <c r="J41" s="246"/>
      <c r="K41" s="246"/>
      <c r="L41" s="200"/>
      <c r="M41" s="246"/>
      <c r="N41" s="300" t="s">
        <v>84</v>
      </c>
      <c r="O41" s="300" t="s">
        <v>85</v>
      </c>
      <c r="P41" s="255"/>
      <c r="Q41" s="246" t="s">
        <v>39</v>
      </c>
      <c r="R41" s="246">
        <v>0.50793999999999995</v>
      </c>
      <c r="S41" s="199"/>
      <c r="T41" s="199"/>
      <c r="U41" s="256"/>
      <c r="V41" s="244"/>
      <c r="W41" s="244"/>
      <c r="X41" s="244"/>
      <c r="Y41" s="244"/>
      <c r="Z41" s="244"/>
      <c r="AA41" s="244"/>
      <c r="AB41" s="244"/>
      <c r="AC41" s="244"/>
      <c r="AD41" s="244"/>
    </row>
    <row r="42" spans="1:30" x14ac:dyDescent="0.35">
      <c r="A42" s="298"/>
      <c r="B42" s="255"/>
      <c r="C42" s="274" t="s">
        <v>42</v>
      </c>
      <c r="D42" s="274"/>
      <c r="E42" s="274" t="s">
        <v>43</v>
      </c>
      <c r="F42" s="274"/>
      <c r="G42" s="274" t="s">
        <v>44</v>
      </c>
      <c r="H42" s="246"/>
      <c r="I42" s="274" t="s">
        <v>42</v>
      </c>
      <c r="J42" s="274"/>
      <c r="K42" s="274" t="s">
        <v>43</v>
      </c>
      <c r="L42" s="274"/>
      <c r="M42" s="274" t="s">
        <v>44</v>
      </c>
      <c r="N42" s="300"/>
      <c r="O42" s="300"/>
      <c r="P42" s="255"/>
      <c r="Q42" s="274" t="s">
        <v>42</v>
      </c>
      <c r="R42" s="274"/>
      <c r="S42" s="274" t="s">
        <v>43</v>
      </c>
      <c r="T42" s="274"/>
      <c r="U42" s="301" t="s">
        <v>44</v>
      </c>
      <c r="V42" s="244"/>
      <c r="W42" s="244"/>
      <c r="X42" s="244"/>
      <c r="Y42" s="244"/>
      <c r="Z42" s="244"/>
      <c r="AA42" s="244"/>
      <c r="AB42" s="244"/>
      <c r="AC42" s="244"/>
      <c r="AD42" s="244"/>
    </row>
    <row r="43" spans="1:30" x14ac:dyDescent="0.35">
      <c r="A43" s="298"/>
      <c r="B43" s="255"/>
      <c r="C43" s="274"/>
      <c r="D43" s="274"/>
      <c r="E43" s="274"/>
      <c r="F43" s="274"/>
      <c r="G43" s="274"/>
      <c r="H43" s="246"/>
      <c r="I43" s="274"/>
      <c r="J43" s="274"/>
      <c r="K43" s="274"/>
      <c r="L43" s="274"/>
      <c r="M43" s="274"/>
      <c r="N43" s="300"/>
      <c r="O43" s="300"/>
      <c r="P43" s="255"/>
      <c r="Q43" s="274"/>
      <c r="R43" s="274"/>
      <c r="S43" s="274"/>
      <c r="T43" s="274"/>
      <c r="U43" s="301"/>
      <c r="V43" s="244"/>
      <c r="W43" s="244"/>
      <c r="X43" s="244"/>
      <c r="Y43" s="244"/>
      <c r="Z43" s="244"/>
      <c r="AA43" s="244"/>
      <c r="AB43" s="244"/>
      <c r="AC43" s="244"/>
      <c r="AD43" s="244"/>
    </row>
    <row r="44" spans="1:30" x14ac:dyDescent="0.35">
      <c r="A44" s="298"/>
      <c r="B44" s="255"/>
      <c r="C44" s="246" t="s">
        <v>81</v>
      </c>
      <c r="D44" s="246" t="s">
        <v>48</v>
      </c>
      <c r="E44" s="246" t="s">
        <v>81</v>
      </c>
      <c r="F44" s="246" t="s">
        <v>48</v>
      </c>
      <c r="G44" s="246"/>
      <c r="H44" s="246"/>
      <c r="I44" s="246" t="s">
        <v>47</v>
      </c>
      <c r="J44" s="246" t="s">
        <v>48</v>
      </c>
      <c r="K44" s="246" t="s">
        <v>86</v>
      </c>
      <c r="L44" s="246" t="s">
        <v>48</v>
      </c>
      <c r="M44" s="246"/>
      <c r="N44" s="246"/>
      <c r="O44" s="246"/>
      <c r="P44" s="255"/>
      <c r="Q44" s="246" t="s">
        <v>81</v>
      </c>
      <c r="R44" s="246" t="s">
        <v>48</v>
      </c>
      <c r="S44" s="246" t="s">
        <v>81</v>
      </c>
      <c r="T44" s="246" t="s">
        <v>48</v>
      </c>
      <c r="U44" s="256"/>
      <c r="V44" s="244"/>
      <c r="W44" s="244"/>
      <c r="X44" s="244"/>
      <c r="Y44" s="244"/>
      <c r="Z44" s="244"/>
      <c r="AA44" s="244"/>
      <c r="AB44" s="244"/>
      <c r="AC44" s="244"/>
      <c r="AD44" s="244"/>
    </row>
    <row r="45" spans="1:30" x14ac:dyDescent="0.35">
      <c r="A45" s="298"/>
      <c r="B45" s="255">
        <v>2</v>
      </c>
      <c r="C45" s="201">
        <v>9.9819099999999994E-2</v>
      </c>
      <c r="D45" s="202">
        <v>5.180356E-6</v>
      </c>
      <c r="E45" s="202">
        <v>1.528809E-4</v>
      </c>
      <c r="F45" s="202">
        <v>8.6314830000000002E-7</v>
      </c>
      <c r="G45" s="202">
        <f>C45-E45</f>
        <v>9.9666219099999995E-2</v>
      </c>
      <c r="H45" s="246">
        <v>1</v>
      </c>
      <c r="I45" s="202">
        <v>6.8739239999999993E-2</v>
      </c>
      <c r="J45" s="202">
        <v>3.6330569999999999E-6</v>
      </c>
      <c r="K45" s="202">
        <v>-1.493589E-4</v>
      </c>
      <c r="L45" s="202">
        <v>9.4996449999999998E-7</v>
      </c>
      <c r="M45" s="202">
        <f>I45-K45</f>
        <v>6.8888598899999987E-2</v>
      </c>
      <c r="N45" s="232">
        <f>D41*(M45/G45)</f>
        <v>0.35100165943184652</v>
      </c>
      <c r="O45" s="233">
        <f>$R$41*M45/U45</f>
        <v>0.35106369613363136</v>
      </c>
      <c r="P45" s="255">
        <v>4</v>
      </c>
      <c r="Q45" s="201">
        <v>9.9822439999999998E-2</v>
      </c>
      <c r="R45" s="202">
        <v>4.3268620000000002E-6</v>
      </c>
      <c r="S45" s="202">
        <v>1.5028559999999999E-4</v>
      </c>
      <c r="T45" s="202">
        <v>1.3243660000000001E-6</v>
      </c>
      <c r="U45" s="217">
        <f>Q45-S45</f>
        <v>9.9672154400000004E-2</v>
      </c>
      <c r="V45" s="244"/>
      <c r="W45" s="244"/>
      <c r="X45" s="244"/>
      <c r="Y45" s="244"/>
      <c r="Z45" s="244"/>
      <c r="AA45" s="244"/>
      <c r="AB45" s="244"/>
      <c r="AC45" s="244"/>
      <c r="AD45" s="244"/>
    </row>
    <row r="46" spans="1:30" ht="15" thickBot="1" x14ac:dyDescent="0.4">
      <c r="A46" s="299"/>
      <c r="B46" s="218"/>
      <c r="C46" s="219"/>
      <c r="D46" s="220"/>
      <c r="E46" s="220"/>
      <c r="F46" s="220"/>
      <c r="G46" s="220"/>
      <c r="H46" s="221">
        <v>3</v>
      </c>
      <c r="I46" s="220">
        <v>6.8728999999999998E-2</v>
      </c>
      <c r="J46" s="220">
        <v>4.668269E-6</v>
      </c>
      <c r="K46" s="220">
        <v>-1.5006620000000001E-4</v>
      </c>
      <c r="L46" s="220">
        <v>5.7144290000000002E-7</v>
      </c>
      <c r="M46" s="220">
        <f>I46-K46</f>
        <v>6.8879066200000005E-2</v>
      </c>
      <c r="N46" s="234">
        <f>D41*(M46/G45)</f>
        <v>0.35095308835372491</v>
      </c>
      <c r="O46" s="234">
        <f>$R$41*M46/U45</f>
        <v>0.35101511647096489</v>
      </c>
      <c r="P46" s="221"/>
      <c r="Q46" s="221"/>
      <c r="R46" s="221"/>
      <c r="S46" s="221"/>
      <c r="T46" s="221"/>
      <c r="U46" s="222"/>
      <c r="V46" s="244"/>
      <c r="W46" s="244"/>
      <c r="X46" s="244"/>
      <c r="Y46" s="244"/>
      <c r="Z46" s="244"/>
      <c r="AA46" s="244"/>
      <c r="AB46" s="244"/>
      <c r="AC46" s="244"/>
      <c r="AD46" s="244"/>
    </row>
    <row r="47" spans="1:30" s="7" customFormat="1" ht="15" thickBot="1" x14ac:dyDescent="0.4">
      <c r="A47" s="249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198" t="s">
        <v>87</v>
      </c>
      <c r="N47" s="243">
        <f>AVERAGE(N45:N46)</f>
        <v>0.35097737389278572</v>
      </c>
      <c r="O47" s="230">
        <f>AVERAGE(O45:O46)</f>
        <v>0.35103940630229813</v>
      </c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4"/>
      <c r="AB47" s="244"/>
      <c r="AC47" s="244"/>
      <c r="AD47" s="244"/>
    </row>
    <row r="48" spans="1:30" s="183" customFormat="1" x14ac:dyDescent="0.35">
      <c r="A48" s="249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9">
        <f>ABS(N47-'13 Sep'!AD50)/'13 Sep'!AD50*100</f>
        <v>0.12111413408899784</v>
      </c>
      <c r="O48" s="9">
        <f>ABS(N47-O47)/O47*100</f>
        <v>1.7671067235965617E-2</v>
      </c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4"/>
      <c r="AB48" s="244"/>
      <c r="AC48" s="244"/>
      <c r="AD48" s="244"/>
    </row>
    <row r="49" spans="1:30" x14ac:dyDescent="0.35">
      <c r="A49" s="293" t="s">
        <v>88</v>
      </c>
      <c r="B49" s="247"/>
      <c r="C49" s="278" t="s">
        <v>36</v>
      </c>
      <c r="D49" s="278"/>
      <c r="E49" s="278"/>
      <c r="F49" s="278"/>
      <c r="G49" s="250"/>
      <c r="H49" s="250"/>
      <c r="I49" s="278" t="s">
        <v>75</v>
      </c>
      <c r="J49" s="278"/>
      <c r="K49" s="278"/>
      <c r="L49" s="278"/>
      <c r="M49" s="278"/>
      <c r="N49" s="278"/>
      <c r="O49" s="250"/>
      <c r="P49" s="247"/>
      <c r="Q49" s="278" t="s">
        <v>37</v>
      </c>
      <c r="R49" s="278"/>
      <c r="S49" s="278"/>
      <c r="T49" s="278"/>
      <c r="U49" s="302"/>
      <c r="V49" s="244"/>
      <c r="W49" s="244"/>
      <c r="X49" s="244"/>
      <c r="Y49" s="244"/>
      <c r="Z49" s="244"/>
      <c r="AA49" s="249"/>
      <c r="AB49" s="249"/>
      <c r="AC49" s="249"/>
      <c r="AD49" s="249"/>
    </row>
    <row r="50" spans="1:30" x14ac:dyDescent="0.35">
      <c r="A50" s="294"/>
      <c r="B50" s="248"/>
      <c r="C50" s="249" t="s">
        <v>39</v>
      </c>
      <c r="D50" s="249">
        <v>0.50782000000000005</v>
      </c>
      <c r="E50" s="8"/>
      <c r="F50" s="8"/>
      <c r="G50" s="249"/>
      <c r="H50" s="249"/>
      <c r="I50" s="249"/>
      <c r="J50" s="249"/>
      <c r="K50" s="249"/>
      <c r="L50" s="9"/>
      <c r="M50" s="249"/>
      <c r="N50" s="276" t="s">
        <v>41</v>
      </c>
      <c r="O50" s="276" t="s">
        <v>40</v>
      </c>
      <c r="P50" s="248"/>
      <c r="Q50" s="249" t="s">
        <v>39</v>
      </c>
      <c r="R50" s="249">
        <v>0.50793999999999995</v>
      </c>
      <c r="S50" s="8"/>
      <c r="T50" s="8"/>
      <c r="U50" s="258"/>
      <c r="V50" s="244"/>
      <c r="W50" s="244"/>
      <c r="X50" s="244"/>
      <c r="Y50" s="244"/>
      <c r="Z50" s="244"/>
      <c r="AA50" s="244"/>
      <c r="AB50" s="244"/>
      <c r="AC50" s="244"/>
      <c r="AD50" s="244"/>
    </row>
    <row r="51" spans="1:30" x14ac:dyDescent="0.35">
      <c r="A51" s="294"/>
      <c r="B51" s="248"/>
      <c r="C51" s="277" t="s">
        <v>42</v>
      </c>
      <c r="D51" s="277"/>
      <c r="E51" s="277" t="s">
        <v>43</v>
      </c>
      <c r="F51" s="277"/>
      <c r="G51" s="277" t="s">
        <v>44</v>
      </c>
      <c r="H51" s="249"/>
      <c r="I51" s="277" t="s">
        <v>42</v>
      </c>
      <c r="J51" s="277"/>
      <c r="K51" s="277" t="s">
        <v>43</v>
      </c>
      <c r="L51" s="277"/>
      <c r="M51" s="277" t="s">
        <v>44</v>
      </c>
      <c r="N51" s="276"/>
      <c r="O51" s="276"/>
      <c r="P51" s="248"/>
      <c r="Q51" s="277" t="s">
        <v>42</v>
      </c>
      <c r="R51" s="277"/>
      <c r="S51" s="277" t="s">
        <v>43</v>
      </c>
      <c r="T51" s="277"/>
      <c r="U51" s="303" t="s">
        <v>44</v>
      </c>
      <c r="V51" s="244"/>
      <c r="W51" s="244"/>
      <c r="X51" s="244"/>
      <c r="Y51" s="244"/>
      <c r="Z51" s="244"/>
      <c r="AA51" s="244"/>
      <c r="AB51" s="244"/>
      <c r="AC51" s="244"/>
      <c r="AD51" s="244"/>
    </row>
    <row r="52" spans="1:30" x14ac:dyDescent="0.35">
      <c r="A52" s="294"/>
      <c r="B52" s="248"/>
      <c r="C52" s="277"/>
      <c r="D52" s="277"/>
      <c r="E52" s="277"/>
      <c r="F52" s="277"/>
      <c r="G52" s="277"/>
      <c r="H52" s="249"/>
      <c r="I52" s="277"/>
      <c r="J52" s="277"/>
      <c r="K52" s="277"/>
      <c r="L52" s="277"/>
      <c r="M52" s="277"/>
      <c r="N52" s="276"/>
      <c r="O52" s="276"/>
      <c r="P52" s="248"/>
      <c r="Q52" s="277"/>
      <c r="R52" s="277"/>
      <c r="S52" s="277"/>
      <c r="T52" s="277"/>
      <c r="U52" s="303"/>
      <c r="V52" s="244"/>
      <c r="W52" s="244"/>
      <c r="X52" s="244"/>
      <c r="Y52" s="244"/>
      <c r="Z52" s="244"/>
      <c r="AA52" s="244"/>
      <c r="AB52" s="244"/>
      <c r="AC52" s="244"/>
      <c r="AD52" s="244"/>
    </row>
    <row r="53" spans="1:30" x14ac:dyDescent="0.35">
      <c r="A53" s="294"/>
      <c r="B53" s="248"/>
      <c r="C53" s="249" t="s">
        <v>86</v>
      </c>
      <c r="D53" s="249" t="s">
        <v>48</v>
      </c>
      <c r="E53" s="249" t="s">
        <v>86</v>
      </c>
      <c r="F53" s="249" t="s">
        <v>48</v>
      </c>
      <c r="G53" s="249"/>
      <c r="H53" s="249"/>
      <c r="I53" s="249" t="s">
        <v>47</v>
      </c>
      <c r="J53" s="249" t="s">
        <v>48</v>
      </c>
      <c r="K53" s="249" t="s">
        <v>86</v>
      </c>
      <c r="L53" s="249" t="s">
        <v>48</v>
      </c>
      <c r="M53" s="249"/>
      <c r="N53" s="249"/>
      <c r="O53" s="249"/>
      <c r="P53" s="248"/>
      <c r="Q53" s="249" t="s">
        <v>47</v>
      </c>
      <c r="R53" s="249" t="s">
        <v>48</v>
      </c>
      <c r="S53" s="249" t="s">
        <v>47</v>
      </c>
      <c r="T53" s="249" t="s">
        <v>48</v>
      </c>
      <c r="U53" s="258"/>
      <c r="V53" s="244"/>
      <c r="W53" s="244"/>
      <c r="X53" s="244"/>
      <c r="Y53" s="244"/>
      <c r="Z53" s="244"/>
      <c r="AA53" s="244"/>
      <c r="AB53" s="244"/>
      <c r="AC53" s="244"/>
      <c r="AD53" s="244"/>
    </row>
    <row r="54" spans="1:30" x14ac:dyDescent="0.35">
      <c r="A54" s="293" t="s">
        <v>82</v>
      </c>
      <c r="B54" s="247">
        <v>1</v>
      </c>
      <c r="C54" s="22">
        <v>4.3521970000000003</v>
      </c>
      <c r="D54" s="23">
        <v>2.064026E-5</v>
      </c>
      <c r="E54" s="23">
        <v>1.427105E-4</v>
      </c>
      <c r="F54" s="23">
        <v>1.631478E-5</v>
      </c>
      <c r="G54" s="23">
        <f>C54-E54</f>
        <v>4.3520542895000007</v>
      </c>
      <c r="H54" s="250">
        <v>2</v>
      </c>
      <c r="I54" s="23">
        <v>3.007574</v>
      </c>
      <c r="J54" s="23">
        <v>4.762096E-4</v>
      </c>
      <c r="K54" s="23">
        <v>1.9144990000000001E-4</v>
      </c>
      <c r="L54" s="23">
        <v>1.7733589999999998E-5</v>
      </c>
      <c r="M54" s="23">
        <f>I54-K54</f>
        <v>3.0073825501</v>
      </c>
      <c r="N54" s="24">
        <f>D50*(M54/G54)</f>
        <v>0.35091680962629729</v>
      </c>
      <c r="O54" s="25">
        <f>$R$50*M54/U54</f>
        <v>0.35095616448994765</v>
      </c>
      <c r="P54" s="247">
        <v>3</v>
      </c>
      <c r="Q54" s="22">
        <v>4.3527839999999998</v>
      </c>
      <c r="R54" s="23">
        <v>1.555263E-5</v>
      </c>
      <c r="S54" s="23">
        <v>1.894396E-4</v>
      </c>
      <c r="T54" s="23">
        <v>1.441062E-5</v>
      </c>
      <c r="U54" s="196">
        <f>Q54-S54</f>
        <v>4.3525945604</v>
      </c>
      <c r="V54" s="244"/>
      <c r="W54" s="244"/>
      <c r="X54" s="244"/>
      <c r="Y54" s="244"/>
      <c r="Z54" s="244"/>
      <c r="AA54" s="244"/>
      <c r="AB54" s="244"/>
      <c r="AC54" s="244"/>
      <c r="AD54" s="244"/>
    </row>
    <row r="55" spans="1:30" x14ac:dyDescent="0.35">
      <c r="A55" s="311"/>
      <c r="B55" s="251"/>
      <c r="C55" s="10"/>
      <c r="D55" s="11"/>
      <c r="E55" s="11"/>
      <c r="F55" s="11"/>
      <c r="G55" s="11">
        <f>C55-E55</f>
        <v>0</v>
      </c>
      <c r="H55" s="261">
        <v>4</v>
      </c>
      <c r="I55" s="11">
        <v>3.0080279999999999</v>
      </c>
      <c r="J55" s="11">
        <v>1.6720439999999999E-5</v>
      </c>
      <c r="K55" s="11">
        <v>1.938009E-4</v>
      </c>
      <c r="L55" s="11">
        <v>8.1103170000000008E-6</v>
      </c>
      <c r="M55" s="11">
        <f>I55-K55</f>
        <v>3.0078341990999999</v>
      </c>
      <c r="N55" s="17">
        <f>D50*(M55/G54)</f>
        <v>0.3509695103464453</v>
      </c>
      <c r="O55" s="17">
        <f>$R$41*M55/U54</f>
        <v>0.3510088711204129</v>
      </c>
      <c r="P55" s="261"/>
      <c r="Q55" s="261"/>
      <c r="R55" s="261"/>
      <c r="S55" s="261"/>
      <c r="T55" s="261"/>
      <c r="U55" s="32"/>
      <c r="V55" s="244"/>
      <c r="W55" s="244"/>
      <c r="X55" s="244"/>
      <c r="Y55" s="244"/>
      <c r="Z55" s="244"/>
      <c r="AA55" s="244"/>
      <c r="AB55" s="244"/>
      <c r="AC55" s="244"/>
      <c r="AD55" s="244"/>
    </row>
    <row r="56" spans="1:30" s="7" customFormat="1" x14ac:dyDescent="0.35">
      <c r="A56" s="293" t="s">
        <v>83</v>
      </c>
      <c r="B56" s="250">
        <v>7</v>
      </c>
      <c r="C56" s="250">
        <v>4.3403460000000003</v>
      </c>
      <c r="D56" s="23">
        <v>1.713378E-5</v>
      </c>
      <c r="E56" s="23">
        <v>2.1157009999999999E-4</v>
      </c>
      <c r="F56" s="23">
        <v>1.4271310000000001E-5</v>
      </c>
      <c r="G56" s="23">
        <f>C56-E56</f>
        <v>4.3401344299</v>
      </c>
      <c r="H56" s="250">
        <v>5</v>
      </c>
      <c r="I56" s="250">
        <v>2.999968</v>
      </c>
      <c r="J56" s="23">
        <v>2.0841900000000001E-5</v>
      </c>
      <c r="K56" s="250"/>
      <c r="L56" s="250"/>
      <c r="M56" s="23">
        <f>I56-K56</f>
        <v>2.999968</v>
      </c>
      <c r="N56" s="24">
        <f>D50*(M56/G56)</f>
        <v>0.35101303297536374</v>
      </c>
      <c r="O56" s="59"/>
      <c r="P56" s="250"/>
      <c r="Q56" s="250"/>
      <c r="R56" s="250"/>
      <c r="S56" s="250"/>
      <c r="T56" s="250"/>
      <c r="U56" s="257"/>
      <c r="V56" s="249"/>
      <c r="W56" s="249"/>
      <c r="X56" s="249"/>
      <c r="Y56" s="249"/>
      <c r="Z56" s="249"/>
      <c r="AA56" s="244"/>
      <c r="AB56" s="244"/>
      <c r="AC56" s="244"/>
      <c r="AD56" s="244"/>
    </row>
    <row r="57" spans="1:30" x14ac:dyDescent="0.35">
      <c r="A57" s="311"/>
      <c r="B57" s="261"/>
      <c r="C57" s="261"/>
      <c r="D57" s="261"/>
      <c r="E57" s="261"/>
      <c r="F57" s="261"/>
      <c r="G57" s="261"/>
      <c r="H57" s="261">
        <v>6</v>
      </c>
      <c r="I57" s="261">
        <v>2.9999229999999999</v>
      </c>
      <c r="J57" s="11">
        <v>1.7363959999999999E-5</v>
      </c>
      <c r="K57" s="11">
        <v>2.1136190000000001E-4</v>
      </c>
      <c r="L57" s="11">
        <v>1.514316E-5</v>
      </c>
      <c r="M57" s="11">
        <f>I57-K57</f>
        <v>2.9997116381</v>
      </c>
      <c r="N57" s="231">
        <f>D50*(M57/G56)</f>
        <v>0.35098303719938934</v>
      </c>
      <c r="O57" s="197"/>
      <c r="P57" s="261"/>
      <c r="Q57" s="261"/>
      <c r="R57" s="261"/>
      <c r="S57" s="261"/>
      <c r="T57" s="261"/>
      <c r="U57" s="32"/>
      <c r="V57" s="244"/>
      <c r="W57" s="244"/>
      <c r="X57" s="244"/>
      <c r="Y57" s="244"/>
      <c r="Z57" s="244"/>
      <c r="AA57" s="249"/>
      <c r="AB57" s="249"/>
      <c r="AC57" s="249"/>
      <c r="AD57" s="249"/>
    </row>
    <row r="59" spans="1:30" x14ac:dyDescent="0.35">
      <c r="A59" s="307" t="s">
        <v>89</v>
      </c>
      <c r="B59" s="308"/>
      <c r="C59" s="308"/>
      <c r="D59" s="308"/>
      <c r="E59" s="309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</row>
    <row r="60" spans="1:30" x14ac:dyDescent="0.35">
      <c r="A60" s="28"/>
      <c r="B60" s="26"/>
      <c r="C60" s="250" t="s">
        <v>36</v>
      </c>
      <c r="D60" s="250" t="s">
        <v>75</v>
      </c>
      <c r="E60" s="257" t="s">
        <v>37</v>
      </c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</row>
    <row r="61" spans="1:30" x14ac:dyDescent="0.35">
      <c r="A61" s="29" t="s">
        <v>90</v>
      </c>
      <c r="B61" s="8"/>
      <c r="C61" s="14">
        <f>(G54/100)/G45</f>
        <v>0.43666292639568999</v>
      </c>
      <c r="D61" s="14">
        <f>(AVERAGE(M54:M55)/100)/AVERAGE(M45:M46)</f>
        <v>0.43662035970732299</v>
      </c>
      <c r="E61" s="27">
        <f>(U54/100)/U45</f>
        <v>0.43669112869100379</v>
      </c>
      <c r="F61" s="244"/>
      <c r="G61" s="244">
        <f>1/0.4964</f>
        <v>2.0145044319097503</v>
      </c>
      <c r="H61" s="244"/>
      <c r="I61" s="3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</row>
    <row r="62" spans="1:30" x14ac:dyDescent="0.35">
      <c r="A62" s="37" t="s">
        <v>91</v>
      </c>
      <c r="B62" s="38"/>
      <c r="C62" s="39">
        <f>C61*2</f>
        <v>0.87332585279137998</v>
      </c>
      <c r="D62" s="39">
        <f t="shared" ref="D62:E62" si="0">D61*2</f>
        <v>0.87324071941464598</v>
      </c>
      <c r="E62" s="40">
        <f t="shared" si="0"/>
        <v>0.87338225738200759</v>
      </c>
      <c r="F62" s="244"/>
      <c r="G62" s="244">
        <f>1/C61</f>
        <v>2.2900959517085999</v>
      </c>
      <c r="H62" s="244"/>
      <c r="I62" s="3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</row>
    <row r="64" spans="1:30" x14ac:dyDescent="0.35">
      <c r="A64" s="307" t="s">
        <v>92</v>
      </c>
      <c r="B64" s="308"/>
      <c r="C64" s="308"/>
      <c r="D64" s="308"/>
      <c r="E64" s="308"/>
      <c r="F64" s="308"/>
      <c r="G64" s="309"/>
      <c r="H64" s="1"/>
      <c r="I64" s="1"/>
      <c r="J64" s="1"/>
      <c r="K64" s="1"/>
      <c r="L64" s="1"/>
      <c r="M64" s="1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</row>
    <row r="65" spans="1:30" s="6" customFormat="1" x14ac:dyDescent="0.35">
      <c r="A65" s="310" t="s">
        <v>36</v>
      </c>
      <c r="B65" s="278"/>
      <c r="C65" s="278"/>
      <c r="D65" s="302"/>
      <c r="E65" s="310" t="s">
        <v>93</v>
      </c>
      <c r="F65" s="278"/>
      <c r="G65" s="302"/>
      <c r="H65" s="1"/>
      <c r="I65" s="1"/>
      <c r="J65" s="1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</row>
    <row r="66" spans="1:30" x14ac:dyDescent="0.35">
      <c r="A66" s="29" t="s">
        <v>94</v>
      </c>
      <c r="B66" s="249"/>
      <c r="C66" s="249" t="s">
        <v>47</v>
      </c>
      <c r="D66" s="258" t="s">
        <v>48</v>
      </c>
      <c r="E66" s="29"/>
      <c r="F66" s="249" t="s">
        <v>47</v>
      </c>
      <c r="G66" s="258" t="s">
        <v>48</v>
      </c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</row>
    <row r="67" spans="1:30" ht="58" x14ac:dyDescent="0.35">
      <c r="A67" s="253" t="s">
        <v>95</v>
      </c>
      <c r="B67" s="249" t="s">
        <v>12</v>
      </c>
      <c r="C67" s="18">
        <v>-4.9957359999999999E-2</v>
      </c>
      <c r="D67" s="31">
        <v>4.641633E-6</v>
      </c>
      <c r="E67" s="253" t="s">
        <v>96</v>
      </c>
      <c r="F67" s="263">
        <v>8.5795329999999997E-5</v>
      </c>
      <c r="G67" s="31">
        <v>3.8858180000000002E-7</v>
      </c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</row>
    <row r="68" spans="1:30" ht="29" x14ac:dyDescent="0.35">
      <c r="A68" s="253" t="s">
        <v>97</v>
      </c>
      <c r="B68" s="249" t="s">
        <v>35</v>
      </c>
      <c r="C68" s="263">
        <v>-9.9784070000000002E-2</v>
      </c>
      <c r="D68" s="31">
        <v>1.4461260000000001E-6</v>
      </c>
      <c r="E68" s="29" t="s">
        <v>98</v>
      </c>
      <c r="F68" s="263">
        <v>1.7292349999999999E-4</v>
      </c>
      <c r="G68" s="31">
        <v>3.8838139999999998E-7</v>
      </c>
      <c r="H68" s="244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</row>
    <row r="69" spans="1:30" x14ac:dyDescent="0.35">
      <c r="A69" s="29" t="s">
        <v>90</v>
      </c>
      <c r="B69" s="249"/>
      <c r="C69" s="9">
        <f>C67/C68</f>
        <v>0.50065466361514421</v>
      </c>
      <c r="D69" s="258"/>
      <c r="E69" s="29" t="s">
        <v>90</v>
      </c>
      <c r="F69" s="33">
        <f>F67/F68</f>
        <v>0.4961461571157188</v>
      </c>
      <c r="G69" s="258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</row>
    <row r="70" spans="1:30" s="6" customFormat="1" ht="29" x14ac:dyDescent="0.35">
      <c r="A70" s="253" t="s">
        <v>99</v>
      </c>
      <c r="B70" s="249" t="s">
        <v>12</v>
      </c>
      <c r="C70" s="13">
        <v>4.9434029999999997E-2</v>
      </c>
      <c r="D70" s="31">
        <v>2.8110490000000001E-6</v>
      </c>
      <c r="E70" s="29"/>
      <c r="F70" s="249"/>
      <c r="G70" s="258"/>
      <c r="H70" s="244"/>
      <c r="I70" s="244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</row>
    <row r="71" spans="1:30" s="6" customFormat="1" ht="29" x14ac:dyDescent="0.35">
      <c r="A71" s="253" t="s">
        <v>97</v>
      </c>
      <c r="B71" s="249" t="s">
        <v>35</v>
      </c>
      <c r="C71" s="263">
        <v>9.9779229999999997E-2</v>
      </c>
      <c r="D71" s="31">
        <v>7.6253039999999998E-6</v>
      </c>
      <c r="E71" s="29"/>
      <c r="F71" s="249"/>
      <c r="G71" s="258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</row>
    <row r="72" spans="1:30" x14ac:dyDescent="0.35">
      <c r="A72" s="30" t="s">
        <v>90</v>
      </c>
      <c r="B72" s="261"/>
      <c r="C72" s="34">
        <f>C70/C71</f>
        <v>0.49543406979588839</v>
      </c>
      <c r="D72" s="32"/>
      <c r="E72" s="30"/>
      <c r="F72" s="261"/>
      <c r="G72" s="32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</row>
  </sheetData>
  <mergeCells count="67">
    <mergeCell ref="A1:E1"/>
    <mergeCell ref="A59:E59"/>
    <mergeCell ref="A65:D65"/>
    <mergeCell ref="E65:G65"/>
    <mergeCell ref="A64:G64"/>
    <mergeCell ref="A56:A57"/>
    <mergeCell ref="A54:A55"/>
    <mergeCell ref="C32:F32"/>
    <mergeCell ref="Q49:U49"/>
    <mergeCell ref="O50:O52"/>
    <mergeCell ref="Q51:R52"/>
    <mergeCell ref="S51:T52"/>
    <mergeCell ref="U51:U52"/>
    <mergeCell ref="Q42:R43"/>
    <mergeCell ref="S42:T43"/>
    <mergeCell ref="Q40:U40"/>
    <mergeCell ref="A40:A46"/>
    <mergeCell ref="C40:F40"/>
    <mergeCell ref="I40:N40"/>
    <mergeCell ref="N41:N43"/>
    <mergeCell ref="C42:D43"/>
    <mergeCell ref="E42:F43"/>
    <mergeCell ref="G42:G43"/>
    <mergeCell ref="I42:J43"/>
    <mergeCell ref="K42:L43"/>
    <mergeCell ref="M42:M43"/>
    <mergeCell ref="U42:U43"/>
    <mergeCell ref="O41:O43"/>
    <mergeCell ref="I32:N32"/>
    <mergeCell ref="N33:N35"/>
    <mergeCell ref="A49:A53"/>
    <mergeCell ref="C49:F49"/>
    <mergeCell ref="I49:N49"/>
    <mergeCell ref="N50:N52"/>
    <mergeCell ref="C51:D52"/>
    <mergeCell ref="E51:F52"/>
    <mergeCell ref="G51:G52"/>
    <mergeCell ref="I51:J52"/>
    <mergeCell ref="K51:L52"/>
    <mergeCell ref="M51:M52"/>
    <mergeCell ref="C34:D35"/>
    <mergeCell ref="E34:F35"/>
    <mergeCell ref="I24:N24"/>
    <mergeCell ref="I2:N2"/>
    <mergeCell ref="I3:N3"/>
    <mergeCell ref="K4:L4"/>
    <mergeCell ref="M4:N4"/>
    <mergeCell ref="I4:J4"/>
    <mergeCell ref="I10:J10"/>
    <mergeCell ref="K13:N13"/>
    <mergeCell ref="M16:O16"/>
    <mergeCell ref="Q16:T16"/>
    <mergeCell ref="Q17:R17"/>
    <mergeCell ref="A32:A36"/>
    <mergeCell ref="I34:J35"/>
    <mergeCell ref="K34:L35"/>
    <mergeCell ref="I26:J27"/>
    <mergeCell ref="K26:L27"/>
    <mergeCell ref="C24:F24"/>
    <mergeCell ref="G34:G35"/>
    <mergeCell ref="A24:A30"/>
    <mergeCell ref="C26:D27"/>
    <mergeCell ref="E26:F27"/>
    <mergeCell ref="G26:G27"/>
    <mergeCell ref="M34:M35"/>
    <mergeCell ref="M26:M27"/>
    <mergeCell ref="N25:N27"/>
  </mergeCells>
  <pageMargins left="0.25" right="0.25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7"/>
  <sheetViews>
    <sheetView topLeftCell="A31" zoomScale="70" zoomScaleNormal="70" workbookViewId="0">
      <selection activeCell="V31" sqref="V31"/>
    </sheetView>
  </sheetViews>
  <sheetFormatPr defaultColWidth="9.1796875" defaultRowHeight="14.5" x14ac:dyDescent="0.35"/>
  <cols>
    <col min="1" max="1" width="39.26953125" style="20" customWidth="1"/>
    <col min="2" max="2" width="3.453125" style="20" customWidth="1"/>
    <col min="3" max="3" width="18.81640625" style="20" bestFit="1" customWidth="1"/>
    <col min="4" max="4" width="19.453125" style="20" customWidth="1"/>
    <col min="5" max="5" width="16.453125" style="20" bestFit="1" customWidth="1"/>
    <col min="6" max="7" width="12.81640625" style="20" customWidth="1"/>
    <col min="8" max="8" width="3.453125" style="20" customWidth="1"/>
    <col min="9" max="9" width="16.453125" style="20" bestFit="1" customWidth="1"/>
    <col min="10" max="13" width="12.81640625" style="20" customWidth="1"/>
    <col min="14" max="14" width="15.81640625" style="20" customWidth="1"/>
    <col min="15" max="15" width="21.26953125" style="20" customWidth="1"/>
    <col min="16" max="16" width="3.453125" style="20" customWidth="1"/>
    <col min="17" max="17" width="15.1796875" style="20" bestFit="1" customWidth="1"/>
    <col min="18" max="18" width="12.81640625" style="20" customWidth="1"/>
    <col min="19" max="19" width="16.453125" style="20" bestFit="1" customWidth="1"/>
    <col min="20" max="21" width="12.81640625" style="20" customWidth="1"/>
    <col min="22" max="22" width="13.1796875" style="20" customWidth="1"/>
    <col min="23" max="16384" width="9.1796875" style="20"/>
  </cols>
  <sheetData>
    <row r="1" spans="1:14" x14ac:dyDescent="0.35">
      <c r="A1" s="244" t="s">
        <v>100</v>
      </c>
      <c r="B1" s="244"/>
      <c r="C1" s="244">
        <v>23.9</v>
      </c>
      <c r="D1" s="244"/>
      <c r="E1" s="244"/>
      <c r="F1" s="244"/>
      <c r="G1" s="244"/>
      <c r="H1" s="244"/>
      <c r="I1" s="272"/>
      <c r="J1" s="272"/>
      <c r="K1" s="272"/>
      <c r="L1" s="272"/>
      <c r="M1" s="272"/>
      <c r="N1" s="272"/>
    </row>
    <row r="2" spans="1:14" x14ac:dyDescent="0.35">
      <c r="A2" s="244" t="s">
        <v>101</v>
      </c>
      <c r="B2" s="244"/>
      <c r="C2" s="244">
        <v>52.5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1:14" x14ac:dyDescent="0.35">
      <c r="A3" s="244" t="s">
        <v>0</v>
      </c>
      <c r="B3" s="244"/>
      <c r="C3" s="262">
        <v>3502</v>
      </c>
      <c r="D3" s="262" t="s">
        <v>1</v>
      </c>
      <c r="E3" s="244" t="s">
        <v>102</v>
      </c>
      <c r="F3" s="244"/>
      <c r="G3" s="244"/>
      <c r="H3" s="244"/>
      <c r="I3" s="272"/>
      <c r="J3" s="272"/>
      <c r="K3" s="313"/>
      <c r="L3" s="313"/>
      <c r="M3" s="314"/>
      <c r="N3" s="314"/>
    </row>
    <row r="4" spans="1:14" x14ac:dyDescent="0.35">
      <c r="A4" s="244" t="s">
        <v>2</v>
      </c>
      <c r="B4" s="244"/>
      <c r="C4" s="244" t="s">
        <v>3</v>
      </c>
      <c r="D4" s="244">
        <v>1000</v>
      </c>
      <c r="E4" s="244" t="s">
        <v>5</v>
      </c>
      <c r="F4" s="244"/>
      <c r="G4" s="244"/>
      <c r="H4" s="244"/>
      <c r="I4" s="244"/>
      <c r="J4" s="244"/>
      <c r="K4" s="244"/>
      <c r="L4" s="244"/>
      <c r="M4" s="244"/>
      <c r="N4" s="244"/>
    </row>
    <row r="5" spans="1:14" x14ac:dyDescent="0.35">
      <c r="A5" s="272" t="s">
        <v>6</v>
      </c>
      <c r="B5" s="272"/>
      <c r="C5" s="272"/>
      <c r="D5" s="272"/>
      <c r="E5" s="244"/>
      <c r="F5" s="244"/>
      <c r="G5" s="244"/>
      <c r="H5" s="244"/>
      <c r="I5" s="244"/>
      <c r="J5" s="244"/>
      <c r="K5" s="244"/>
      <c r="L5" s="21"/>
      <c r="M5" s="244"/>
      <c r="N5" s="21"/>
    </row>
    <row r="6" spans="1:14" x14ac:dyDescent="0.35">
      <c r="A6" s="244" t="s">
        <v>7</v>
      </c>
      <c r="B6" s="244"/>
      <c r="C6" s="244">
        <v>7214</v>
      </c>
      <c r="D6" s="244"/>
      <c r="E6" s="244"/>
      <c r="F6" s="244"/>
      <c r="G6" s="244"/>
      <c r="H6" s="244"/>
      <c r="I6" s="244"/>
      <c r="J6" s="244"/>
      <c r="K6" s="244"/>
      <c r="L6" s="268"/>
      <c r="M6" s="244"/>
      <c r="N6" s="268"/>
    </row>
    <row r="7" spans="1:14" x14ac:dyDescent="0.35">
      <c r="A7" s="244" t="s">
        <v>8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68"/>
      <c r="M7" s="244"/>
      <c r="N7" s="268"/>
    </row>
    <row r="8" spans="1:14" x14ac:dyDescent="0.35">
      <c r="A8" s="244" t="s">
        <v>9</v>
      </c>
      <c r="B8" s="244"/>
      <c r="C8" s="244" t="s">
        <v>65</v>
      </c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</row>
    <row r="9" spans="1:14" x14ac:dyDescent="0.35">
      <c r="A9" s="244" t="s">
        <v>10</v>
      </c>
      <c r="B9" s="244"/>
      <c r="C9" s="244" t="s">
        <v>66</v>
      </c>
      <c r="D9" s="244"/>
      <c r="E9" s="244"/>
      <c r="F9" s="244"/>
      <c r="G9" s="244"/>
      <c r="H9" s="244"/>
      <c r="I9" s="244"/>
      <c r="J9" s="244"/>
      <c r="K9" s="244"/>
      <c r="L9" s="21"/>
      <c r="M9" s="244"/>
      <c r="N9" s="21"/>
    </row>
    <row r="10" spans="1:14" x14ac:dyDescent="0.35">
      <c r="A10" s="244" t="s">
        <v>11</v>
      </c>
      <c r="B10" s="244"/>
      <c r="C10" s="244" t="s">
        <v>12</v>
      </c>
      <c r="D10" s="244"/>
      <c r="E10" s="244"/>
      <c r="F10" s="244"/>
      <c r="G10" s="244"/>
      <c r="H10" s="244"/>
      <c r="I10" s="244"/>
      <c r="J10" s="244"/>
      <c r="K10" s="244"/>
      <c r="L10" s="21"/>
      <c r="M10" s="244"/>
      <c r="N10" s="21"/>
    </row>
    <row r="11" spans="1:14" x14ac:dyDescent="0.35">
      <c r="A11" s="244" t="s">
        <v>13</v>
      </c>
      <c r="B11" s="244"/>
      <c r="C11" s="244" t="s">
        <v>14</v>
      </c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</row>
    <row r="12" spans="1:14" x14ac:dyDescent="0.35">
      <c r="A12" s="244" t="s">
        <v>70</v>
      </c>
      <c r="B12" s="244"/>
      <c r="C12" s="244" t="s">
        <v>71</v>
      </c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14" x14ac:dyDescent="0.35">
      <c r="A13" s="244" t="s">
        <v>16</v>
      </c>
      <c r="B13" s="244"/>
      <c r="C13" s="244" t="s">
        <v>17</v>
      </c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</row>
    <row r="14" spans="1:14" x14ac:dyDescent="0.35">
      <c r="A14" s="244" t="s">
        <v>18</v>
      </c>
      <c r="B14" s="244"/>
      <c r="C14" s="244" t="s">
        <v>19</v>
      </c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</row>
    <row r="15" spans="1:14" x14ac:dyDescent="0.35">
      <c r="A15" s="244" t="s">
        <v>20</v>
      </c>
      <c r="B15" s="244"/>
      <c r="C15" s="244" t="s">
        <v>21</v>
      </c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</row>
    <row r="16" spans="1:14" x14ac:dyDescent="0.35">
      <c r="A16" s="244" t="s">
        <v>22</v>
      </c>
      <c r="B16" s="244"/>
      <c r="C16" s="244" t="s">
        <v>23</v>
      </c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</row>
    <row r="17" spans="1:22" x14ac:dyDescent="0.35">
      <c r="A17" s="244" t="s">
        <v>24</v>
      </c>
      <c r="B17" s="244"/>
      <c r="C17" s="244" t="s">
        <v>25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</row>
    <row r="18" spans="1:22" x14ac:dyDescent="0.35">
      <c r="A18" s="244" t="s">
        <v>26</v>
      </c>
      <c r="B18" s="244"/>
      <c r="C18" s="244" t="s">
        <v>27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</row>
    <row r="19" spans="1:22" x14ac:dyDescent="0.35">
      <c r="A19" s="244" t="s">
        <v>28</v>
      </c>
      <c r="B19" s="244"/>
      <c r="C19" s="244" t="s">
        <v>23</v>
      </c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</row>
    <row r="20" spans="1:22" x14ac:dyDescent="0.35">
      <c r="A20" s="244" t="s">
        <v>29</v>
      </c>
      <c r="B20" s="244"/>
      <c r="C20" s="244" t="s">
        <v>30</v>
      </c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</row>
    <row r="21" spans="1:22" x14ac:dyDescent="0.35">
      <c r="A21" s="244" t="s">
        <v>31</v>
      </c>
      <c r="B21" s="244"/>
      <c r="C21" s="244" t="s">
        <v>32</v>
      </c>
      <c r="D21" s="244" t="s">
        <v>103</v>
      </c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</row>
    <row r="22" spans="1:22" x14ac:dyDescent="0.35">
      <c r="A22" s="265" t="s">
        <v>33</v>
      </c>
      <c r="B22" s="265"/>
      <c r="C22" s="244" t="s">
        <v>104</v>
      </c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</row>
    <row r="23" spans="1:22" x14ac:dyDescent="0.35">
      <c r="A23" s="272" t="s">
        <v>105</v>
      </c>
      <c r="B23" s="265"/>
      <c r="C23" s="277" t="s">
        <v>106</v>
      </c>
      <c r="D23" s="277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</row>
    <row r="24" spans="1:22" s="35" customFormat="1" x14ac:dyDescent="0.35">
      <c r="A24" s="272"/>
      <c r="B24" s="265"/>
      <c r="C24" s="277" t="s">
        <v>107</v>
      </c>
      <c r="D24" s="277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</row>
    <row r="25" spans="1:22" x14ac:dyDescent="0.35">
      <c r="A25" s="265"/>
      <c r="B25" s="265"/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</row>
    <row r="26" spans="1:22" x14ac:dyDescent="0.35">
      <c r="A26" s="275" t="s">
        <v>108</v>
      </c>
      <c r="B26" s="247"/>
      <c r="C26" s="278" t="s">
        <v>36</v>
      </c>
      <c r="D26" s="278"/>
      <c r="E26" s="278"/>
      <c r="F26" s="278"/>
      <c r="G26" s="250"/>
      <c r="H26" s="250"/>
      <c r="I26" s="278" t="s">
        <v>109</v>
      </c>
      <c r="J26" s="278"/>
      <c r="K26" s="278"/>
      <c r="L26" s="278"/>
      <c r="M26" s="278"/>
      <c r="N26" s="278"/>
      <c r="O26" s="250"/>
      <c r="P26" s="247"/>
      <c r="Q26" s="278" t="s">
        <v>37</v>
      </c>
      <c r="R26" s="278"/>
      <c r="S26" s="278"/>
      <c r="T26" s="278"/>
      <c r="U26" s="278"/>
      <c r="V26" s="250"/>
    </row>
    <row r="27" spans="1:22" ht="15" customHeight="1" x14ac:dyDescent="0.35">
      <c r="A27" s="276"/>
      <c r="B27" s="248"/>
      <c r="C27" s="249" t="s">
        <v>39</v>
      </c>
      <c r="D27" s="249">
        <v>0.50782000000000005</v>
      </c>
      <c r="E27" s="249" t="s">
        <v>110</v>
      </c>
      <c r="F27" s="249">
        <v>200</v>
      </c>
      <c r="G27" s="249"/>
      <c r="H27" s="249"/>
      <c r="I27" s="249" t="s">
        <v>110</v>
      </c>
      <c r="J27" s="249">
        <v>200</v>
      </c>
      <c r="K27" s="249"/>
      <c r="L27" s="9"/>
      <c r="M27" s="249"/>
      <c r="N27" s="276" t="s">
        <v>41</v>
      </c>
      <c r="O27" s="276" t="s">
        <v>111</v>
      </c>
      <c r="P27" s="248"/>
      <c r="Q27" s="249" t="s">
        <v>39</v>
      </c>
      <c r="R27" s="249">
        <v>0.50793999999999995</v>
      </c>
      <c r="S27" s="249" t="s">
        <v>110</v>
      </c>
      <c r="T27" s="249">
        <v>10</v>
      </c>
      <c r="U27" s="249"/>
      <c r="V27" s="249"/>
    </row>
    <row r="28" spans="1:22" x14ac:dyDescent="0.35">
      <c r="A28" s="276"/>
      <c r="B28" s="248"/>
      <c r="C28" s="277" t="s">
        <v>42</v>
      </c>
      <c r="D28" s="277"/>
      <c r="E28" s="277" t="s">
        <v>43</v>
      </c>
      <c r="F28" s="277"/>
      <c r="G28" s="277" t="s">
        <v>44</v>
      </c>
      <c r="H28" s="249"/>
      <c r="I28" s="277" t="s">
        <v>42</v>
      </c>
      <c r="J28" s="277"/>
      <c r="K28" s="277" t="s">
        <v>43</v>
      </c>
      <c r="L28" s="277"/>
      <c r="M28" s="277" t="s">
        <v>44</v>
      </c>
      <c r="N28" s="276"/>
      <c r="O28" s="276"/>
      <c r="P28" s="248"/>
      <c r="Q28" s="277" t="s">
        <v>42</v>
      </c>
      <c r="R28" s="277"/>
      <c r="S28" s="277" t="s">
        <v>43</v>
      </c>
      <c r="T28" s="277"/>
      <c r="U28" s="277" t="s">
        <v>44</v>
      </c>
      <c r="V28" s="276" t="s">
        <v>112</v>
      </c>
    </row>
    <row r="29" spans="1:22" x14ac:dyDescent="0.35">
      <c r="A29" s="276"/>
      <c r="B29" s="248"/>
      <c r="C29" s="277"/>
      <c r="D29" s="277"/>
      <c r="E29" s="277"/>
      <c r="F29" s="277"/>
      <c r="G29" s="277"/>
      <c r="H29" s="249"/>
      <c r="I29" s="277"/>
      <c r="J29" s="277"/>
      <c r="K29" s="277"/>
      <c r="L29" s="277"/>
      <c r="M29" s="277"/>
      <c r="N29" s="276"/>
      <c r="O29" s="276"/>
      <c r="P29" s="248"/>
      <c r="Q29" s="277"/>
      <c r="R29" s="277"/>
      <c r="S29" s="277"/>
      <c r="T29" s="277"/>
      <c r="U29" s="277"/>
      <c r="V29" s="276"/>
    </row>
    <row r="30" spans="1:22" x14ac:dyDescent="0.35">
      <c r="A30" s="276"/>
      <c r="B30" s="248"/>
      <c r="C30" s="249" t="s">
        <v>47</v>
      </c>
      <c r="D30" s="249" t="s">
        <v>48</v>
      </c>
      <c r="E30" s="249" t="s">
        <v>47</v>
      </c>
      <c r="F30" s="249" t="s">
        <v>48</v>
      </c>
      <c r="G30" s="249"/>
      <c r="H30" s="249"/>
      <c r="I30" s="249" t="s">
        <v>47</v>
      </c>
      <c r="J30" s="249" t="s">
        <v>48</v>
      </c>
      <c r="K30" s="249" t="s">
        <v>86</v>
      </c>
      <c r="L30" s="249" t="s">
        <v>48</v>
      </c>
      <c r="M30" s="249"/>
      <c r="N30" s="249"/>
      <c r="O30" s="249"/>
      <c r="P30" s="248"/>
      <c r="Q30" s="249" t="s">
        <v>86</v>
      </c>
      <c r="R30" s="249" t="s">
        <v>48</v>
      </c>
      <c r="S30" s="249" t="s">
        <v>47</v>
      </c>
      <c r="T30" s="249" t="s">
        <v>48</v>
      </c>
      <c r="U30" s="277"/>
      <c r="V30" s="276"/>
    </row>
    <row r="31" spans="1:22" x14ac:dyDescent="0.35">
      <c r="A31" s="276"/>
      <c r="B31" s="248"/>
      <c r="C31" s="18"/>
      <c r="D31" s="263"/>
      <c r="E31" s="263"/>
      <c r="F31" s="263"/>
      <c r="G31" s="263">
        <f>C31-E31</f>
        <v>0</v>
      </c>
      <c r="H31" s="277">
        <v>1</v>
      </c>
      <c r="I31" s="263">
        <v>4.7129079999999997</v>
      </c>
      <c r="J31" s="263">
        <v>1.3657669999999999E-3</v>
      </c>
      <c r="K31" s="263"/>
      <c r="L31" s="263"/>
      <c r="M31" s="263">
        <f>I31-K31</f>
        <v>4.7129079999999997</v>
      </c>
      <c r="N31" s="42" t="e">
        <f>$D$27*$D$4*(M31/G31)</f>
        <v>#DIV/0!</v>
      </c>
      <c r="O31" s="41">
        <f>$R$27*$D$4*(M31/U31)</f>
        <v>445.51155017109392</v>
      </c>
      <c r="P31" s="276">
        <v>3</v>
      </c>
      <c r="Q31" s="18">
        <v>5.3743259999999999</v>
      </c>
      <c r="R31" s="263">
        <v>6.4987080000000004E-4</v>
      </c>
      <c r="S31" s="263">
        <v>1.009666E-3</v>
      </c>
      <c r="T31" s="263">
        <v>3.5795979999999998E-4</v>
      </c>
      <c r="U31" s="263">
        <f>Q31-S31</f>
        <v>5.3733163340000001</v>
      </c>
      <c r="V31" s="249">
        <f>U31/(J27/T27)</f>
        <v>0.2686658167</v>
      </c>
    </row>
    <row r="32" spans="1:22" x14ac:dyDescent="0.35">
      <c r="A32" s="276"/>
      <c r="B32" s="248"/>
      <c r="C32" s="18"/>
      <c r="D32" s="263"/>
      <c r="E32" s="263"/>
      <c r="F32" s="263"/>
      <c r="G32" s="263">
        <f>C32-E32</f>
        <v>0</v>
      </c>
      <c r="H32" s="277"/>
      <c r="I32" s="263" t="s">
        <v>113</v>
      </c>
      <c r="J32" s="263"/>
      <c r="K32" s="263"/>
      <c r="L32" s="263"/>
      <c r="M32" s="263"/>
      <c r="N32" s="42"/>
      <c r="O32" s="41"/>
      <c r="P32" s="276"/>
      <c r="Q32" s="263" t="s">
        <v>114</v>
      </c>
      <c r="R32" s="249"/>
      <c r="S32" s="249"/>
      <c r="T32" s="249"/>
      <c r="U32" s="263" t="e">
        <f>Q32-S32</f>
        <v>#VALUE!</v>
      </c>
      <c r="V32" s="249"/>
    </row>
    <row r="33" spans="1:22" s="36" customFormat="1" x14ac:dyDescent="0.35">
      <c r="A33" s="276"/>
      <c r="B33" s="249"/>
      <c r="C33" s="249"/>
      <c r="D33" s="249"/>
      <c r="E33" s="249"/>
      <c r="F33" s="249"/>
      <c r="G33" s="249"/>
      <c r="H33" s="277">
        <v>2</v>
      </c>
      <c r="I33" s="249">
        <v>4.7255330000000004</v>
      </c>
      <c r="J33" s="263">
        <v>4.051921E-3</v>
      </c>
      <c r="K33" s="263">
        <v>6.3582869999999998E-3</v>
      </c>
      <c r="L33" s="263">
        <v>1.17607E-3</v>
      </c>
      <c r="M33" s="263">
        <f>I33-K33</f>
        <v>4.7191747130000001</v>
      </c>
      <c r="N33" s="41" t="e">
        <f>$D$27*$D$4*(M33/G31)</f>
        <v>#DIV/0!</v>
      </c>
      <c r="O33" s="48">
        <f>$R$27*$D$4*(M33/V31)</f>
        <v>8922.0788605118432</v>
      </c>
      <c r="P33" s="249"/>
      <c r="Q33" s="249"/>
      <c r="R33" s="249"/>
      <c r="S33" s="249"/>
      <c r="T33" s="249"/>
      <c r="U33" s="249"/>
      <c r="V33" s="249"/>
    </row>
    <row r="34" spans="1:22" x14ac:dyDescent="0.35">
      <c r="A34" s="279"/>
      <c r="B34" s="261"/>
      <c r="C34" s="261"/>
      <c r="D34" s="261"/>
      <c r="E34" s="261"/>
      <c r="F34" s="261"/>
      <c r="G34" s="261"/>
      <c r="H34" s="312"/>
      <c r="I34" s="11" t="s">
        <v>115</v>
      </c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</row>
    <row r="37" spans="1:22" s="35" customFormat="1" x14ac:dyDescent="0.35">
      <c r="A37" s="275" t="s">
        <v>116</v>
      </c>
      <c r="B37" s="247"/>
      <c r="C37" s="278" t="s">
        <v>36</v>
      </c>
      <c r="D37" s="278"/>
      <c r="E37" s="278"/>
      <c r="F37" s="278"/>
      <c r="G37" s="250"/>
      <c r="H37" s="250"/>
      <c r="I37" s="278" t="s">
        <v>109</v>
      </c>
      <c r="J37" s="278"/>
      <c r="K37" s="278"/>
      <c r="L37" s="278"/>
      <c r="M37" s="278"/>
      <c r="N37" s="278"/>
      <c r="O37" s="250"/>
      <c r="P37" s="247"/>
      <c r="Q37" s="278" t="s">
        <v>37</v>
      </c>
      <c r="R37" s="278"/>
      <c r="S37" s="278"/>
      <c r="T37" s="278"/>
      <c r="U37" s="278"/>
      <c r="V37" s="250"/>
    </row>
    <row r="38" spans="1:22" s="35" customFormat="1" ht="15" customHeight="1" x14ac:dyDescent="0.35">
      <c r="A38" s="276"/>
      <c r="B38" s="248"/>
      <c r="C38" s="249" t="s">
        <v>39</v>
      </c>
      <c r="D38" s="249">
        <v>0.50782000000000005</v>
      </c>
      <c r="E38" s="249" t="s">
        <v>110</v>
      </c>
      <c r="F38" s="249">
        <v>200</v>
      </c>
      <c r="G38" s="249"/>
      <c r="H38" s="249"/>
      <c r="I38" s="249" t="s">
        <v>110</v>
      </c>
      <c r="J38" s="249">
        <v>500</v>
      </c>
      <c r="K38" s="249"/>
      <c r="L38" s="9"/>
      <c r="M38" s="249"/>
      <c r="N38" s="276" t="s">
        <v>41</v>
      </c>
      <c r="O38" s="276" t="s">
        <v>111</v>
      </c>
      <c r="P38" s="248"/>
      <c r="Q38" s="249" t="s">
        <v>39</v>
      </c>
      <c r="R38" s="249">
        <v>0.50793999999999995</v>
      </c>
      <c r="S38" s="249" t="s">
        <v>110</v>
      </c>
      <c r="T38" s="249">
        <v>500</v>
      </c>
      <c r="U38" s="249"/>
      <c r="V38" s="249"/>
    </row>
    <row r="39" spans="1:22" s="35" customFormat="1" x14ac:dyDescent="0.35">
      <c r="A39" s="276"/>
      <c r="B39" s="248"/>
      <c r="C39" s="277" t="s">
        <v>42</v>
      </c>
      <c r="D39" s="277"/>
      <c r="E39" s="277" t="s">
        <v>43</v>
      </c>
      <c r="F39" s="277"/>
      <c r="G39" s="277" t="s">
        <v>44</v>
      </c>
      <c r="H39" s="249"/>
      <c r="I39" s="277" t="s">
        <v>42</v>
      </c>
      <c r="J39" s="277"/>
      <c r="K39" s="277" t="s">
        <v>43</v>
      </c>
      <c r="L39" s="277"/>
      <c r="M39" s="277" t="s">
        <v>44</v>
      </c>
      <c r="N39" s="276"/>
      <c r="O39" s="276"/>
      <c r="P39" s="248"/>
      <c r="Q39" s="277" t="s">
        <v>42</v>
      </c>
      <c r="R39" s="277"/>
      <c r="S39" s="277" t="s">
        <v>43</v>
      </c>
      <c r="T39" s="277"/>
      <c r="U39" s="277" t="s">
        <v>44</v>
      </c>
      <c r="V39" s="276" t="s">
        <v>112</v>
      </c>
    </row>
    <row r="40" spans="1:22" s="35" customFormat="1" x14ac:dyDescent="0.35">
      <c r="A40" s="276"/>
      <c r="B40" s="248"/>
      <c r="C40" s="277"/>
      <c r="D40" s="277"/>
      <c r="E40" s="277"/>
      <c r="F40" s="277"/>
      <c r="G40" s="277"/>
      <c r="H40" s="249"/>
      <c r="I40" s="277"/>
      <c r="J40" s="277"/>
      <c r="K40" s="277"/>
      <c r="L40" s="277"/>
      <c r="M40" s="277"/>
      <c r="N40" s="276"/>
      <c r="O40" s="276"/>
      <c r="P40" s="248"/>
      <c r="Q40" s="277"/>
      <c r="R40" s="277"/>
      <c r="S40" s="277"/>
      <c r="T40" s="277"/>
      <c r="U40" s="277"/>
      <c r="V40" s="276"/>
    </row>
    <row r="41" spans="1:22" s="35" customFormat="1" x14ac:dyDescent="0.35">
      <c r="A41" s="276"/>
      <c r="B41" s="248"/>
      <c r="C41" s="249" t="s">
        <v>47</v>
      </c>
      <c r="D41" s="249" t="s">
        <v>48</v>
      </c>
      <c r="E41" s="249" t="s">
        <v>47</v>
      </c>
      <c r="F41" s="249" t="s">
        <v>48</v>
      </c>
      <c r="G41" s="249"/>
      <c r="H41" s="249"/>
      <c r="I41" s="249" t="s">
        <v>117</v>
      </c>
      <c r="J41" s="249" t="s">
        <v>48</v>
      </c>
      <c r="K41" s="249" t="s">
        <v>86</v>
      </c>
      <c r="L41" s="249" t="s">
        <v>48</v>
      </c>
      <c r="M41" s="249"/>
      <c r="N41" s="249"/>
      <c r="O41" s="249"/>
      <c r="P41" s="248"/>
      <c r="Q41" s="249" t="s">
        <v>117</v>
      </c>
      <c r="R41" s="249" t="s">
        <v>48</v>
      </c>
      <c r="S41" s="249" t="s">
        <v>47</v>
      </c>
      <c r="T41" s="249" t="s">
        <v>48</v>
      </c>
      <c r="U41" s="277"/>
      <c r="V41" s="276"/>
    </row>
    <row r="42" spans="1:22" s="35" customFormat="1" x14ac:dyDescent="0.35">
      <c r="A42" s="276"/>
      <c r="B42" s="248"/>
      <c r="C42" s="18"/>
      <c r="D42" s="263"/>
      <c r="E42" s="263"/>
      <c r="F42" s="263"/>
      <c r="G42" s="263">
        <f>C42-E42</f>
        <v>0</v>
      </c>
      <c r="H42" s="277">
        <v>1</v>
      </c>
      <c r="I42" s="249">
        <v>0.19719999999999999</v>
      </c>
      <c r="J42" s="263"/>
      <c r="K42" s="263"/>
      <c r="L42" s="263"/>
      <c r="M42" s="263">
        <f>I42-K42</f>
        <v>0.19719999999999999</v>
      </c>
      <c r="N42" s="42" t="e">
        <f>$D$27*$D$4*(M42/G42)</f>
        <v>#DIV/0!</v>
      </c>
      <c r="O42" s="48">
        <f>$R$27*$D$4*(M42/U42)</f>
        <v>14107.854647887321</v>
      </c>
      <c r="P42" s="276">
        <v>2</v>
      </c>
      <c r="Q42" s="18">
        <v>7.1000000000000004E-3</v>
      </c>
      <c r="R42" s="263"/>
      <c r="S42" s="263"/>
      <c r="T42" s="263"/>
      <c r="U42" s="263">
        <f>Q42-S42</f>
        <v>7.1000000000000004E-3</v>
      </c>
      <c r="V42" s="249">
        <f>U42/(J38/T38)</f>
        <v>7.1000000000000004E-3</v>
      </c>
    </row>
    <row r="43" spans="1:22" s="35" customFormat="1" x14ac:dyDescent="0.35">
      <c r="A43" s="279"/>
      <c r="B43" s="251"/>
      <c r="C43" s="10"/>
      <c r="D43" s="11"/>
      <c r="E43" s="11"/>
      <c r="F43" s="11"/>
      <c r="G43" s="11">
        <f>C43-E43</f>
        <v>0</v>
      </c>
      <c r="H43" s="312"/>
      <c r="I43" s="261"/>
      <c r="J43" s="11"/>
      <c r="K43" s="11"/>
      <c r="L43" s="11"/>
      <c r="M43" s="11"/>
      <c r="N43" s="43"/>
      <c r="O43" s="44"/>
      <c r="P43" s="279"/>
      <c r="Q43" s="11"/>
      <c r="R43" s="261"/>
      <c r="S43" s="261"/>
      <c r="T43" s="261"/>
      <c r="U43" s="11">
        <f>Q43-S43</f>
        <v>0</v>
      </c>
      <c r="V43" s="261"/>
    </row>
    <row r="44" spans="1:22" s="36" customFormat="1" x14ac:dyDescent="0.35">
      <c r="A44" s="249"/>
      <c r="B44" s="249"/>
      <c r="C44" s="249"/>
      <c r="D44" s="249"/>
      <c r="E44" s="249"/>
      <c r="F44" s="249"/>
      <c r="G44" s="249"/>
      <c r="H44" s="26"/>
      <c r="I44" s="249"/>
      <c r="J44" s="263"/>
      <c r="K44" s="263"/>
      <c r="L44" s="263"/>
      <c r="M44" s="263"/>
      <c r="N44" s="41"/>
      <c r="O44" s="47"/>
      <c r="P44" s="249"/>
      <c r="Q44" s="249"/>
      <c r="R44" s="249"/>
      <c r="S44" s="249"/>
      <c r="T44" s="249"/>
      <c r="U44" s="249"/>
      <c r="V44" s="249"/>
    </row>
    <row r="45" spans="1:22" s="35" customFormat="1" x14ac:dyDescent="0.35">
      <c r="A45" s="275" t="s">
        <v>118</v>
      </c>
      <c r="B45" s="247"/>
      <c r="C45" s="278" t="s">
        <v>36</v>
      </c>
      <c r="D45" s="278"/>
      <c r="E45" s="278"/>
      <c r="F45" s="278"/>
      <c r="G45" s="250"/>
      <c r="H45" s="26"/>
      <c r="I45" s="278" t="s">
        <v>109</v>
      </c>
      <c r="J45" s="278"/>
      <c r="K45" s="278"/>
      <c r="L45" s="278"/>
      <c r="M45" s="278"/>
      <c r="N45" s="278"/>
      <c r="O45" s="250"/>
      <c r="P45" s="247"/>
      <c r="Q45" s="278" t="s">
        <v>37</v>
      </c>
      <c r="R45" s="278"/>
      <c r="S45" s="278"/>
      <c r="T45" s="278"/>
      <c r="U45" s="278"/>
      <c r="V45" s="250"/>
    </row>
    <row r="46" spans="1:22" s="35" customFormat="1" ht="15" customHeight="1" x14ac:dyDescent="0.35">
      <c r="A46" s="276"/>
      <c r="B46" s="248"/>
      <c r="C46" s="249" t="s">
        <v>39</v>
      </c>
      <c r="D46" s="249">
        <v>0.50782000000000005</v>
      </c>
      <c r="E46" s="249" t="s">
        <v>110</v>
      </c>
      <c r="F46" s="249">
        <v>200</v>
      </c>
      <c r="G46" s="249"/>
      <c r="H46" s="249"/>
      <c r="I46" s="249" t="s">
        <v>110</v>
      </c>
      <c r="J46" s="249">
        <v>500</v>
      </c>
      <c r="K46" s="249"/>
      <c r="L46" s="9"/>
      <c r="M46" s="249"/>
      <c r="N46" s="276" t="s">
        <v>41</v>
      </c>
      <c r="O46" s="276" t="s">
        <v>111</v>
      </c>
      <c r="P46" s="248"/>
      <c r="Q46" s="249" t="s">
        <v>39</v>
      </c>
      <c r="R46" s="249">
        <v>0.50793999999999995</v>
      </c>
      <c r="S46" s="249" t="s">
        <v>110</v>
      </c>
      <c r="T46" s="249">
        <v>500</v>
      </c>
      <c r="U46" s="249"/>
      <c r="V46" s="249"/>
    </row>
    <row r="47" spans="1:22" s="35" customFormat="1" x14ac:dyDescent="0.35">
      <c r="A47" s="276"/>
      <c r="B47" s="248"/>
      <c r="C47" s="277" t="s">
        <v>42</v>
      </c>
      <c r="D47" s="277"/>
      <c r="E47" s="277" t="s">
        <v>43</v>
      </c>
      <c r="F47" s="277"/>
      <c r="G47" s="277" t="s">
        <v>44</v>
      </c>
      <c r="H47" s="249"/>
      <c r="I47" s="277" t="s">
        <v>42</v>
      </c>
      <c r="J47" s="277"/>
      <c r="K47" s="277" t="s">
        <v>43</v>
      </c>
      <c r="L47" s="277"/>
      <c r="M47" s="277" t="s">
        <v>44</v>
      </c>
      <c r="N47" s="276"/>
      <c r="O47" s="276"/>
      <c r="P47" s="248"/>
      <c r="Q47" s="277" t="s">
        <v>42</v>
      </c>
      <c r="R47" s="277"/>
      <c r="S47" s="277" t="s">
        <v>43</v>
      </c>
      <c r="T47" s="277"/>
      <c r="U47" s="277" t="s">
        <v>44</v>
      </c>
      <c r="V47" s="276" t="s">
        <v>112</v>
      </c>
    </row>
    <row r="48" spans="1:22" s="35" customFormat="1" x14ac:dyDescent="0.35">
      <c r="A48" s="276"/>
      <c r="B48" s="248"/>
      <c r="C48" s="277"/>
      <c r="D48" s="277"/>
      <c r="E48" s="277"/>
      <c r="F48" s="277"/>
      <c r="G48" s="277"/>
      <c r="H48" s="249"/>
      <c r="I48" s="277"/>
      <c r="J48" s="277"/>
      <c r="K48" s="277"/>
      <c r="L48" s="277"/>
      <c r="M48" s="277"/>
      <c r="N48" s="276"/>
      <c r="O48" s="276"/>
      <c r="P48" s="248"/>
      <c r="Q48" s="277"/>
      <c r="R48" s="277"/>
      <c r="S48" s="277"/>
      <c r="T48" s="277"/>
      <c r="U48" s="277"/>
      <c r="V48" s="276"/>
    </row>
    <row r="49" spans="1:22" s="35" customFormat="1" x14ac:dyDescent="0.35">
      <c r="A49" s="276"/>
      <c r="B49" s="248"/>
      <c r="C49" s="249" t="s">
        <v>47</v>
      </c>
      <c r="D49" s="249" t="s">
        <v>48</v>
      </c>
      <c r="E49" s="249" t="s">
        <v>47</v>
      </c>
      <c r="F49" s="249" t="s">
        <v>48</v>
      </c>
      <c r="G49" s="249"/>
      <c r="H49" s="249"/>
      <c r="I49" s="249" t="s">
        <v>117</v>
      </c>
      <c r="J49" s="249" t="s">
        <v>48</v>
      </c>
      <c r="K49" s="249" t="s">
        <v>86</v>
      </c>
      <c r="L49" s="249" t="s">
        <v>48</v>
      </c>
      <c r="M49" s="249"/>
      <c r="N49" s="249"/>
      <c r="O49" s="249"/>
      <c r="P49" s="248"/>
      <c r="Q49" s="249" t="s">
        <v>117</v>
      </c>
      <c r="R49" s="249" t="s">
        <v>48</v>
      </c>
      <c r="S49" s="249" t="s">
        <v>47</v>
      </c>
      <c r="T49" s="249" t="s">
        <v>48</v>
      </c>
      <c r="U49" s="277"/>
      <c r="V49" s="276"/>
    </row>
    <row r="50" spans="1:22" s="35" customFormat="1" x14ac:dyDescent="0.35">
      <c r="A50" s="276"/>
      <c r="B50" s="248"/>
      <c r="C50" s="18"/>
      <c r="D50" s="263"/>
      <c r="E50" s="263"/>
      <c r="F50" s="263"/>
      <c r="G50" s="263">
        <f>C50-E50</f>
        <v>0</v>
      </c>
      <c r="H50" s="277">
        <v>1</v>
      </c>
      <c r="I50" s="249">
        <v>0.246</v>
      </c>
      <c r="J50" s="263"/>
      <c r="K50" s="263"/>
      <c r="L50" s="263"/>
      <c r="M50" s="263">
        <f>I50-K50</f>
        <v>0.246</v>
      </c>
      <c r="N50" s="42" t="e">
        <f>$D$27*$D$4*(M50/G50)</f>
        <v>#DIV/0!</v>
      </c>
      <c r="O50" s="48">
        <f>$R$27*$D$4*(M50/U50)</f>
        <v>17354.616666666665</v>
      </c>
      <c r="P50" s="276">
        <v>2</v>
      </c>
      <c r="Q50" s="18">
        <v>7.1999999999999998E-3</v>
      </c>
      <c r="R50" s="263"/>
      <c r="S50" s="263"/>
      <c r="T50" s="263"/>
      <c r="U50" s="263">
        <f>Q50-S50</f>
        <v>7.1999999999999998E-3</v>
      </c>
      <c r="V50" s="249">
        <f>U50/(J46/T46)</f>
        <v>7.1999999999999998E-3</v>
      </c>
    </row>
    <row r="51" spans="1:22" s="35" customFormat="1" x14ac:dyDescent="0.35">
      <c r="A51" s="279"/>
      <c r="B51" s="251"/>
      <c r="C51" s="10"/>
      <c r="D51" s="11"/>
      <c r="E51" s="11"/>
      <c r="F51" s="11"/>
      <c r="G51" s="11">
        <f>C51-E51</f>
        <v>0</v>
      </c>
      <c r="H51" s="312"/>
      <c r="I51" s="261"/>
      <c r="J51" s="11"/>
      <c r="K51" s="11"/>
      <c r="L51" s="11"/>
      <c r="M51" s="11"/>
      <c r="N51" s="43"/>
      <c r="O51" s="44"/>
      <c r="P51" s="279"/>
      <c r="Q51" s="11"/>
      <c r="R51" s="261"/>
      <c r="S51" s="261"/>
      <c r="T51" s="261"/>
      <c r="U51" s="11">
        <f>Q51-S51</f>
        <v>0</v>
      </c>
      <c r="V51" s="261"/>
    </row>
    <row r="53" spans="1:22" s="35" customFormat="1" x14ac:dyDescent="0.35">
      <c r="A53" s="275" t="s">
        <v>119</v>
      </c>
      <c r="B53" s="247"/>
      <c r="C53" s="278" t="s">
        <v>36</v>
      </c>
      <c r="D53" s="278"/>
      <c r="E53" s="278"/>
      <c r="F53" s="278"/>
      <c r="G53" s="250"/>
      <c r="H53" s="26"/>
      <c r="I53" s="278" t="s">
        <v>109</v>
      </c>
      <c r="J53" s="278"/>
      <c r="K53" s="278"/>
      <c r="L53" s="278"/>
      <c r="M53" s="278"/>
      <c r="N53" s="278"/>
      <c r="O53" s="250"/>
      <c r="P53" s="247"/>
      <c r="Q53" s="278" t="s">
        <v>37</v>
      </c>
      <c r="R53" s="278"/>
      <c r="S53" s="278"/>
      <c r="T53" s="278"/>
      <c r="U53" s="278"/>
      <c r="V53" s="250"/>
    </row>
    <row r="54" spans="1:22" s="35" customFormat="1" ht="15" customHeight="1" x14ac:dyDescent="0.35">
      <c r="A54" s="276"/>
      <c r="B54" s="248"/>
      <c r="C54" s="249" t="s">
        <v>39</v>
      </c>
      <c r="D54" s="249">
        <v>0.50782000000000005</v>
      </c>
      <c r="E54" s="249" t="s">
        <v>110</v>
      </c>
      <c r="F54" s="249">
        <v>200</v>
      </c>
      <c r="G54" s="249"/>
      <c r="H54" s="249"/>
      <c r="I54" s="249" t="s">
        <v>110</v>
      </c>
      <c r="J54" s="249">
        <v>500</v>
      </c>
      <c r="K54" s="249"/>
      <c r="L54" s="9"/>
      <c r="M54" s="249"/>
      <c r="N54" s="276" t="s">
        <v>41</v>
      </c>
      <c r="O54" s="276" t="s">
        <v>111</v>
      </c>
      <c r="P54" s="248"/>
      <c r="Q54" s="249" t="s">
        <v>39</v>
      </c>
      <c r="R54" s="249">
        <v>0.50793999999999995</v>
      </c>
      <c r="S54" s="249" t="s">
        <v>110</v>
      </c>
      <c r="T54" s="249">
        <v>500</v>
      </c>
      <c r="U54" s="249"/>
      <c r="V54" s="249"/>
    </row>
    <row r="55" spans="1:22" s="35" customFormat="1" x14ac:dyDescent="0.35">
      <c r="A55" s="276"/>
      <c r="B55" s="248"/>
      <c r="C55" s="277" t="s">
        <v>42</v>
      </c>
      <c r="D55" s="277"/>
      <c r="E55" s="277" t="s">
        <v>43</v>
      </c>
      <c r="F55" s="277"/>
      <c r="G55" s="277" t="s">
        <v>44</v>
      </c>
      <c r="H55" s="249"/>
      <c r="I55" s="277" t="s">
        <v>42</v>
      </c>
      <c r="J55" s="277"/>
      <c r="K55" s="277" t="s">
        <v>43</v>
      </c>
      <c r="L55" s="277"/>
      <c r="M55" s="277" t="s">
        <v>44</v>
      </c>
      <c r="N55" s="276"/>
      <c r="O55" s="276"/>
      <c r="P55" s="248"/>
      <c r="Q55" s="277" t="s">
        <v>42</v>
      </c>
      <c r="R55" s="277"/>
      <c r="S55" s="277" t="s">
        <v>43</v>
      </c>
      <c r="T55" s="277"/>
      <c r="U55" s="277" t="s">
        <v>44</v>
      </c>
      <c r="V55" s="276" t="s">
        <v>112</v>
      </c>
    </row>
    <row r="56" spans="1:22" s="35" customFormat="1" x14ac:dyDescent="0.35">
      <c r="A56" s="276"/>
      <c r="B56" s="248"/>
      <c r="C56" s="277"/>
      <c r="D56" s="277"/>
      <c r="E56" s="277"/>
      <c r="F56" s="277"/>
      <c r="G56" s="277"/>
      <c r="H56" s="249"/>
      <c r="I56" s="277"/>
      <c r="J56" s="277"/>
      <c r="K56" s="277"/>
      <c r="L56" s="277"/>
      <c r="M56" s="277"/>
      <c r="N56" s="276"/>
      <c r="O56" s="276"/>
      <c r="P56" s="248"/>
      <c r="Q56" s="277"/>
      <c r="R56" s="277"/>
      <c r="S56" s="277"/>
      <c r="T56" s="277"/>
      <c r="U56" s="277"/>
      <c r="V56" s="276"/>
    </row>
    <row r="57" spans="1:22" s="35" customFormat="1" x14ac:dyDescent="0.35">
      <c r="A57" s="276"/>
      <c r="B57" s="248"/>
      <c r="C57" s="249" t="s">
        <v>47</v>
      </c>
      <c r="D57" s="249" t="s">
        <v>48</v>
      </c>
      <c r="E57" s="249" t="s">
        <v>47</v>
      </c>
      <c r="F57" s="249" t="s">
        <v>48</v>
      </c>
      <c r="G57" s="249"/>
      <c r="H57" s="249"/>
      <c r="I57" s="249" t="s">
        <v>117</v>
      </c>
      <c r="J57" s="249" t="s">
        <v>48</v>
      </c>
      <c r="K57" s="249" t="s">
        <v>86</v>
      </c>
      <c r="L57" s="249" t="s">
        <v>48</v>
      </c>
      <c r="M57" s="249"/>
      <c r="N57" s="249"/>
      <c r="O57" s="249"/>
      <c r="P57" s="248"/>
      <c r="Q57" s="249" t="s">
        <v>117</v>
      </c>
      <c r="R57" s="249" t="s">
        <v>48</v>
      </c>
      <c r="S57" s="249" t="s">
        <v>47</v>
      </c>
      <c r="T57" s="249" t="s">
        <v>48</v>
      </c>
      <c r="U57" s="277"/>
      <c r="V57" s="276"/>
    </row>
    <row r="58" spans="1:22" s="35" customFormat="1" x14ac:dyDescent="0.35">
      <c r="A58" s="276"/>
      <c r="B58" s="248"/>
      <c r="C58" s="18"/>
      <c r="D58" s="263"/>
      <c r="E58" s="263"/>
      <c r="F58" s="263"/>
      <c r="G58" s="263">
        <f>C58-E58</f>
        <v>0</v>
      </c>
      <c r="H58" s="277">
        <v>1</v>
      </c>
      <c r="I58" s="249">
        <v>0.29930000000000001</v>
      </c>
      <c r="J58" s="263"/>
      <c r="K58" s="263"/>
      <c r="L58" s="263"/>
      <c r="M58" s="263">
        <f>I58-K58</f>
        <v>0.29930000000000001</v>
      </c>
      <c r="N58" s="42" t="e">
        <f>$D$27*$D$4*(M58/G58)</f>
        <v>#DIV/0!</v>
      </c>
      <c r="O58" s="48">
        <f>$R$27*$D$4*(M58/U58)</f>
        <v>20544.113783783781</v>
      </c>
      <c r="P58" s="276">
        <v>2</v>
      </c>
      <c r="Q58" s="18">
        <v>7.4000000000000003E-3</v>
      </c>
      <c r="R58" s="263"/>
      <c r="S58" s="263"/>
      <c r="T58" s="263"/>
      <c r="U58" s="263">
        <f>Q58-S58</f>
        <v>7.4000000000000003E-3</v>
      </c>
      <c r="V58" s="249">
        <f>U58/(J54/T54)</f>
        <v>7.4000000000000003E-3</v>
      </c>
    </row>
    <row r="59" spans="1:22" s="35" customFormat="1" x14ac:dyDescent="0.35">
      <c r="A59" s="279"/>
      <c r="B59" s="251"/>
      <c r="C59" s="10"/>
      <c r="D59" s="11"/>
      <c r="E59" s="11"/>
      <c r="F59" s="11"/>
      <c r="G59" s="11">
        <f>C59-E59</f>
        <v>0</v>
      </c>
      <c r="H59" s="312"/>
      <c r="I59" s="261"/>
      <c r="J59" s="11"/>
      <c r="K59" s="11"/>
      <c r="L59" s="11"/>
      <c r="M59" s="11"/>
      <c r="N59" s="43"/>
      <c r="O59" s="44"/>
      <c r="P59" s="279"/>
      <c r="Q59" s="11"/>
      <c r="R59" s="261"/>
      <c r="S59" s="261"/>
      <c r="T59" s="261"/>
      <c r="U59" s="11">
        <f>Q59-S59</f>
        <v>0</v>
      </c>
      <c r="V59" s="261"/>
    </row>
    <row r="61" spans="1:22" s="35" customFormat="1" x14ac:dyDescent="0.35">
      <c r="A61" s="275" t="s">
        <v>120</v>
      </c>
      <c r="B61" s="247"/>
      <c r="C61" s="278" t="s">
        <v>36</v>
      </c>
      <c r="D61" s="278"/>
      <c r="E61" s="278"/>
      <c r="F61" s="278"/>
      <c r="G61" s="250"/>
      <c r="H61" s="26"/>
      <c r="I61" s="278" t="s">
        <v>109</v>
      </c>
      <c r="J61" s="278"/>
      <c r="K61" s="278"/>
      <c r="L61" s="278"/>
      <c r="M61" s="278"/>
      <c r="N61" s="278"/>
      <c r="O61" s="250"/>
      <c r="P61" s="247"/>
      <c r="Q61" s="278" t="s">
        <v>37</v>
      </c>
      <c r="R61" s="278"/>
      <c r="S61" s="278"/>
      <c r="T61" s="278"/>
      <c r="U61" s="278"/>
      <c r="V61" s="250"/>
    </row>
    <row r="62" spans="1:22" s="35" customFormat="1" ht="15" customHeight="1" x14ac:dyDescent="0.35">
      <c r="A62" s="276"/>
      <c r="B62" s="248"/>
      <c r="C62" s="249" t="s">
        <v>39</v>
      </c>
      <c r="D62" s="249">
        <v>0.50782000000000005</v>
      </c>
      <c r="E62" s="249" t="s">
        <v>110</v>
      </c>
      <c r="F62" s="249">
        <v>200</v>
      </c>
      <c r="G62" s="249"/>
      <c r="H62" s="249"/>
      <c r="I62" s="249" t="s">
        <v>110</v>
      </c>
      <c r="J62" s="249">
        <v>1000</v>
      </c>
      <c r="K62" s="249"/>
      <c r="L62" s="9"/>
      <c r="M62" s="249"/>
      <c r="N62" s="276" t="s">
        <v>41</v>
      </c>
      <c r="O62" s="276" t="s">
        <v>111</v>
      </c>
      <c r="P62" s="248"/>
      <c r="Q62" s="249" t="s">
        <v>39</v>
      </c>
      <c r="R62" s="249">
        <v>0.50793999999999995</v>
      </c>
      <c r="S62" s="249" t="s">
        <v>110</v>
      </c>
      <c r="T62" s="249">
        <v>1000</v>
      </c>
      <c r="U62" s="249"/>
      <c r="V62" s="249"/>
    </row>
    <row r="63" spans="1:22" s="35" customFormat="1" x14ac:dyDescent="0.35">
      <c r="A63" s="276"/>
      <c r="B63" s="248"/>
      <c r="C63" s="277" t="s">
        <v>42</v>
      </c>
      <c r="D63" s="277"/>
      <c r="E63" s="277" t="s">
        <v>43</v>
      </c>
      <c r="F63" s="277"/>
      <c r="G63" s="277" t="s">
        <v>44</v>
      </c>
      <c r="H63" s="249"/>
      <c r="I63" s="277" t="s">
        <v>42</v>
      </c>
      <c r="J63" s="277"/>
      <c r="K63" s="277" t="s">
        <v>43</v>
      </c>
      <c r="L63" s="277"/>
      <c r="M63" s="277" t="s">
        <v>44</v>
      </c>
      <c r="N63" s="276"/>
      <c r="O63" s="276"/>
      <c r="P63" s="248"/>
      <c r="Q63" s="277" t="s">
        <v>42</v>
      </c>
      <c r="R63" s="277"/>
      <c r="S63" s="277" t="s">
        <v>43</v>
      </c>
      <c r="T63" s="277"/>
      <c r="U63" s="277" t="s">
        <v>44</v>
      </c>
      <c r="V63" s="276" t="s">
        <v>121</v>
      </c>
    </row>
    <row r="64" spans="1:22" s="35" customFormat="1" x14ac:dyDescent="0.35">
      <c r="A64" s="276"/>
      <c r="B64" s="248"/>
      <c r="C64" s="277"/>
      <c r="D64" s="277"/>
      <c r="E64" s="277"/>
      <c r="F64" s="277"/>
      <c r="G64" s="277"/>
      <c r="H64" s="249"/>
      <c r="I64" s="277"/>
      <c r="J64" s="277"/>
      <c r="K64" s="277"/>
      <c r="L64" s="277"/>
      <c r="M64" s="277"/>
      <c r="N64" s="276"/>
      <c r="O64" s="276"/>
      <c r="P64" s="248"/>
      <c r="Q64" s="277"/>
      <c r="R64" s="277"/>
      <c r="S64" s="277"/>
      <c r="T64" s="277"/>
      <c r="U64" s="277"/>
      <c r="V64" s="276"/>
    </row>
    <row r="65" spans="1:22" s="35" customFormat="1" x14ac:dyDescent="0.35">
      <c r="A65" s="276"/>
      <c r="B65" s="248"/>
      <c r="C65" s="249" t="s">
        <v>47</v>
      </c>
      <c r="D65" s="249" t="s">
        <v>48</v>
      </c>
      <c r="E65" s="249" t="s">
        <v>47</v>
      </c>
      <c r="F65" s="249" t="s">
        <v>48</v>
      </c>
      <c r="G65" s="249"/>
      <c r="H65" s="249"/>
      <c r="I65" s="249" t="s">
        <v>117</v>
      </c>
      <c r="J65" s="249" t="s">
        <v>48</v>
      </c>
      <c r="K65" s="249" t="s">
        <v>86</v>
      </c>
      <c r="L65" s="249" t="s">
        <v>48</v>
      </c>
      <c r="M65" s="249"/>
      <c r="N65" s="249"/>
      <c r="O65" s="249"/>
      <c r="P65" s="248"/>
      <c r="Q65" s="249" t="s">
        <v>117</v>
      </c>
      <c r="R65" s="249" t="s">
        <v>48</v>
      </c>
      <c r="S65" s="249" t="s">
        <v>47</v>
      </c>
      <c r="T65" s="249" t="s">
        <v>48</v>
      </c>
      <c r="U65" s="277"/>
      <c r="V65" s="12">
        <v>0.49543406979588839</v>
      </c>
    </row>
    <row r="66" spans="1:22" s="35" customFormat="1" x14ac:dyDescent="0.35">
      <c r="A66" s="276"/>
      <c r="B66" s="248"/>
      <c r="C66" s="18"/>
      <c r="D66" s="263"/>
      <c r="E66" s="263"/>
      <c r="F66" s="263"/>
      <c r="G66" s="263">
        <f>C66-E66</f>
        <v>0</v>
      </c>
      <c r="H66" s="249">
        <v>1</v>
      </c>
      <c r="I66" s="249">
        <v>0.48599999999999999</v>
      </c>
      <c r="J66" s="263"/>
      <c r="K66" s="263"/>
      <c r="L66" s="263"/>
      <c r="M66" s="263">
        <f>I66-K66</f>
        <v>0.48599999999999999</v>
      </c>
      <c r="N66" s="42" t="e">
        <f>$D$27*$D$4*(M66/G66)</f>
        <v>#DIV/0!</v>
      </c>
      <c r="O66" s="48">
        <f>$R$27*$D$4*(M66/U66)</f>
        <v>33816.27945205479</v>
      </c>
      <c r="P66" s="248">
        <v>2</v>
      </c>
      <c r="Q66" s="18">
        <v>7.3000000000000001E-3</v>
      </c>
      <c r="R66" s="263"/>
      <c r="S66" s="263"/>
      <c r="T66" s="263"/>
      <c r="U66" s="263">
        <f>Q66-S66</f>
        <v>7.3000000000000001E-3</v>
      </c>
      <c r="V66" s="263"/>
    </row>
    <row r="67" spans="1:22" s="35" customFormat="1" x14ac:dyDescent="0.35">
      <c r="A67" s="279"/>
      <c r="B67" s="251"/>
      <c r="C67" s="10"/>
      <c r="D67" s="11"/>
      <c r="E67" s="11"/>
      <c r="F67" s="11"/>
      <c r="G67" s="11">
        <f>C67-E67</f>
        <v>0</v>
      </c>
      <c r="H67" s="261"/>
      <c r="I67" s="261"/>
      <c r="J67" s="11"/>
      <c r="K67" s="11"/>
      <c r="L67" s="11"/>
      <c r="M67" s="11"/>
      <c r="N67" s="43"/>
      <c r="O67" s="49">
        <f>O66/V65</f>
        <v>68255.861907088067</v>
      </c>
      <c r="P67" s="15"/>
      <c r="Q67" s="11"/>
      <c r="R67" s="261"/>
      <c r="S67" s="261"/>
      <c r="T67" s="261"/>
      <c r="U67" s="11">
        <f>Q67-S67</f>
        <v>0</v>
      </c>
      <c r="V67" s="261"/>
    </row>
  </sheetData>
  <mergeCells count="97">
    <mergeCell ref="V63:V64"/>
    <mergeCell ref="A61:A67"/>
    <mergeCell ref="C61:F61"/>
    <mergeCell ref="I61:N61"/>
    <mergeCell ref="Q61:U61"/>
    <mergeCell ref="N62:N64"/>
    <mergeCell ref="O62:O64"/>
    <mergeCell ref="C63:D64"/>
    <mergeCell ref="E63:F64"/>
    <mergeCell ref="G63:G64"/>
    <mergeCell ref="I63:J64"/>
    <mergeCell ref="K63:L64"/>
    <mergeCell ref="M63:M64"/>
    <mergeCell ref="Q63:R64"/>
    <mergeCell ref="S63:T64"/>
    <mergeCell ref="U63:U65"/>
    <mergeCell ref="Q55:R56"/>
    <mergeCell ref="S55:T56"/>
    <mergeCell ref="U55:U57"/>
    <mergeCell ref="V55:V57"/>
    <mergeCell ref="H58:H59"/>
    <mergeCell ref="P58:P59"/>
    <mergeCell ref="V47:V49"/>
    <mergeCell ref="H50:H51"/>
    <mergeCell ref="P50:P51"/>
    <mergeCell ref="A26:A34"/>
    <mergeCell ref="A53:A59"/>
    <mergeCell ref="C53:F53"/>
    <mergeCell ref="I53:N53"/>
    <mergeCell ref="Q53:U53"/>
    <mergeCell ref="N54:N56"/>
    <mergeCell ref="O54:O56"/>
    <mergeCell ref="C55:D56"/>
    <mergeCell ref="E55:F56"/>
    <mergeCell ref="G55:G56"/>
    <mergeCell ref="I55:J56"/>
    <mergeCell ref="K55:L56"/>
    <mergeCell ref="M55:M56"/>
    <mergeCell ref="A45:A51"/>
    <mergeCell ref="C45:F45"/>
    <mergeCell ref="I45:N45"/>
    <mergeCell ref="Q45:U45"/>
    <mergeCell ref="N46:N48"/>
    <mergeCell ref="O46:O48"/>
    <mergeCell ref="C47:D48"/>
    <mergeCell ref="E47:F48"/>
    <mergeCell ref="G47:G48"/>
    <mergeCell ref="I47:J48"/>
    <mergeCell ref="K47:L48"/>
    <mergeCell ref="M47:M48"/>
    <mergeCell ref="Q47:R48"/>
    <mergeCell ref="S47:T48"/>
    <mergeCell ref="U47:U49"/>
    <mergeCell ref="S39:T40"/>
    <mergeCell ref="U39:U41"/>
    <mergeCell ref="V39:V41"/>
    <mergeCell ref="H42:H43"/>
    <mergeCell ref="P42:P43"/>
    <mergeCell ref="V28:V30"/>
    <mergeCell ref="A23:A24"/>
    <mergeCell ref="C24:D24"/>
    <mergeCell ref="A37:A43"/>
    <mergeCell ref="C37:F37"/>
    <mergeCell ref="I37:N37"/>
    <mergeCell ref="Q37:U37"/>
    <mergeCell ref="N38:N40"/>
    <mergeCell ref="O38:O40"/>
    <mergeCell ref="C39:D40"/>
    <mergeCell ref="E39:F40"/>
    <mergeCell ref="G39:G40"/>
    <mergeCell ref="I39:J40"/>
    <mergeCell ref="K39:L40"/>
    <mergeCell ref="M39:M40"/>
    <mergeCell ref="Q39:R40"/>
    <mergeCell ref="H33:H34"/>
    <mergeCell ref="P31:P32"/>
    <mergeCell ref="U28:U30"/>
    <mergeCell ref="C23:D23"/>
    <mergeCell ref="I1:N1"/>
    <mergeCell ref="I3:J3"/>
    <mergeCell ref="K3:L3"/>
    <mergeCell ref="M3:N3"/>
    <mergeCell ref="A5:D5"/>
    <mergeCell ref="M28:M29"/>
    <mergeCell ref="Q28:R29"/>
    <mergeCell ref="C26:F26"/>
    <mergeCell ref="I26:N26"/>
    <mergeCell ref="H31:H32"/>
    <mergeCell ref="C28:D29"/>
    <mergeCell ref="E28:F29"/>
    <mergeCell ref="G28:G29"/>
    <mergeCell ref="I28:J29"/>
    <mergeCell ref="K28:L29"/>
    <mergeCell ref="S28:T29"/>
    <mergeCell ref="Q26:U26"/>
    <mergeCell ref="N27:N29"/>
    <mergeCell ref="O27:O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63"/>
  <sheetViews>
    <sheetView zoomScale="70" zoomScaleNormal="70" workbookViewId="0">
      <selection activeCell="K61" sqref="K61"/>
    </sheetView>
  </sheetViews>
  <sheetFormatPr defaultColWidth="9.1796875" defaultRowHeight="14.5" x14ac:dyDescent="0.35"/>
  <cols>
    <col min="1" max="1" width="39.26953125" style="45" customWidth="1"/>
    <col min="2" max="2" width="3.453125" style="45" customWidth="1"/>
    <col min="3" max="3" width="27.7265625" style="45" customWidth="1"/>
    <col min="4" max="4" width="19.453125" style="45" customWidth="1"/>
    <col min="5" max="5" width="16.453125" style="45" bestFit="1" customWidth="1"/>
    <col min="6" max="7" width="12.81640625" style="45" customWidth="1"/>
    <col min="8" max="8" width="3.453125" style="45" customWidth="1"/>
    <col min="9" max="9" width="16.453125" style="45" bestFit="1" customWidth="1"/>
    <col min="10" max="14" width="12.81640625" style="45" customWidth="1"/>
    <col min="15" max="15" width="21.26953125" style="45" customWidth="1"/>
    <col min="16" max="16" width="3.453125" style="45" customWidth="1"/>
    <col min="17" max="17" width="15.1796875" style="45" bestFit="1" customWidth="1"/>
    <col min="18" max="18" width="12.81640625" style="45" customWidth="1"/>
    <col min="19" max="19" width="16.453125" style="45" bestFit="1" customWidth="1"/>
    <col min="20" max="21" width="12.81640625" style="45" customWidth="1"/>
    <col min="22" max="22" width="13.1796875" style="45" customWidth="1"/>
    <col min="23" max="23" width="5" style="45" customWidth="1"/>
    <col min="24" max="24" width="15.453125" style="45" bestFit="1" customWidth="1"/>
    <col min="25" max="30" width="12.7265625" style="45" customWidth="1"/>
    <col min="31" max="16384" width="9.1796875" style="45"/>
  </cols>
  <sheetData>
    <row r="1" spans="1:14" x14ac:dyDescent="0.35">
      <c r="A1" s="244" t="s">
        <v>100</v>
      </c>
      <c r="B1" s="244"/>
      <c r="C1" s="244">
        <v>22.3</v>
      </c>
      <c r="D1" s="244">
        <v>22.3</v>
      </c>
      <c r="E1" s="244"/>
      <c r="F1" s="244"/>
      <c r="G1" s="244"/>
      <c r="H1" s="244"/>
      <c r="I1" s="272"/>
      <c r="J1" s="272"/>
      <c r="K1" s="272"/>
      <c r="L1" s="272"/>
      <c r="M1" s="272"/>
      <c r="N1" s="272"/>
    </row>
    <row r="2" spans="1:14" x14ac:dyDescent="0.35">
      <c r="A2" s="244" t="s">
        <v>101</v>
      </c>
      <c r="B2" s="244"/>
      <c r="C2" s="244">
        <v>54.4</v>
      </c>
      <c r="D2" s="244">
        <v>57.4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1:14" x14ac:dyDescent="0.35">
      <c r="A3" s="244" t="s">
        <v>0</v>
      </c>
      <c r="B3" s="244"/>
      <c r="C3" s="262"/>
      <c r="D3" s="262"/>
      <c r="E3" s="244"/>
      <c r="F3" s="244"/>
      <c r="G3" s="244"/>
      <c r="H3" s="244"/>
      <c r="I3" s="272"/>
      <c r="J3" s="272"/>
      <c r="K3" s="313"/>
      <c r="L3" s="313"/>
      <c r="M3" s="314"/>
      <c r="N3" s="314"/>
    </row>
    <row r="4" spans="1:14" x14ac:dyDescent="0.35">
      <c r="A4" s="244" t="s">
        <v>2</v>
      </c>
      <c r="B4" s="244"/>
      <c r="C4" s="244" t="s">
        <v>3</v>
      </c>
      <c r="D4" s="244">
        <v>952.65</v>
      </c>
      <c r="E4" s="244" t="s">
        <v>5</v>
      </c>
      <c r="F4" s="244"/>
      <c r="G4" s="244"/>
      <c r="H4" s="244"/>
      <c r="I4" s="244"/>
      <c r="J4" s="244"/>
      <c r="K4" s="244"/>
      <c r="L4" s="244"/>
      <c r="M4" s="244"/>
      <c r="N4" s="244"/>
    </row>
    <row r="5" spans="1:14" x14ac:dyDescent="0.35">
      <c r="A5" s="272" t="s">
        <v>6</v>
      </c>
      <c r="B5" s="272"/>
      <c r="C5" s="272"/>
      <c r="D5" s="272"/>
      <c r="E5" s="244"/>
      <c r="F5" s="244"/>
      <c r="G5" s="244"/>
      <c r="H5" s="244"/>
      <c r="I5" s="244"/>
      <c r="J5" s="244"/>
      <c r="K5" s="244"/>
      <c r="L5" s="21"/>
      <c r="M5" s="244"/>
      <c r="N5" s="21"/>
    </row>
    <row r="6" spans="1:14" x14ac:dyDescent="0.35">
      <c r="A6" s="244" t="s">
        <v>7</v>
      </c>
      <c r="B6" s="244"/>
      <c r="C6" s="244">
        <v>7214</v>
      </c>
      <c r="D6" s="244"/>
      <c r="E6" s="244"/>
      <c r="F6" s="244"/>
      <c r="G6" s="244"/>
      <c r="H6" s="244"/>
      <c r="I6" s="244"/>
      <c r="J6" s="244"/>
      <c r="K6" s="244"/>
      <c r="L6" s="268"/>
      <c r="M6" s="244"/>
      <c r="N6" s="268"/>
    </row>
    <row r="7" spans="1:14" x14ac:dyDescent="0.35">
      <c r="A7" s="244" t="s">
        <v>8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68"/>
      <c r="M7" s="244"/>
      <c r="N7" s="268"/>
    </row>
    <row r="8" spans="1:14" x14ac:dyDescent="0.35">
      <c r="A8" s="244" t="s">
        <v>9</v>
      </c>
      <c r="B8" s="244"/>
      <c r="C8" s="244" t="s">
        <v>65</v>
      </c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</row>
    <row r="9" spans="1:14" x14ac:dyDescent="0.35">
      <c r="A9" s="244" t="s">
        <v>10</v>
      </c>
      <c r="B9" s="244"/>
      <c r="C9" s="244" t="s">
        <v>122</v>
      </c>
      <c r="D9" s="244"/>
      <c r="E9" s="244"/>
      <c r="F9" s="244"/>
      <c r="G9" s="244"/>
      <c r="H9" s="244"/>
      <c r="I9" s="244"/>
      <c r="J9" s="244"/>
      <c r="K9" s="244"/>
      <c r="L9" s="21"/>
      <c r="M9" s="244"/>
      <c r="N9" s="21"/>
    </row>
    <row r="10" spans="1:14" x14ac:dyDescent="0.35">
      <c r="A10" s="244" t="s">
        <v>11</v>
      </c>
      <c r="B10" s="244"/>
      <c r="C10" s="244" t="s">
        <v>12</v>
      </c>
      <c r="D10" s="244"/>
      <c r="E10" s="244"/>
      <c r="F10" s="244"/>
      <c r="G10" s="244"/>
      <c r="H10" s="244"/>
      <c r="I10" s="244"/>
      <c r="J10" s="244"/>
      <c r="K10" s="244"/>
      <c r="L10" s="21"/>
      <c r="M10" s="244"/>
      <c r="N10" s="21"/>
    </row>
    <row r="11" spans="1:14" x14ac:dyDescent="0.35">
      <c r="A11" s="244" t="s">
        <v>13</v>
      </c>
      <c r="B11" s="244"/>
      <c r="C11" s="244" t="s">
        <v>14</v>
      </c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</row>
    <row r="12" spans="1:14" x14ac:dyDescent="0.35">
      <c r="A12" s="244" t="s">
        <v>70</v>
      </c>
      <c r="B12" s="244"/>
      <c r="C12" s="244" t="s">
        <v>71</v>
      </c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14" x14ac:dyDescent="0.35">
      <c r="A13" s="244" t="s">
        <v>16</v>
      </c>
      <c r="B13" s="244"/>
      <c r="C13" s="244" t="s">
        <v>17</v>
      </c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</row>
    <row r="14" spans="1:14" x14ac:dyDescent="0.35">
      <c r="A14" s="244" t="s">
        <v>18</v>
      </c>
      <c r="B14" s="244"/>
      <c r="C14" s="244" t="s">
        <v>19</v>
      </c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</row>
    <row r="15" spans="1:14" x14ac:dyDescent="0.35">
      <c r="A15" s="244" t="s">
        <v>20</v>
      </c>
      <c r="B15" s="244"/>
      <c r="C15" s="244" t="s">
        <v>21</v>
      </c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</row>
    <row r="16" spans="1:14" x14ac:dyDescent="0.35">
      <c r="A16" s="244" t="s">
        <v>22</v>
      </c>
      <c r="B16" s="244"/>
      <c r="C16" s="244" t="s">
        <v>23</v>
      </c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</row>
    <row r="17" spans="1:30" x14ac:dyDescent="0.35">
      <c r="A17" s="244" t="s">
        <v>24</v>
      </c>
      <c r="B17" s="244"/>
      <c r="C17" s="244" t="s">
        <v>25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</row>
    <row r="18" spans="1:30" x14ac:dyDescent="0.35">
      <c r="A18" s="244" t="s">
        <v>26</v>
      </c>
      <c r="B18" s="244"/>
      <c r="C18" s="244" t="s">
        <v>27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</row>
    <row r="19" spans="1:30" x14ac:dyDescent="0.35">
      <c r="A19" s="244" t="s">
        <v>28</v>
      </c>
      <c r="B19" s="244"/>
      <c r="C19" s="244" t="s">
        <v>23</v>
      </c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</row>
    <row r="20" spans="1:30" x14ac:dyDescent="0.35">
      <c r="A20" s="244" t="s">
        <v>29</v>
      </c>
      <c r="B20" s="244"/>
      <c r="C20" s="244" t="s">
        <v>30</v>
      </c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</row>
    <row r="21" spans="1:30" x14ac:dyDescent="0.35">
      <c r="A21" s="244" t="s">
        <v>31</v>
      </c>
      <c r="B21" s="244"/>
      <c r="C21" s="244" t="s">
        <v>32</v>
      </c>
      <c r="D21" s="244" t="s">
        <v>103</v>
      </c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</row>
    <row r="22" spans="1:30" x14ac:dyDescent="0.35">
      <c r="A22" s="265" t="s">
        <v>33</v>
      </c>
      <c r="B22" s="265"/>
      <c r="C22" s="244" t="s">
        <v>123</v>
      </c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</row>
    <row r="23" spans="1:30" x14ac:dyDescent="0.35">
      <c r="A23" s="272" t="s">
        <v>105</v>
      </c>
      <c r="B23" s="265"/>
      <c r="C23" s="277" t="s">
        <v>106</v>
      </c>
      <c r="D23" s="277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</row>
    <row r="24" spans="1:30" x14ac:dyDescent="0.35">
      <c r="A24" s="272"/>
      <c r="B24" s="265"/>
      <c r="C24" s="277" t="s">
        <v>107</v>
      </c>
      <c r="D24" s="277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</row>
    <row r="26" spans="1:30" x14ac:dyDescent="0.35">
      <c r="A26" s="275" t="s">
        <v>124</v>
      </c>
      <c r="B26" s="247"/>
      <c r="C26" s="278" t="s">
        <v>36</v>
      </c>
      <c r="D26" s="278"/>
      <c r="E26" s="278"/>
      <c r="F26" s="278"/>
      <c r="G26" s="250"/>
      <c r="H26" s="26"/>
      <c r="I26" s="278" t="s">
        <v>109</v>
      </c>
      <c r="J26" s="278"/>
      <c r="K26" s="278"/>
      <c r="L26" s="278"/>
      <c r="M26" s="278"/>
      <c r="N26" s="278"/>
      <c r="O26" s="250"/>
      <c r="P26" s="247"/>
      <c r="Q26" s="278" t="s">
        <v>37</v>
      </c>
      <c r="R26" s="278"/>
      <c r="S26" s="278"/>
      <c r="T26" s="278"/>
      <c r="U26" s="278"/>
      <c r="V26" s="250"/>
      <c r="W26" s="250"/>
      <c r="X26" s="278" t="s">
        <v>75</v>
      </c>
      <c r="Y26" s="278"/>
      <c r="Z26" s="278"/>
      <c r="AA26" s="278"/>
      <c r="AB26" s="278"/>
      <c r="AC26" s="278"/>
      <c r="AD26" s="250"/>
    </row>
    <row r="27" spans="1:30" ht="15" customHeight="1" x14ac:dyDescent="0.35">
      <c r="A27" s="276"/>
      <c r="B27" s="248"/>
      <c r="C27" s="249" t="s">
        <v>39</v>
      </c>
      <c r="D27" s="249">
        <v>0.50782000000000005</v>
      </c>
      <c r="E27" s="249" t="s">
        <v>110</v>
      </c>
      <c r="F27" s="249">
        <v>200</v>
      </c>
      <c r="G27" s="249"/>
      <c r="H27" s="249"/>
      <c r="I27" s="249" t="s">
        <v>110</v>
      </c>
      <c r="J27" s="249">
        <v>200</v>
      </c>
      <c r="K27" s="249"/>
      <c r="L27" s="9"/>
      <c r="M27" s="249"/>
      <c r="N27" s="276" t="s">
        <v>41</v>
      </c>
      <c r="O27" s="276" t="s">
        <v>111</v>
      </c>
      <c r="P27" s="248"/>
      <c r="Q27" s="249" t="s">
        <v>39</v>
      </c>
      <c r="R27" s="249">
        <v>0.50793999999999995</v>
      </c>
      <c r="S27" s="249" t="s">
        <v>110</v>
      </c>
      <c r="T27" s="249">
        <v>200</v>
      </c>
      <c r="U27" s="249"/>
      <c r="V27" s="249"/>
      <c r="W27" s="249"/>
      <c r="X27" s="249"/>
      <c r="Y27" s="249"/>
      <c r="Z27" s="249"/>
      <c r="AA27" s="9"/>
      <c r="AB27" s="249"/>
      <c r="AC27" s="276" t="s">
        <v>41</v>
      </c>
      <c r="AD27" s="276" t="s">
        <v>40</v>
      </c>
    </row>
    <row r="28" spans="1:30" x14ac:dyDescent="0.35">
      <c r="A28" s="276"/>
      <c r="B28" s="248"/>
      <c r="C28" s="277" t="s">
        <v>42</v>
      </c>
      <c r="D28" s="277"/>
      <c r="E28" s="277" t="s">
        <v>43</v>
      </c>
      <c r="F28" s="277"/>
      <c r="G28" s="277" t="s">
        <v>44</v>
      </c>
      <c r="H28" s="249"/>
      <c r="I28" s="277" t="s">
        <v>42</v>
      </c>
      <c r="J28" s="277"/>
      <c r="K28" s="277" t="s">
        <v>43</v>
      </c>
      <c r="L28" s="277"/>
      <c r="M28" s="277" t="s">
        <v>44</v>
      </c>
      <c r="N28" s="276"/>
      <c r="O28" s="276"/>
      <c r="P28" s="248"/>
      <c r="Q28" s="277" t="s">
        <v>42</v>
      </c>
      <c r="R28" s="277"/>
      <c r="S28" s="277" t="s">
        <v>43</v>
      </c>
      <c r="T28" s="277"/>
      <c r="U28" s="277" t="s">
        <v>44</v>
      </c>
      <c r="V28" s="276" t="s">
        <v>121</v>
      </c>
      <c r="W28" s="248"/>
      <c r="X28" s="277" t="s">
        <v>42</v>
      </c>
      <c r="Y28" s="277"/>
      <c r="Z28" s="277" t="s">
        <v>43</v>
      </c>
      <c r="AA28" s="277"/>
      <c r="AB28" s="277" t="s">
        <v>44</v>
      </c>
      <c r="AC28" s="276"/>
      <c r="AD28" s="276"/>
    </row>
    <row r="29" spans="1:30" x14ac:dyDescent="0.35">
      <c r="A29" s="276"/>
      <c r="B29" s="248"/>
      <c r="C29" s="277"/>
      <c r="D29" s="277"/>
      <c r="E29" s="277"/>
      <c r="F29" s="277"/>
      <c r="G29" s="277"/>
      <c r="H29" s="249"/>
      <c r="I29" s="277"/>
      <c r="J29" s="277"/>
      <c r="K29" s="277"/>
      <c r="L29" s="277"/>
      <c r="M29" s="277"/>
      <c r="N29" s="276"/>
      <c r="O29" s="276"/>
      <c r="P29" s="248"/>
      <c r="Q29" s="277"/>
      <c r="R29" s="277"/>
      <c r="S29" s="277"/>
      <c r="T29" s="277"/>
      <c r="U29" s="277"/>
      <c r="V29" s="276"/>
      <c r="W29" s="248"/>
      <c r="X29" s="277"/>
      <c r="Y29" s="277"/>
      <c r="Z29" s="277"/>
      <c r="AA29" s="277"/>
      <c r="AB29" s="277"/>
      <c r="AC29" s="276"/>
      <c r="AD29" s="276"/>
    </row>
    <row r="30" spans="1:30" x14ac:dyDescent="0.35">
      <c r="A30" s="276"/>
      <c r="B30" s="248"/>
      <c r="C30" s="249" t="s">
        <v>47</v>
      </c>
      <c r="D30" s="249" t="s">
        <v>48</v>
      </c>
      <c r="E30" s="249" t="s">
        <v>47</v>
      </c>
      <c r="F30" s="249" t="s">
        <v>48</v>
      </c>
      <c r="G30" s="249"/>
      <c r="H30" s="249"/>
      <c r="I30" s="249" t="s">
        <v>117</v>
      </c>
      <c r="J30" s="249" t="s">
        <v>48</v>
      </c>
      <c r="K30" s="249" t="s">
        <v>86</v>
      </c>
      <c r="L30" s="249" t="s">
        <v>48</v>
      </c>
      <c r="M30" s="249"/>
      <c r="N30" s="249"/>
      <c r="O30" s="249"/>
      <c r="P30" s="248"/>
      <c r="Q30" s="249" t="s">
        <v>117</v>
      </c>
      <c r="R30" s="249" t="s">
        <v>48</v>
      </c>
      <c r="S30" s="249" t="s">
        <v>47</v>
      </c>
      <c r="T30" s="249" t="s">
        <v>48</v>
      </c>
      <c r="U30" s="277"/>
      <c r="V30" s="12">
        <v>0.49543406979588839</v>
      </c>
      <c r="W30" s="12"/>
      <c r="X30" s="249" t="s">
        <v>47</v>
      </c>
      <c r="Y30" s="249" t="s">
        <v>48</v>
      </c>
      <c r="Z30" s="249" t="s">
        <v>86</v>
      </c>
      <c r="AA30" s="249" t="s">
        <v>48</v>
      </c>
      <c r="AB30" s="249"/>
      <c r="AC30" s="249"/>
      <c r="AD30" s="249"/>
    </row>
    <row r="31" spans="1:30" x14ac:dyDescent="0.35">
      <c r="A31" s="276"/>
      <c r="B31" s="248">
        <v>3</v>
      </c>
      <c r="C31" s="22">
        <v>3.0099999999999998E-2</v>
      </c>
      <c r="D31" s="23"/>
      <c r="E31" s="23"/>
      <c r="F31" s="23"/>
      <c r="G31" s="23">
        <f>C31-E31</f>
        <v>3.0099999999999998E-2</v>
      </c>
      <c r="H31" s="250">
        <v>1</v>
      </c>
      <c r="I31" s="23">
        <v>0.13600000000000001</v>
      </c>
      <c r="J31" s="23"/>
      <c r="K31" s="23"/>
      <c r="L31" s="23"/>
      <c r="M31" s="23">
        <f>I31-K31</f>
        <v>0.13600000000000001</v>
      </c>
      <c r="N31" s="50">
        <f>D27*$D$4*(M31/G31)</f>
        <v>2185.8259909634553</v>
      </c>
      <c r="O31" s="55">
        <f>R27*$D$4*(M31/U31)</f>
        <v>2186.3425108305646</v>
      </c>
      <c r="P31" s="247">
        <v>2</v>
      </c>
      <c r="Q31" s="22">
        <v>3.0099999999999998E-2</v>
      </c>
      <c r="R31" s="23"/>
      <c r="S31" s="23"/>
      <c r="T31" s="23"/>
      <c r="U31" s="23">
        <f>Q31-S31</f>
        <v>3.0099999999999998E-2</v>
      </c>
      <c r="V31" s="23"/>
      <c r="W31" s="52">
        <v>4</v>
      </c>
      <c r="X31" s="23">
        <v>2.0799999999999999E-2</v>
      </c>
      <c r="Y31" s="23"/>
      <c r="Z31" s="23"/>
      <c r="AA31" s="23"/>
      <c r="AB31" s="23">
        <f>X31-Z31</f>
        <v>2.0799999999999999E-2</v>
      </c>
      <c r="AC31" s="24">
        <f>D27*(AB31/U31)</f>
        <v>0.35091880398671099</v>
      </c>
      <c r="AD31" s="237">
        <f>R27*AB31/U31</f>
        <v>0.35100172757475079</v>
      </c>
    </row>
    <row r="32" spans="1:30" x14ac:dyDescent="0.35">
      <c r="A32" s="279"/>
      <c r="B32" s="251"/>
      <c r="C32" s="10"/>
      <c r="D32" s="11"/>
      <c r="E32" s="11"/>
      <c r="F32" s="11"/>
      <c r="G32" s="11">
        <f>C32-E32</f>
        <v>0</v>
      </c>
      <c r="H32" s="261"/>
      <c r="I32" s="261"/>
      <c r="J32" s="11"/>
      <c r="K32" s="11"/>
      <c r="L32" s="11"/>
      <c r="M32" s="11"/>
      <c r="N32" s="43"/>
      <c r="O32" s="49">
        <f>O31*V30</f>
        <v>1083.1885681085478</v>
      </c>
      <c r="P32" s="15"/>
      <c r="Q32" s="11"/>
      <c r="R32" s="261"/>
      <c r="S32" s="261"/>
      <c r="T32" s="261"/>
      <c r="U32" s="11">
        <f>Q32-S32</f>
        <v>0</v>
      </c>
      <c r="V32" s="261"/>
      <c r="W32" s="261"/>
      <c r="X32" s="261"/>
      <c r="Y32" s="261"/>
      <c r="Z32" s="261"/>
      <c r="AA32" s="261"/>
      <c r="AB32" s="261"/>
      <c r="AC32" s="261"/>
      <c r="AD32" s="261"/>
    </row>
    <row r="33" spans="1:30" x14ac:dyDescent="0.35">
      <c r="A33" s="244"/>
      <c r="B33" s="244"/>
      <c r="C33" s="244"/>
      <c r="D33" s="244"/>
      <c r="E33" s="244"/>
      <c r="F33" s="244"/>
      <c r="G33" s="244"/>
      <c r="H33" s="26"/>
      <c r="I33" s="278" t="s">
        <v>109</v>
      </c>
      <c r="J33" s="278"/>
      <c r="K33" s="278"/>
      <c r="L33" s="278"/>
      <c r="M33" s="278"/>
      <c r="N33" s="278"/>
      <c r="O33" s="250"/>
      <c r="P33" s="247"/>
      <c r="Q33" s="278" t="s">
        <v>37</v>
      </c>
      <c r="R33" s="278"/>
      <c r="S33" s="278"/>
      <c r="T33" s="278"/>
      <c r="U33" s="278"/>
      <c r="V33" s="250"/>
      <c r="W33" s="244"/>
      <c r="X33" s="244"/>
      <c r="Y33" s="244"/>
      <c r="Z33" s="244"/>
      <c r="AA33" s="244"/>
      <c r="AB33" s="244"/>
      <c r="AC33" s="244"/>
      <c r="AD33" s="244"/>
    </row>
    <row r="34" spans="1:30" x14ac:dyDescent="0.35">
      <c r="A34" s="244"/>
      <c r="B34" s="244"/>
      <c r="C34" s="244"/>
      <c r="D34" s="244"/>
      <c r="E34" s="244"/>
      <c r="F34" s="244"/>
      <c r="G34" s="244"/>
      <c r="H34" s="249"/>
      <c r="I34" s="249" t="s">
        <v>110</v>
      </c>
      <c r="J34" s="249">
        <v>200</v>
      </c>
      <c r="K34" s="249"/>
      <c r="L34" s="9"/>
      <c r="M34" s="249"/>
      <c r="N34" s="276" t="s">
        <v>41</v>
      </c>
      <c r="O34" s="276" t="s">
        <v>111</v>
      </c>
      <c r="P34" s="248"/>
      <c r="Q34" s="249" t="s">
        <v>39</v>
      </c>
      <c r="R34" s="249">
        <v>0.50793999999999995</v>
      </c>
      <c r="S34" s="249" t="s">
        <v>110</v>
      </c>
      <c r="T34" s="249">
        <v>100</v>
      </c>
      <c r="U34" s="249"/>
      <c r="V34" s="249"/>
      <c r="W34" s="244"/>
      <c r="X34" s="244"/>
      <c r="Y34" s="244"/>
      <c r="Z34" s="244"/>
      <c r="AA34" s="244"/>
      <c r="AB34" s="244"/>
      <c r="AC34" s="244"/>
      <c r="AD34" s="244"/>
    </row>
    <row r="35" spans="1:30" x14ac:dyDescent="0.35">
      <c r="A35" s="244"/>
      <c r="B35" s="244"/>
      <c r="C35" s="244"/>
      <c r="D35" s="244"/>
      <c r="E35" s="244"/>
      <c r="F35" s="244"/>
      <c r="G35" s="244"/>
      <c r="H35" s="249"/>
      <c r="I35" s="277" t="s">
        <v>42</v>
      </c>
      <c r="J35" s="277"/>
      <c r="K35" s="277" t="s">
        <v>43</v>
      </c>
      <c r="L35" s="277"/>
      <c r="M35" s="277" t="s">
        <v>44</v>
      </c>
      <c r="N35" s="276"/>
      <c r="O35" s="276"/>
      <c r="P35" s="248"/>
      <c r="Q35" s="277" t="s">
        <v>42</v>
      </c>
      <c r="R35" s="277"/>
      <c r="S35" s="277" t="s">
        <v>43</v>
      </c>
      <c r="T35" s="277"/>
      <c r="U35" s="277" t="s">
        <v>44</v>
      </c>
      <c r="V35" s="276" t="s">
        <v>121</v>
      </c>
      <c r="W35" s="244"/>
      <c r="X35" s="51"/>
      <c r="Y35" s="244"/>
      <c r="Z35" s="244"/>
      <c r="AA35" s="244"/>
      <c r="AB35" s="244"/>
      <c r="AC35" s="244"/>
      <c r="AD35" s="244"/>
    </row>
    <row r="36" spans="1:30" x14ac:dyDescent="0.35">
      <c r="A36" s="244"/>
      <c r="B36" s="244"/>
      <c r="C36" s="244"/>
      <c r="D36" s="244"/>
      <c r="E36" s="244"/>
      <c r="F36" s="244"/>
      <c r="G36" s="244"/>
      <c r="H36" s="249"/>
      <c r="I36" s="277"/>
      <c r="J36" s="277"/>
      <c r="K36" s="277"/>
      <c r="L36" s="277"/>
      <c r="M36" s="277"/>
      <c r="N36" s="276"/>
      <c r="O36" s="276"/>
      <c r="P36" s="248"/>
      <c r="Q36" s="277"/>
      <c r="R36" s="277"/>
      <c r="S36" s="277"/>
      <c r="T36" s="277"/>
      <c r="U36" s="277"/>
      <c r="V36" s="276"/>
      <c r="W36" s="244"/>
      <c r="X36" s="244"/>
      <c r="Y36" s="244"/>
      <c r="Z36" s="244"/>
      <c r="AA36" s="244"/>
      <c r="AB36" s="244"/>
      <c r="AC36" s="244"/>
      <c r="AD36" s="244"/>
    </row>
    <row r="37" spans="1:30" x14ac:dyDescent="0.35">
      <c r="A37" s="244"/>
      <c r="B37" s="244"/>
      <c r="C37" s="244"/>
      <c r="D37" s="244"/>
      <c r="E37" s="244"/>
      <c r="F37" s="244"/>
      <c r="G37" s="244"/>
      <c r="H37" s="249"/>
      <c r="I37" s="249" t="s">
        <v>117</v>
      </c>
      <c r="J37" s="249" t="s">
        <v>48</v>
      </c>
      <c r="K37" s="249" t="s">
        <v>86</v>
      </c>
      <c r="L37" s="249" t="s">
        <v>48</v>
      </c>
      <c r="M37" s="249"/>
      <c r="N37" s="249"/>
      <c r="O37" s="249"/>
      <c r="P37" s="248"/>
      <c r="Q37" s="249" t="s">
        <v>117</v>
      </c>
      <c r="R37" s="249" t="s">
        <v>48</v>
      </c>
      <c r="S37" s="249" t="s">
        <v>47</v>
      </c>
      <c r="T37" s="249" t="s">
        <v>48</v>
      </c>
      <c r="U37" s="277"/>
      <c r="V37" s="12">
        <v>0.49543406979588839</v>
      </c>
      <c r="W37" s="244"/>
      <c r="X37" s="244"/>
      <c r="Y37" s="244"/>
      <c r="Z37" s="244"/>
      <c r="AA37" s="244"/>
      <c r="AB37" s="244"/>
      <c r="AC37" s="244"/>
      <c r="AD37" s="244"/>
    </row>
    <row r="38" spans="1:30" x14ac:dyDescent="0.35">
      <c r="A38" s="244"/>
      <c r="B38" s="244"/>
      <c r="C38" s="244"/>
      <c r="D38" s="244"/>
      <c r="E38" s="244"/>
      <c r="F38" s="244"/>
      <c r="G38" s="244"/>
      <c r="H38" s="250">
        <v>5</v>
      </c>
      <c r="I38" s="23">
        <v>0.13600000000000001</v>
      </c>
      <c r="J38" s="23"/>
      <c r="K38" s="23"/>
      <c r="L38" s="23"/>
      <c r="M38" s="23">
        <f>I38-K38</f>
        <v>0.13600000000000001</v>
      </c>
      <c r="N38" s="50" t="e">
        <f>D34*$D$4*(M38/G38)</f>
        <v>#DIV/0!</v>
      </c>
      <c r="O38" s="55">
        <f>R34*$D$4*(I39/V39)</f>
        <v>2186.3425108305646</v>
      </c>
      <c r="P38" s="247">
        <v>6</v>
      </c>
      <c r="Q38" s="22">
        <v>3.0099999999999998E-2</v>
      </c>
      <c r="R38" s="23"/>
      <c r="S38" s="23"/>
      <c r="T38" s="23"/>
      <c r="U38" s="23">
        <f>Q38-S38</f>
        <v>3.0099999999999998E-2</v>
      </c>
      <c r="V38" s="23"/>
      <c r="W38" s="244"/>
      <c r="X38" s="244"/>
      <c r="Y38" s="244"/>
      <c r="Z38" s="244"/>
      <c r="AA38" s="244"/>
      <c r="AB38" s="244"/>
      <c r="AC38" s="244"/>
      <c r="AD38" s="244"/>
    </row>
    <row r="39" spans="1:30" x14ac:dyDescent="0.35">
      <c r="A39" s="244"/>
      <c r="B39" s="244"/>
      <c r="C39" s="244"/>
      <c r="D39" s="244"/>
      <c r="E39" s="244"/>
      <c r="F39" s="244"/>
      <c r="G39" s="244"/>
      <c r="H39" s="261"/>
      <c r="I39" s="11">
        <f>I38/200</f>
        <v>6.8000000000000005E-4</v>
      </c>
      <c r="J39" s="11"/>
      <c r="K39" s="11"/>
      <c r="L39" s="11"/>
      <c r="M39" s="11"/>
      <c r="N39" s="43"/>
      <c r="O39" s="49">
        <f>O38*V37</f>
        <v>1083.1885681085478</v>
      </c>
      <c r="P39" s="15"/>
      <c r="Q39" s="11">
        <f>Q38/100</f>
        <v>3.01E-4</v>
      </c>
      <c r="R39" s="261"/>
      <c r="S39" s="261"/>
      <c r="T39" s="261"/>
      <c r="U39" s="11">
        <f>Q39-S39</f>
        <v>3.01E-4</v>
      </c>
      <c r="V39" s="11">
        <f>U39/(J27/T34)</f>
        <v>1.505E-4</v>
      </c>
      <c r="W39" s="244"/>
      <c r="X39" s="244"/>
      <c r="Y39" s="244"/>
      <c r="Z39" s="244"/>
      <c r="AA39" s="244"/>
      <c r="AB39" s="244"/>
      <c r="AC39" s="244"/>
      <c r="AD39" s="244"/>
    </row>
    <row r="41" spans="1:30" x14ac:dyDescent="0.35">
      <c r="A41" s="275" t="s">
        <v>125</v>
      </c>
      <c r="B41" s="247"/>
      <c r="C41" s="278" t="s">
        <v>36</v>
      </c>
      <c r="D41" s="278"/>
      <c r="E41" s="278"/>
      <c r="F41" s="278"/>
      <c r="G41" s="250"/>
      <c r="H41" s="26"/>
      <c r="I41" s="278" t="s">
        <v>109</v>
      </c>
      <c r="J41" s="278"/>
      <c r="K41" s="278"/>
      <c r="L41" s="278"/>
      <c r="M41" s="278"/>
      <c r="N41" s="278"/>
      <c r="O41" s="250"/>
      <c r="P41" s="247"/>
      <c r="Q41" s="278" t="s">
        <v>37</v>
      </c>
      <c r="R41" s="278"/>
      <c r="S41" s="278"/>
      <c r="T41" s="278"/>
      <c r="U41" s="278"/>
      <c r="V41" s="250"/>
      <c r="W41" s="250"/>
      <c r="X41" s="278" t="s">
        <v>75</v>
      </c>
      <c r="Y41" s="278"/>
      <c r="Z41" s="278"/>
      <c r="AA41" s="278"/>
      <c r="AB41" s="278"/>
      <c r="AC41" s="278"/>
      <c r="AD41" s="250"/>
    </row>
    <row r="42" spans="1:30" ht="15" customHeight="1" x14ac:dyDescent="0.35">
      <c r="A42" s="276"/>
      <c r="B42" s="248"/>
      <c r="C42" s="249" t="s">
        <v>39</v>
      </c>
      <c r="D42" s="249">
        <v>0.50782000000000005</v>
      </c>
      <c r="E42" s="249" t="s">
        <v>110</v>
      </c>
      <c r="F42" s="249">
        <v>100</v>
      </c>
      <c r="G42" s="249"/>
      <c r="H42" s="249"/>
      <c r="I42" s="249" t="s">
        <v>110</v>
      </c>
      <c r="J42" s="249">
        <v>200</v>
      </c>
      <c r="K42" s="249"/>
      <c r="L42" s="9"/>
      <c r="M42" s="249"/>
      <c r="N42" s="276" t="s">
        <v>41</v>
      </c>
      <c r="O42" s="276" t="s">
        <v>111</v>
      </c>
      <c r="P42" s="248"/>
      <c r="Q42" s="249" t="s">
        <v>39</v>
      </c>
      <c r="R42" s="249">
        <v>0.50793999999999995</v>
      </c>
      <c r="S42" s="249" t="s">
        <v>110</v>
      </c>
      <c r="T42" s="249">
        <v>100</v>
      </c>
      <c r="U42" s="249"/>
      <c r="V42" s="249"/>
      <c r="W42" s="249"/>
      <c r="X42" s="249" t="s">
        <v>110</v>
      </c>
      <c r="Y42" s="249">
        <v>100</v>
      </c>
      <c r="Z42" s="249"/>
      <c r="AA42" s="9"/>
      <c r="AB42" s="249"/>
      <c r="AC42" s="276" t="s">
        <v>41</v>
      </c>
      <c r="AD42" s="276" t="s">
        <v>40</v>
      </c>
    </row>
    <row r="43" spans="1:30" x14ac:dyDescent="0.35">
      <c r="A43" s="276"/>
      <c r="B43" s="248"/>
      <c r="C43" s="277" t="s">
        <v>42</v>
      </c>
      <c r="D43" s="277"/>
      <c r="E43" s="277" t="s">
        <v>43</v>
      </c>
      <c r="F43" s="277"/>
      <c r="G43" s="277" t="s">
        <v>44</v>
      </c>
      <c r="H43" s="249"/>
      <c r="I43" s="277" t="s">
        <v>42</v>
      </c>
      <c r="J43" s="277"/>
      <c r="K43" s="277" t="s">
        <v>43</v>
      </c>
      <c r="L43" s="277"/>
      <c r="M43" s="277" t="s">
        <v>44</v>
      </c>
      <c r="N43" s="276"/>
      <c r="O43" s="276"/>
      <c r="P43" s="248"/>
      <c r="Q43" s="277" t="s">
        <v>42</v>
      </c>
      <c r="R43" s="277"/>
      <c r="S43" s="277" t="s">
        <v>43</v>
      </c>
      <c r="T43" s="277"/>
      <c r="U43" s="277" t="s">
        <v>44</v>
      </c>
      <c r="V43" s="276" t="s">
        <v>121</v>
      </c>
      <c r="W43" s="248"/>
      <c r="X43" s="277" t="s">
        <v>42</v>
      </c>
      <c r="Y43" s="277"/>
      <c r="Z43" s="277" t="s">
        <v>43</v>
      </c>
      <c r="AA43" s="277"/>
      <c r="AB43" s="277" t="s">
        <v>44</v>
      </c>
      <c r="AC43" s="276"/>
      <c r="AD43" s="276"/>
    </row>
    <row r="44" spans="1:30" x14ac:dyDescent="0.35">
      <c r="A44" s="276"/>
      <c r="B44" s="248"/>
      <c r="C44" s="277"/>
      <c r="D44" s="277"/>
      <c r="E44" s="277"/>
      <c r="F44" s="277"/>
      <c r="G44" s="277"/>
      <c r="H44" s="249"/>
      <c r="I44" s="277"/>
      <c r="J44" s="277"/>
      <c r="K44" s="277"/>
      <c r="L44" s="277"/>
      <c r="M44" s="277"/>
      <c r="N44" s="276"/>
      <c r="O44" s="276"/>
      <c r="P44" s="248"/>
      <c r="Q44" s="277"/>
      <c r="R44" s="277"/>
      <c r="S44" s="277"/>
      <c r="T44" s="277"/>
      <c r="U44" s="277"/>
      <c r="V44" s="276"/>
      <c r="W44" s="248"/>
      <c r="X44" s="277"/>
      <c r="Y44" s="277"/>
      <c r="Z44" s="277"/>
      <c r="AA44" s="277"/>
      <c r="AB44" s="277"/>
      <c r="AC44" s="276"/>
      <c r="AD44" s="276"/>
    </row>
    <row r="45" spans="1:30" x14ac:dyDescent="0.35">
      <c r="A45" s="276"/>
      <c r="B45" s="248"/>
      <c r="C45" s="249" t="s">
        <v>47</v>
      </c>
      <c r="D45" s="249" t="s">
        <v>48</v>
      </c>
      <c r="E45" s="249" t="s">
        <v>47</v>
      </c>
      <c r="F45" s="249" t="s">
        <v>48</v>
      </c>
      <c r="G45" s="249"/>
      <c r="H45" s="249"/>
      <c r="I45" s="249" t="s">
        <v>117</v>
      </c>
      <c r="J45" s="249" t="s">
        <v>48</v>
      </c>
      <c r="K45" s="249" t="s">
        <v>86</v>
      </c>
      <c r="L45" s="249" t="s">
        <v>48</v>
      </c>
      <c r="M45" s="249"/>
      <c r="N45" s="249"/>
      <c r="O45" s="249"/>
      <c r="P45" s="248"/>
      <c r="Q45" s="249" t="s">
        <v>117</v>
      </c>
      <c r="R45" s="249" t="s">
        <v>48</v>
      </c>
      <c r="S45" s="249" t="s">
        <v>47</v>
      </c>
      <c r="T45" s="249" t="s">
        <v>48</v>
      </c>
      <c r="U45" s="277"/>
      <c r="V45" s="63">
        <f>I59</f>
        <v>0.49861875713846754</v>
      </c>
      <c r="W45" s="12"/>
      <c r="X45" s="249" t="s">
        <v>47</v>
      </c>
      <c r="Y45" s="249" t="s">
        <v>48</v>
      </c>
      <c r="Z45" s="249" t="s">
        <v>86</v>
      </c>
      <c r="AA45" s="249" t="s">
        <v>48</v>
      </c>
      <c r="AB45" s="249"/>
      <c r="AC45" s="249"/>
      <c r="AD45" s="249"/>
    </row>
    <row r="46" spans="1:30" x14ac:dyDescent="0.35">
      <c r="A46" s="276"/>
      <c r="B46" s="248">
        <v>4</v>
      </c>
      <c r="C46" s="22">
        <v>3.0088409999999999</v>
      </c>
      <c r="D46" s="23">
        <v>1.963664E-5</v>
      </c>
      <c r="E46" s="23">
        <v>7.1254809999999995E-5</v>
      </c>
      <c r="F46" s="23">
        <v>1.305794E-5</v>
      </c>
      <c r="G46" s="23">
        <f>(C46-E46)/(J42/F42)</f>
        <v>1.504384872595</v>
      </c>
      <c r="H46" s="250">
        <v>1</v>
      </c>
      <c r="I46" s="57">
        <v>6.7849839999999997</v>
      </c>
      <c r="J46" s="23">
        <v>4.5003769999999998E-3</v>
      </c>
      <c r="K46" s="23">
        <v>2.5770279999999999E-3</v>
      </c>
      <c r="L46" s="23">
        <v>4.3251079999999999E-4</v>
      </c>
      <c r="M46" s="23">
        <f>I46-K46</f>
        <v>6.7824069719999995</v>
      </c>
      <c r="N46" s="54">
        <f>D42*$D$4*(M46/G46)*V45</f>
        <v>1087.5185480265823</v>
      </c>
      <c r="O46" s="54">
        <f>R42*$D$4*(M46/U46)*V45</f>
        <v>1087.7655362210035</v>
      </c>
      <c r="P46" s="247">
        <v>2</v>
      </c>
      <c r="Q46" s="22">
        <v>3.0088699999999999</v>
      </c>
      <c r="R46" s="23">
        <v>1.9860450000000001E-5</v>
      </c>
      <c r="S46" s="23">
        <v>7.2602989999999995E-5</v>
      </c>
      <c r="T46" s="23">
        <v>1.816253E-5</v>
      </c>
      <c r="U46" s="23">
        <f>(Q46-S46)/(J42/T42)</f>
        <v>1.504398698505</v>
      </c>
      <c r="V46" s="23"/>
      <c r="W46" s="52">
        <v>8</v>
      </c>
      <c r="X46" s="23">
        <v>2.08019</v>
      </c>
      <c r="Y46" s="23">
        <v>1.8326559999999999E-5</v>
      </c>
      <c r="Z46" s="23">
        <v>1.02606E-4</v>
      </c>
      <c r="AA46" s="23">
        <v>1.344726E-5</v>
      </c>
      <c r="AB46" s="23">
        <f>(X46-Z46)/(T42/Y42)</f>
        <v>2.080087394</v>
      </c>
      <c r="AC46" s="53">
        <f>D42*(AB46/U46)*V45</f>
        <v>0.35010397849580921</v>
      </c>
      <c r="AD46" s="237">
        <f>R42*AB46/U46*V45</f>
        <v>0.35018670953716141</v>
      </c>
    </row>
    <row r="47" spans="1:30" x14ac:dyDescent="0.35">
      <c r="A47" s="276"/>
      <c r="B47" s="248">
        <v>9</v>
      </c>
      <c r="C47" s="18">
        <v>3.0101619999999998</v>
      </c>
      <c r="D47" s="263">
        <v>2.9848950000000002E-5</v>
      </c>
      <c r="E47" s="263">
        <v>5.3441369999999998E-5</v>
      </c>
      <c r="F47" s="263">
        <v>1.8128319999999999E-5</v>
      </c>
      <c r="G47" s="23">
        <f>(C47-E47)/(J42/F42)</f>
        <v>1.5050542793149999</v>
      </c>
      <c r="H47" s="249">
        <v>3</v>
      </c>
      <c r="I47" s="13">
        <v>6.7840379999999998</v>
      </c>
      <c r="J47" s="263">
        <v>3.3620770000000002E-3</v>
      </c>
      <c r="K47" s="263">
        <v>2.1602420000000002E-3</v>
      </c>
      <c r="L47" s="263">
        <v>3.6785179999999999E-4</v>
      </c>
      <c r="M47" s="263">
        <f>I47-K47</f>
        <v>6.7818777579999994</v>
      </c>
      <c r="N47" s="56">
        <f>D42*$D$4*(M47/G46)*V45</f>
        <v>1087.4336917147668</v>
      </c>
      <c r="O47" s="56">
        <f>R42*$D$4*(M47/U46)*V45</f>
        <v>1087.6806606373261</v>
      </c>
      <c r="P47" s="248">
        <v>6</v>
      </c>
      <c r="Q47" s="263">
        <v>3.010195</v>
      </c>
      <c r="R47" s="263">
        <v>2.725365E-5</v>
      </c>
      <c r="S47" s="263">
        <v>1.169782E-4</v>
      </c>
      <c r="T47" s="263">
        <v>1.4068329999999999E-5</v>
      </c>
      <c r="U47" s="263">
        <f>(Q47-S47)/(J42/T42)</f>
        <v>1.5050390109</v>
      </c>
      <c r="V47" s="249"/>
      <c r="W47" s="249"/>
      <c r="X47" s="249"/>
      <c r="Y47" s="249"/>
      <c r="Z47" s="249"/>
      <c r="AA47" s="249"/>
      <c r="AB47" s="249"/>
      <c r="AC47" s="249"/>
      <c r="AD47" s="249"/>
    </row>
    <row r="48" spans="1:30" s="46" customFormat="1" x14ac:dyDescent="0.35">
      <c r="A48" s="249"/>
      <c r="B48" s="249"/>
      <c r="C48" s="249"/>
      <c r="D48" s="249"/>
      <c r="E48" s="249"/>
      <c r="F48" s="249"/>
      <c r="G48" s="249"/>
      <c r="H48" s="249">
        <v>5</v>
      </c>
      <c r="I48" s="13">
        <v>6.7791180000000004</v>
      </c>
      <c r="J48" s="263">
        <v>4.450351E-3</v>
      </c>
      <c r="K48" s="263">
        <v>1.322824E-3</v>
      </c>
      <c r="L48" s="263">
        <v>4.8241750000000002E-4</v>
      </c>
      <c r="M48" s="263">
        <f>I48-K48</f>
        <v>6.7777951760000006</v>
      </c>
      <c r="N48" s="56">
        <f>D42*$D$4*(M48/G46)*V45</f>
        <v>1086.779074015303</v>
      </c>
      <c r="O48" s="56">
        <f>R42*$D$4*(M48/U47)*V45</f>
        <v>1086.5634237599445</v>
      </c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</row>
    <row r="49" spans="1:15" x14ac:dyDescent="0.35">
      <c r="A49" s="244"/>
      <c r="B49" s="244"/>
      <c r="C49" s="244"/>
      <c r="D49" s="244"/>
      <c r="E49" s="244"/>
      <c r="F49" s="244"/>
      <c r="G49" s="244"/>
      <c r="H49" s="244">
        <v>7</v>
      </c>
      <c r="I49" s="58">
        <v>6.7779319999999998</v>
      </c>
      <c r="J49" s="244" t="s">
        <v>126</v>
      </c>
      <c r="K49" s="3">
        <v>1.441005E-3</v>
      </c>
      <c r="L49" s="3">
        <v>4.9322530000000002E-4</v>
      </c>
      <c r="M49" s="263">
        <f>I49-K49</f>
        <v>6.7764909949999996</v>
      </c>
      <c r="N49" s="56">
        <f>D42*$D$4*(M49/G47)*V45</f>
        <v>1086.0866799512837</v>
      </c>
      <c r="O49" s="56">
        <f>R42*$D$4*(M49/U47)*V45</f>
        <v>1086.3543476023201</v>
      </c>
    </row>
    <row r="50" spans="1:15" x14ac:dyDescent="0.35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60">
        <f>AVERAGE(N46:O49)</f>
        <v>1087.0227452410663</v>
      </c>
    </row>
    <row r="51" spans="1:15" x14ac:dyDescent="0.35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68">
        <f>_xlfn.STDEV.S(N46:O49)</f>
        <v>0.65384729916594508</v>
      </c>
    </row>
    <row r="52" spans="1:15" x14ac:dyDescent="0.35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68">
        <f>O51*100/O50</f>
        <v>6.0150286829641547E-2</v>
      </c>
    </row>
    <row r="54" spans="1:15" x14ac:dyDescent="0.35">
      <c r="A54" s="310" t="s">
        <v>92</v>
      </c>
      <c r="B54" s="278"/>
      <c r="C54" s="278"/>
      <c r="D54" s="278"/>
      <c r="E54" s="278"/>
      <c r="F54" s="278"/>
      <c r="G54" s="278"/>
      <c r="H54" s="278"/>
      <c r="I54" s="302"/>
      <c r="J54" s="244"/>
      <c r="K54" s="244"/>
      <c r="L54" s="244"/>
      <c r="M54" s="244"/>
      <c r="N54" s="244"/>
      <c r="O54" s="244"/>
    </row>
    <row r="55" spans="1:15" x14ac:dyDescent="0.35">
      <c r="A55" s="259" t="s">
        <v>93</v>
      </c>
      <c r="B55" s="250"/>
      <c r="C55" s="250"/>
      <c r="D55" s="278" t="s">
        <v>127</v>
      </c>
      <c r="E55" s="278"/>
      <c r="F55" s="278" t="s">
        <v>128</v>
      </c>
      <c r="G55" s="278"/>
      <c r="H55" s="278"/>
      <c r="I55" s="302" t="s">
        <v>44</v>
      </c>
      <c r="J55" s="244"/>
      <c r="K55" s="244"/>
      <c r="L55" s="244"/>
      <c r="M55" s="244"/>
      <c r="N55" s="244"/>
      <c r="O55" s="244"/>
    </row>
    <row r="56" spans="1:15" x14ac:dyDescent="0.35">
      <c r="A56" s="29" t="s">
        <v>129</v>
      </c>
      <c r="B56" s="249"/>
      <c r="C56" s="249"/>
      <c r="D56" s="249" t="s">
        <v>130</v>
      </c>
      <c r="E56" s="249" t="s">
        <v>131</v>
      </c>
      <c r="F56" s="8" t="s">
        <v>130</v>
      </c>
      <c r="G56" s="277" t="s">
        <v>131</v>
      </c>
      <c r="H56" s="277"/>
      <c r="I56" s="303"/>
      <c r="J56" s="244"/>
      <c r="K56" s="244"/>
      <c r="L56" s="244"/>
      <c r="M56" s="244"/>
      <c r="N56" s="244"/>
      <c r="O56" s="244"/>
    </row>
    <row r="57" spans="1:15" x14ac:dyDescent="0.35">
      <c r="A57" s="253" t="s">
        <v>132</v>
      </c>
      <c r="B57" s="249" t="s">
        <v>12</v>
      </c>
      <c r="C57" s="248" t="s">
        <v>133</v>
      </c>
      <c r="D57" s="263">
        <v>8.2421780000000003E-5</v>
      </c>
      <c r="E57" s="263">
        <v>8.030728E-7</v>
      </c>
      <c r="F57" s="263">
        <v>-1.126579E-6</v>
      </c>
      <c r="G57" s="315">
        <v>7.3227589999999999E-7</v>
      </c>
      <c r="H57" s="277"/>
      <c r="I57" s="31">
        <f>D57-F57</f>
        <v>8.3548359000000009E-5</v>
      </c>
      <c r="J57" s="244"/>
      <c r="K57" s="244"/>
      <c r="L57" s="244"/>
      <c r="M57" s="244"/>
      <c r="N57" s="244"/>
      <c r="O57" s="244"/>
    </row>
    <row r="58" spans="1:15" x14ac:dyDescent="0.35">
      <c r="A58" s="253" t="s">
        <v>134</v>
      </c>
      <c r="B58" s="249" t="s">
        <v>35</v>
      </c>
      <c r="C58" s="249" t="s">
        <v>98</v>
      </c>
      <c r="D58" s="263">
        <v>1.654828E-4</v>
      </c>
      <c r="E58" s="263">
        <v>7.5715789999999999E-7</v>
      </c>
      <c r="F58" s="61">
        <v>-2.0767989999999999E-6</v>
      </c>
      <c r="G58" s="315">
        <v>6.5871190000000001E-7</v>
      </c>
      <c r="H58" s="315"/>
      <c r="I58" s="31">
        <f>D58-F58</f>
        <v>1.67559599E-4</v>
      </c>
      <c r="J58" s="244"/>
      <c r="K58" s="244"/>
      <c r="L58" s="244"/>
      <c r="M58" s="244"/>
      <c r="N58" s="244"/>
      <c r="O58" s="244"/>
    </row>
    <row r="59" spans="1:15" x14ac:dyDescent="0.35">
      <c r="A59" s="30"/>
      <c r="B59" s="261"/>
      <c r="C59" s="261"/>
      <c r="D59" s="261"/>
      <c r="E59" s="261"/>
      <c r="F59" s="62"/>
      <c r="G59" s="312" t="s">
        <v>90</v>
      </c>
      <c r="H59" s="312"/>
      <c r="I59" s="64">
        <f>I57/I58</f>
        <v>0.49861875713846754</v>
      </c>
      <c r="J59" s="244"/>
      <c r="K59" s="244"/>
      <c r="L59" s="244"/>
      <c r="M59" s="244"/>
      <c r="N59" s="244"/>
      <c r="O59" s="244"/>
    </row>
    <row r="60" spans="1:15" x14ac:dyDescent="0.35">
      <c r="A60" s="244"/>
      <c r="B60" s="244"/>
      <c r="C60" s="249"/>
      <c r="D60" s="249"/>
      <c r="E60" s="249"/>
      <c r="F60" s="249"/>
      <c r="G60" s="249"/>
      <c r="H60" s="244"/>
      <c r="I60" s="244"/>
      <c r="J60" s="244"/>
      <c r="K60" s="244"/>
      <c r="L60" s="244"/>
      <c r="M60" s="244"/>
      <c r="N60" s="244"/>
      <c r="O60" s="244"/>
    </row>
    <row r="61" spans="1:15" x14ac:dyDescent="0.35">
      <c r="A61" s="244"/>
      <c r="B61" s="244"/>
      <c r="C61" s="249"/>
      <c r="D61" s="249"/>
      <c r="E61" s="249"/>
      <c r="F61" s="249"/>
      <c r="G61" s="249"/>
      <c r="H61" s="244"/>
      <c r="I61" s="244"/>
      <c r="J61" s="244"/>
      <c r="K61" s="244"/>
      <c r="L61" s="244"/>
      <c r="M61" s="244"/>
      <c r="N61" s="244"/>
      <c r="O61" s="244"/>
    </row>
    <row r="62" spans="1:15" x14ac:dyDescent="0.35">
      <c r="A62" s="244"/>
      <c r="B62" s="244"/>
      <c r="C62" s="249"/>
      <c r="D62" s="249"/>
      <c r="E62" s="249"/>
      <c r="F62" s="249"/>
      <c r="G62" s="249"/>
      <c r="H62" s="244"/>
      <c r="I62" s="244"/>
      <c r="J62" s="244"/>
      <c r="K62" s="244"/>
      <c r="L62" s="244"/>
      <c r="M62" s="244"/>
      <c r="N62" s="244"/>
      <c r="O62" s="244"/>
    </row>
    <row r="63" spans="1:15" x14ac:dyDescent="0.35">
      <c r="A63" s="244"/>
      <c r="B63" s="244"/>
      <c r="C63" s="249"/>
      <c r="D63" s="249"/>
      <c r="E63" s="249"/>
      <c r="F63" s="249"/>
      <c r="G63" s="249"/>
      <c r="H63" s="244"/>
      <c r="I63" s="244"/>
      <c r="J63" s="244"/>
      <c r="K63" s="244"/>
      <c r="L63" s="244"/>
      <c r="M63" s="244"/>
      <c r="N63" s="244"/>
      <c r="O63" s="244"/>
    </row>
  </sheetData>
  <mergeCells count="71">
    <mergeCell ref="A23:A24"/>
    <mergeCell ref="C23:D23"/>
    <mergeCell ref="C24:D24"/>
    <mergeCell ref="I1:N1"/>
    <mergeCell ref="I3:J3"/>
    <mergeCell ref="K3:L3"/>
    <mergeCell ref="M3:N3"/>
    <mergeCell ref="A5:D5"/>
    <mergeCell ref="S28:T29"/>
    <mergeCell ref="A26:A32"/>
    <mergeCell ref="C26:F26"/>
    <mergeCell ref="I26:N26"/>
    <mergeCell ref="Q26:U26"/>
    <mergeCell ref="N27:N29"/>
    <mergeCell ref="O27:O29"/>
    <mergeCell ref="C28:D29"/>
    <mergeCell ref="E28:F29"/>
    <mergeCell ref="G28:G29"/>
    <mergeCell ref="I28:J29"/>
    <mergeCell ref="K28:L29"/>
    <mergeCell ref="M28:M29"/>
    <mergeCell ref="Q28:R29"/>
    <mergeCell ref="U28:U30"/>
    <mergeCell ref="V28:V29"/>
    <mergeCell ref="X26:AC26"/>
    <mergeCell ref="AC27:AC29"/>
    <mergeCell ref="AD27:AD29"/>
    <mergeCell ref="X28:Y29"/>
    <mergeCell ref="Z28:AA29"/>
    <mergeCell ref="AB28:AB29"/>
    <mergeCell ref="I33:N33"/>
    <mergeCell ref="N34:N36"/>
    <mergeCell ref="O34:O36"/>
    <mergeCell ref="I35:J36"/>
    <mergeCell ref="K35:L36"/>
    <mergeCell ref="M35:M36"/>
    <mergeCell ref="Q33:U33"/>
    <mergeCell ref="Q35:R36"/>
    <mergeCell ref="S35:T36"/>
    <mergeCell ref="U35:U37"/>
    <mergeCell ref="V35:V36"/>
    <mergeCell ref="A41:A47"/>
    <mergeCell ref="C41:F41"/>
    <mergeCell ref="I41:N41"/>
    <mergeCell ref="Q41:U41"/>
    <mergeCell ref="X43:Y44"/>
    <mergeCell ref="X41:AC41"/>
    <mergeCell ref="N42:N44"/>
    <mergeCell ref="O42:O44"/>
    <mergeCell ref="AC42:AC44"/>
    <mergeCell ref="V43:V44"/>
    <mergeCell ref="Z43:AA44"/>
    <mergeCell ref="AB43:AB44"/>
    <mergeCell ref="AD42:AD44"/>
    <mergeCell ref="C43:D44"/>
    <mergeCell ref="E43:F44"/>
    <mergeCell ref="G43:G44"/>
    <mergeCell ref="I43:J44"/>
    <mergeCell ref="K43:L44"/>
    <mergeCell ref="M43:M44"/>
    <mergeCell ref="Q43:R44"/>
    <mergeCell ref="S43:T44"/>
    <mergeCell ref="U43:U45"/>
    <mergeCell ref="G58:H58"/>
    <mergeCell ref="A54:I54"/>
    <mergeCell ref="I55:I56"/>
    <mergeCell ref="G59:H59"/>
    <mergeCell ref="G56:H56"/>
    <mergeCell ref="G57:H57"/>
    <mergeCell ref="D55:E55"/>
    <mergeCell ref="F55:H5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BA635-5214-49CC-BE52-884AB4689D2D}">
  <sheetPr>
    <tabColor theme="9" tint="-0.249977111117893"/>
  </sheetPr>
  <dimension ref="A1:AD59"/>
  <sheetViews>
    <sheetView topLeftCell="E10" zoomScale="70" zoomScaleNormal="70" workbookViewId="0">
      <selection activeCell="U38" sqref="U38"/>
    </sheetView>
  </sheetViews>
  <sheetFormatPr defaultColWidth="9.1796875" defaultRowHeight="14.5" x14ac:dyDescent="0.35"/>
  <cols>
    <col min="1" max="1" width="36" style="182" bestFit="1" customWidth="1"/>
    <col min="2" max="2" width="4.26953125" style="182" bestFit="1" customWidth="1"/>
    <col min="3" max="3" width="20.7265625" style="182" bestFit="1" customWidth="1"/>
    <col min="4" max="4" width="14.1796875" style="182" bestFit="1" customWidth="1"/>
    <col min="5" max="5" width="14.26953125" style="182" bestFit="1" customWidth="1"/>
    <col min="6" max="6" width="14.453125" style="182" bestFit="1" customWidth="1"/>
    <col min="7" max="7" width="14.26953125" style="182" bestFit="1" customWidth="1"/>
    <col min="8" max="8" width="2.54296875" style="182" bestFit="1" customWidth="1"/>
    <col min="9" max="9" width="15.7265625" style="182" bestFit="1" customWidth="1"/>
    <col min="10" max="11" width="14.453125" style="182" bestFit="1" customWidth="1"/>
    <col min="12" max="12" width="14.7265625" style="182" bestFit="1" customWidth="1"/>
    <col min="13" max="13" width="14.453125" style="182" bestFit="1" customWidth="1"/>
    <col min="14" max="15" width="14.1796875" style="182" bestFit="1" customWidth="1"/>
    <col min="16" max="16" width="2.54296875" style="182" bestFit="1" customWidth="1"/>
    <col min="17" max="17" width="14.81640625" style="182" bestFit="1" customWidth="1"/>
    <col min="18" max="18" width="14.26953125" style="182" bestFit="1" customWidth="1"/>
    <col min="19" max="19" width="13.54296875" style="182" bestFit="1" customWidth="1"/>
    <col min="20" max="20" width="13.81640625" style="182" customWidth="1"/>
    <col min="21" max="22" width="14.1796875" style="182" bestFit="1" customWidth="1"/>
    <col min="23" max="23" width="2.54296875" style="182" bestFit="1" customWidth="1"/>
    <col min="24" max="24" width="14.7265625" style="182" bestFit="1" customWidth="1"/>
    <col min="25" max="25" width="13.81640625" style="182" customWidth="1"/>
    <col min="26" max="26" width="14.1796875" style="182" bestFit="1" customWidth="1"/>
    <col min="27" max="27" width="13.81640625" style="182" customWidth="1"/>
    <col min="28" max="28" width="14.453125" style="182" bestFit="1" customWidth="1"/>
    <col min="29" max="29" width="28.453125" style="182" bestFit="1" customWidth="1"/>
    <col min="30" max="30" width="17.453125" style="182" bestFit="1" customWidth="1"/>
    <col min="31" max="16384" width="9.1796875" style="182"/>
  </cols>
  <sheetData>
    <row r="1" spans="1:26" x14ac:dyDescent="0.35">
      <c r="A1" s="245" t="s">
        <v>100</v>
      </c>
      <c r="B1" s="245"/>
      <c r="C1" s="245">
        <v>22.9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</row>
    <row r="2" spans="1:26" x14ac:dyDescent="0.35">
      <c r="A2" s="245" t="s">
        <v>101</v>
      </c>
      <c r="B2" s="245"/>
      <c r="C2" s="245">
        <v>54.4</v>
      </c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</row>
    <row r="3" spans="1:26" x14ac:dyDescent="0.35">
      <c r="A3" s="245" t="s">
        <v>0</v>
      </c>
      <c r="B3" s="245"/>
      <c r="C3" s="245" t="s">
        <v>135</v>
      </c>
      <c r="D3" s="245" t="s">
        <v>136</v>
      </c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</row>
    <row r="4" spans="1:26" ht="35.5" customHeight="1" x14ac:dyDescent="0.35">
      <c r="A4" s="245" t="s">
        <v>137</v>
      </c>
      <c r="B4" s="245"/>
      <c r="C4" s="245" t="s">
        <v>3</v>
      </c>
      <c r="D4" s="245">
        <v>1000</v>
      </c>
      <c r="E4" s="245" t="s">
        <v>5</v>
      </c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</row>
    <row r="5" spans="1:26" ht="29" x14ac:dyDescent="0.35">
      <c r="A5" s="245" t="s">
        <v>6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</row>
    <row r="6" spans="1:26" x14ac:dyDescent="0.35">
      <c r="A6" s="245" t="s">
        <v>138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</row>
    <row r="7" spans="1:26" x14ac:dyDescent="0.35">
      <c r="A7" s="245" t="s">
        <v>8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</row>
    <row r="8" spans="1:26" x14ac:dyDescent="0.35">
      <c r="A8" s="245" t="s">
        <v>9</v>
      </c>
      <c r="B8" s="245"/>
      <c r="C8" s="245" t="s">
        <v>65</v>
      </c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</row>
    <row r="9" spans="1:26" x14ac:dyDescent="0.35">
      <c r="A9" s="245" t="s">
        <v>10</v>
      </c>
      <c r="B9" s="245"/>
      <c r="C9" s="245" t="s">
        <v>122</v>
      </c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</row>
    <row r="10" spans="1:26" x14ac:dyDescent="0.35">
      <c r="A10" s="245" t="s">
        <v>11</v>
      </c>
      <c r="B10" s="245"/>
      <c r="C10" s="245" t="s">
        <v>12</v>
      </c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</row>
    <row r="11" spans="1:26" x14ac:dyDescent="0.35">
      <c r="A11" s="245" t="s">
        <v>13</v>
      </c>
      <c r="B11" s="245"/>
      <c r="C11" s="245" t="s">
        <v>14</v>
      </c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 t="s">
        <v>139</v>
      </c>
      <c r="R11" s="245"/>
      <c r="S11" s="245"/>
      <c r="T11" s="245"/>
      <c r="U11" s="245"/>
      <c r="V11" s="245"/>
      <c r="W11" s="245"/>
      <c r="X11" s="245" t="s">
        <v>75</v>
      </c>
      <c r="Y11" s="245"/>
      <c r="Z11" s="245"/>
    </row>
    <row r="12" spans="1:26" ht="43.5" x14ac:dyDescent="0.35">
      <c r="A12" s="245" t="s">
        <v>70</v>
      </c>
      <c r="B12" s="245"/>
      <c r="C12" s="245" t="s">
        <v>71</v>
      </c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 t="s">
        <v>41</v>
      </c>
      <c r="O12" s="245" t="s">
        <v>111</v>
      </c>
      <c r="P12" s="245"/>
      <c r="Q12" s="245" t="s">
        <v>39</v>
      </c>
      <c r="R12" s="245">
        <v>0.50793999999999995</v>
      </c>
      <c r="S12" s="245" t="s">
        <v>110</v>
      </c>
      <c r="T12" s="245">
        <v>200</v>
      </c>
      <c r="U12" s="245"/>
      <c r="V12" s="245"/>
      <c r="W12" s="245"/>
      <c r="X12" s="245"/>
      <c r="Y12" s="245"/>
      <c r="Z12" s="245"/>
    </row>
    <row r="13" spans="1:26" x14ac:dyDescent="0.35">
      <c r="A13" s="245" t="s">
        <v>16</v>
      </c>
      <c r="B13" s="245"/>
      <c r="C13" s="245" t="s">
        <v>17</v>
      </c>
      <c r="D13" s="245"/>
      <c r="E13" s="245"/>
      <c r="F13" s="245"/>
      <c r="G13" s="245"/>
      <c r="H13" s="245"/>
      <c r="I13" s="245"/>
      <c r="J13" s="245"/>
      <c r="K13" s="245"/>
      <c r="L13" s="245"/>
      <c r="M13" s="245" t="s">
        <v>44</v>
      </c>
      <c r="N13" s="245"/>
      <c r="O13" s="245"/>
      <c r="P13" s="245"/>
      <c r="Q13" s="245" t="s">
        <v>42</v>
      </c>
      <c r="R13" s="245"/>
      <c r="S13" s="245" t="s">
        <v>43</v>
      </c>
      <c r="T13" s="245"/>
      <c r="U13" s="245" t="s">
        <v>44</v>
      </c>
      <c r="V13" s="245" t="s">
        <v>121</v>
      </c>
      <c r="W13" s="245"/>
      <c r="X13" s="245" t="s">
        <v>42</v>
      </c>
      <c r="Y13" s="245"/>
      <c r="Z13" s="245" t="s">
        <v>43</v>
      </c>
    </row>
    <row r="14" spans="1:26" x14ac:dyDescent="0.35">
      <c r="A14" s="245" t="s">
        <v>18</v>
      </c>
      <c r="B14" s="245"/>
      <c r="C14" s="245" t="s">
        <v>19</v>
      </c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</row>
    <row r="15" spans="1:26" x14ac:dyDescent="0.35">
      <c r="A15" s="245" t="s">
        <v>20</v>
      </c>
      <c r="B15" s="245"/>
      <c r="C15" s="245" t="s">
        <v>21</v>
      </c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 t="s">
        <v>117</v>
      </c>
      <c r="R15" s="245" t="s">
        <v>48</v>
      </c>
      <c r="S15" s="245" t="s">
        <v>47</v>
      </c>
      <c r="T15" s="245" t="s">
        <v>48</v>
      </c>
      <c r="U15" s="245"/>
      <c r="V15" s="245">
        <v>0.49543406979588839</v>
      </c>
      <c r="W15" s="245"/>
      <c r="X15" s="245" t="s">
        <v>47</v>
      </c>
      <c r="Y15" s="245" t="s">
        <v>48</v>
      </c>
      <c r="Z15" s="245" t="s">
        <v>86</v>
      </c>
    </row>
    <row r="16" spans="1:26" x14ac:dyDescent="0.35">
      <c r="A16" s="245" t="s">
        <v>22</v>
      </c>
      <c r="B16" s="245"/>
      <c r="C16" s="245" t="s">
        <v>23</v>
      </c>
      <c r="D16" s="245"/>
      <c r="E16" s="245"/>
      <c r="F16" s="245"/>
      <c r="G16" s="245"/>
      <c r="H16" s="245"/>
      <c r="I16" s="245"/>
      <c r="J16" s="245"/>
      <c r="K16" s="245"/>
      <c r="L16" s="245"/>
      <c r="M16" s="245">
        <f>I31-K31</f>
        <v>0.13600000000000001</v>
      </c>
      <c r="N16" s="245">
        <f>D27*$D$4*(M16/G31)</f>
        <v>2294.4691029900337</v>
      </c>
      <c r="O16" s="245">
        <f>R12*$D$4*(M16/U16)</f>
        <v>2295.0112956810631</v>
      </c>
      <c r="P16" s="245">
        <v>2</v>
      </c>
      <c r="Q16" s="245">
        <v>3.0099999999999998E-2</v>
      </c>
      <c r="R16" s="245"/>
      <c r="S16" s="245"/>
      <c r="T16" s="245"/>
      <c r="U16" s="245">
        <f>Q16-S16</f>
        <v>3.0099999999999998E-2</v>
      </c>
      <c r="V16" s="245"/>
      <c r="W16" s="245">
        <v>4</v>
      </c>
      <c r="X16" s="245">
        <v>2.0799999999999999E-2</v>
      </c>
      <c r="Y16" s="245"/>
      <c r="Z16" s="245"/>
    </row>
    <row r="17" spans="1:30" x14ac:dyDescent="0.35">
      <c r="A17" s="245" t="s">
        <v>24</v>
      </c>
      <c r="B17" s="245"/>
      <c r="C17" s="245" t="s">
        <v>25</v>
      </c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>
        <f>O16*V15</f>
        <v>1137.026786446804</v>
      </c>
      <c r="P17" s="245"/>
      <c r="Q17" s="245"/>
      <c r="R17" s="245"/>
      <c r="S17" s="245"/>
      <c r="T17" s="245"/>
      <c r="U17" s="245">
        <f>Q17-S17</f>
        <v>0</v>
      </c>
      <c r="V17" s="245"/>
      <c r="W17" s="245"/>
      <c r="X17" s="245"/>
      <c r="Y17" s="245"/>
      <c r="Z17" s="245"/>
      <c r="AA17" s="245"/>
      <c r="AB17" s="245"/>
      <c r="AC17" s="245"/>
      <c r="AD17" s="245"/>
    </row>
    <row r="18" spans="1:30" x14ac:dyDescent="0.35">
      <c r="A18" s="245" t="s">
        <v>26</v>
      </c>
      <c r="B18" s="245"/>
      <c r="C18" s="245" t="s">
        <v>27</v>
      </c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 t="s">
        <v>37</v>
      </c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</row>
    <row r="19" spans="1:30" ht="43.5" x14ac:dyDescent="0.35">
      <c r="A19" s="245" t="s">
        <v>28</v>
      </c>
      <c r="B19" s="245"/>
      <c r="C19" s="245" t="s">
        <v>23</v>
      </c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 t="s">
        <v>41</v>
      </c>
      <c r="O19" s="245" t="s">
        <v>111</v>
      </c>
      <c r="P19" s="245"/>
      <c r="Q19" s="245" t="s">
        <v>39</v>
      </c>
      <c r="R19" s="245">
        <v>0.50793999999999995</v>
      </c>
      <c r="S19" s="245" t="s">
        <v>110</v>
      </c>
      <c r="T19" s="245">
        <v>100</v>
      </c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</row>
    <row r="20" spans="1:30" x14ac:dyDescent="0.35">
      <c r="A20" s="245" t="s">
        <v>29</v>
      </c>
      <c r="B20" s="245"/>
      <c r="C20" s="245" t="s">
        <v>30</v>
      </c>
      <c r="D20" s="245"/>
      <c r="E20" s="245"/>
      <c r="F20" s="245"/>
      <c r="G20" s="245"/>
      <c r="H20" s="245"/>
      <c r="I20" s="245"/>
      <c r="J20" s="245"/>
      <c r="K20" s="245"/>
      <c r="L20" s="245"/>
      <c r="M20" s="245" t="s">
        <v>44</v>
      </c>
      <c r="N20" s="245"/>
      <c r="O20" s="245"/>
      <c r="P20" s="245"/>
      <c r="Q20" s="245" t="s">
        <v>42</v>
      </c>
      <c r="R20" s="245"/>
      <c r="S20" s="245" t="s">
        <v>43</v>
      </c>
      <c r="T20" s="245"/>
      <c r="U20" s="245" t="s">
        <v>44</v>
      </c>
      <c r="V20" s="245" t="s">
        <v>121</v>
      </c>
      <c r="W20" s="245"/>
      <c r="X20" s="245"/>
      <c r="Y20" s="245"/>
      <c r="Z20" s="245"/>
      <c r="AA20" s="245"/>
      <c r="AB20" s="245"/>
      <c r="AC20" s="245"/>
      <c r="AD20" s="245"/>
    </row>
    <row r="21" spans="1:30" ht="29" x14ac:dyDescent="0.35">
      <c r="A21" s="245" t="s">
        <v>31</v>
      </c>
      <c r="B21" s="245"/>
      <c r="C21" s="245" t="s">
        <v>32</v>
      </c>
      <c r="D21" s="245" t="s">
        <v>103</v>
      </c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</row>
    <row r="22" spans="1:30" x14ac:dyDescent="0.35">
      <c r="A22" s="245" t="s">
        <v>33</v>
      </c>
      <c r="B22" s="245"/>
      <c r="C22" s="245" t="s">
        <v>123</v>
      </c>
      <c r="D22" s="245"/>
      <c r="E22" s="245"/>
      <c r="F22" s="245"/>
      <c r="G22" s="245"/>
      <c r="H22" s="245"/>
      <c r="I22" s="245"/>
      <c r="J22" s="245"/>
      <c r="K22" s="245"/>
      <c r="L22" s="191" t="s">
        <v>139</v>
      </c>
      <c r="M22" s="245"/>
      <c r="N22" s="245"/>
      <c r="O22" s="245"/>
      <c r="P22" s="245"/>
      <c r="Q22" s="245" t="s">
        <v>117</v>
      </c>
      <c r="R22" s="245" t="s">
        <v>48</v>
      </c>
      <c r="S22" s="245" t="s">
        <v>47</v>
      </c>
      <c r="T22" s="245" t="s">
        <v>48</v>
      </c>
      <c r="U22" s="245"/>
      <c r="V22" s="245">
        <v>0.49543406979588839</v>
      </c>
      <c r="W22" s="245"/>
      <c r="X22" s="245"/>
      <c r="Y22" s="245"/>
      <c r="Z22" s="245"/>
      <c r="AA22" s="245"/>
      <c r="AB22" s="245"/>
      <c r="AC22" s="245"/>
      <c r="AD22" s="245"/>
    </row>
    <row r="23" spans="1:30" ht="29" x14ac:dyDescent="0.35">
      <c r="A23" s="245" t="s">
        <v>105</v>
      </c>
      <c r="B23" s="245"/>
      <c r="C23" s="245" t="s">
        <v>106</v>
      </c>
      <c r="D23" s="245"/>
      <c r="E23" s="245"/>
      <c r="F23" s="245"/>
      <c r="G23" s="245"/>
      <c r="H23" s="245"/>
      <c r="I23" s="245"/>
      <c r="J23" s="245"/>
      <c r="K23" s="245"/>
      <c r="L23" s="245"/>
      <c r="M23" s="245">
        <f>I38-K38</f>
        <v>0.13600000000000001</v>
      </c>
      <c r="N23" s="245" t="e">
        <f>D34*$D$4*(M23/G38)</f>
        <v>#DIV/0!</v>
      </c>
      <c r="O23" s="245">
        <f>R19*$D$4*(I39/V24)</f>
        <v>2295.0112956810631</v>
      </c>
      <c r="P23" s="245">
        <v>6</v>
      </c>
      <c r="Q23" s="245">
        <v>3.0099999999999998E-2</v>
      </c>
      <c r="R23" s="245"/>
      <c r="S23" s="245"/>
      <c r="T23" s="245"/>
      <c r="U23" s="245">
        <f>Q23-S23</f>
        <v>3.0099999999999998E-2</v>
      </c>
      <c r="V23" s="245"/>
      <c r="W23" s="245"/>
      <c r="X23" s="245"/>
      <c r="Y23" s="245"/>
      <c r="Z23" s="245"/>
      <c r="AA23" s="245"/>
      <c r="AB23" s="245"/>
      <c r="AC23" s="245"/>
      <c r="AD23" s="245"/>
    </row>
    <row r="24" spans="1:30" x14ac:dyDescent="0.35">
      <c r="A24" s="245"/>
      <c r="B24" s="245"/>
      <c r="C24" s="245" t="s">
        <v>140</v>
      </c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>
        <f>O23*V22</f>
        <v>1137.026786446804</v>
      </c>
      <c r="P24" s="245"/>
      <c r="Q24" s="245">
        <f>Q23/100</f>
        <v>3.01E-4</v>
      </c>
      <c r="R24" s="245"/>
      <c r="S24" s="245"/>
      <c r="T24" s="245"/>
      <c r="U24" s="245">
        <f>Q24-S24</f>
        <v>3.01E-4</v>
      </c>
      <c r="V24" s="245">
        <f>U24/(J27/T19)</f>
        <v>1.505E-4</v>
      </c>
      <c r="W24" s="245"/>
      <c r="X24" s="245"/>
      <c r="Y24" s="245"/>
      <c r="Z24" s="245"/>
      <c r="AA24" s="245"/>
      <c r="AB24" s="245"/>
      <c r="AC24" s="245"/>
      <c r="AD24" s="245"/>
    </row>
    <row r="26" spans="1:30" ht="43.5" x14ac:dyDescent="0.35">
      <c r="A26" s="252" t="s">
        <v>141</v>
      </c>
      <c r="B26" s="247"/>
      <c r="C26" s="195" t="s">
        <v>142</v>
      </c>
      <c r="D26" s="247"/>
      <c r="E26" s="247"/>
      <c r="F26" s="247"/>
      <c r="G26" s="247"/>
      <c r="H26" s="247"/>
      <c r="I26" s="247" t="s">
        <v>109</v>
      </c>
      <c r="J26" s="247"/>
      <c r="K26" s="247"/>
      <c r="L26" s="247"/>
      <c r="M26" s="247"/>
      <c r="N26" s="247"/>
      <c r="O26" s="247"/>
      <c r="P26" s="247"/>
      <c r="Q26" s="247" t="s">
        <v>37</v>
      </c>
      <c r="R26" s="247"/>
      <c r="S26" s="247"/>
      <c r="T26" s="247"/>
      <c r="U26" s="247"/>
      <c r="V26" s="247"/>
      <c r="W26" s="247"/>
      <c r="X26" s="247" t="s">
        <v>75</v>
      </c>
      <c r="Y26" s="247"/>
      <c r="Z26" s="247"/>
      <c r="AA26" s="247"/>
      <c r="AB26" s="247"/>
      <c r="AC26" s="247"/>
      <c r="AD26" s="192"/>
    </row>
    <row r="27" spans="1:30" ht="43.5" x14ac:dyDescent="0.35">
      <c r="A27" s="253"/>
      <c r="B27" s="248"/>
      <c r="C27" s="248" t="s">
        <v>39</v>
      </c>
      <c r="D27" s="248">
        <v>0.50782000000000005</v>
      </c>
      <c r="E27" s="248" t="s">
        <v>110</v>
      </c>
      <c r="F27" s="248">
        <v>200</v>
      </c>
      <c r="G27" s="248"/>
      <c r="H27" s="248"/>
      <c r="I27" s="248" t="s">
        <v>110</v>
      </c>
      <c r="J27" s="248">
        <v>200</v>
      </c>
      <c r="K27" s="248"/>
      <c r="L27" s="248"/>
      <c r="M27" s="248"/>
      <c r="N27" s="248" t="s">
        <v>41</v>
      </c>
      <c r="O27" s="248" t="s">
        <v>111</v>
      </c>
      <c r="P27" s="248"/>
      <c r="Q27" s="248" t="s">
        <v>39</v>
      </c>
      <c r="R27" s="248">
        <v>0.50793999999999995</v>
      </c>
      <c r="S27" s="248" t="s">
        <v>110</v>
      </c>
      <c r="T27" s="248">
        <v>100</v>
      </c>
      <c r="U27" s="248"/>
      <c r="V27" s="248"/>
      <c r="W27" s="248"/>
      <c r="X27" s="248" t="s">
        <v>110</v>
      </c>
      <c r="Y27" s="248">
        <v>100</v>
      </c>
      <c r="Z27" s="248"/>
      <c r="AA27" s="248"/>
      <c r="AB27" s="248"/>
      <c r="AC27" s="248" t="s">
        <v>41</v>
      </c>
      <c r="AD27" s="193" t="s">
        <v>40</v>
      </c>
    </row>
    <row r="28" spans="1:30" x14ac:dyDescent="0.35">
      <c r="A28" s="253"/>
      <c r="B28" s="248"/>
      <c r="C28" s="276" t="s">
        <v>42</v>
      </c>
      <c r="D28" s="276"/>
      <c r="E28" s="276" t="s">
        <v>43</v>
      </c>
      <c r="F28" s="276"/>
      <c r="G28" s="248" t="s">
        <v>44</v>
      </c>
      <c r="H28" s="248"/>
      <c r="I28" s="276" t="s">
        <v>42</v>
      </c>
      <c r="J28" s="276"/>
      <c r="K28" s="276" t="s">
        <v>43</v>
      </c>
      <c r="L28" s="276"/>
      <c r="M28" s="248" t="s">
        <v>44</v>
      </c>
      <c r="N28" s="248"/>
      <c r="O28" s="248"/>
      <c r="P28" s="248"/>
      <c r="Q28" s="276" t="s">
        <v>42</v>
      </c>
      <c r="R28" s="276"/>
      <c r="S28" s="276" t="s">
        <v>43</v>
      </c>
      <c r="T28" s="276"/>
      <c r="U28" s="248" t="s">
        <v>44</v>
      </c>
      <c r="V28" s="248" t="s">
        <v>121</v>
      </c>
      <c r="W28" s="248"/>
      <c r="X28" s="276" t="s">
        <v>42</v>
      </c>
      <c r="Y28" s="276"/>
      <c r="Z28" s="276" t="s">
        <v>43</v>
      </c>
      <c r="AA28" s="276"/>
      <c r="AB28" s="248" t="s">
        <v>44</v>
      </c>
      <c r="AC28" s="248"/>
      <c r="AD28" s="193"/>
    </row>
    <row r="29" spans="1:30" x14ac:dyDescent="0.35">
      <c r="A29" s="253"/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193"/>
    </row>
    <row r="30" spans="1:30" x14ac:dyDescent="0.35">
      <c r="A30" s="253"/>
      <c r="B30" s="248"/>
      <c r="C30" s="248" t="s">
        <v>47</v>
      </c>
      <c r="D30" s="248" t="s">
        <v>48</v>
      </c>
      <c r="E30" s="248" t="s">
        <v>47</v>
      </c>
      <c r="F30" s="248" t="s">
        <v>48</v>
      </c>
      <c r="G30" s="248"/>
      <c r="H30" s="248"/>
      <c r="I30" s="248" t="s">
        <v>117</v>
      </c>
      <c r="J30" s="248" t="s">
        <v>48</v>
      </c>
      <c r="K30" s="248" t="s">
        <v>86</v>
      </c>
      <c r="L30" s="248" t="s">
        <v>48</v>
      </c>
      <c r="M30" s="248"/>
      <c r="N30" s="248"/>
      <c r="O30" s="248"/>
      <c r="P30" s="248"/>
      <c r="Q30" s="248" t="s">
        <v>117</v>
      </c>
      <c r="R30" s="248" t="s">
        <v>48</v>
      </c>
      <c r="S30" s="248" t="s">
        <v>47</v>
      </c>
      <c r="T30" s="248" t="s">
        <v>48</v>
      </c>
      <c r="U30" s="248"/>
      <c r="V30" s="248">
        <f>I59</f>
        <v>0.49861875713846754</v>
      </c>
      <c r="W30" s="248"/>
      <c r="X30" s="248" t="s">
        <v>47</v>
      </c>
      <c r="Y30" s="248" t="s">
        <v>48</v>
      </c>
      <c r="Z30" s="248" t="s">
        <v>86</v>
      </c>
      <c r="AA30" s="248" t="s">
        <v>48</v>
      </c>
      <c r="AB30" s="248"/>
      <c r="AC30" s="248"/>
      <c r="AD30" s="193"/>
    </row>
    <row r="31" spans="1:30" x14ac:dyDescent="0.35">
      <c r="A31" s="253"/>
      <c r="B31" s="248">
        <v>3</v>
      </c>
      <c r="C31" s="248">
        <v>3.0099999999999998E-2</v>
      </c>
      <c r="D31" s="248"/>
      <c r="E31" s="248"/>
      <c r="F31" s="248"/>
      <c r="G31" s="248">
        <f>C31-E31</f>
        <v>3.0099999999999998E-2</v>
      </c>
      <c r="H31" s="248">
        <v>1</v>
      </c>
      <c r="I31" s="248">
        <v>0.13600000000000001</v>
      </c>
      <c r="J31" s="248"/>
      <c r="K31" s="248"/>
      <c r="L31" s="248"/>
      <c r="M31" s="248">
        <f>I46-K46</f>
        <v>6.7824069719999995</v>
      </c>
      <c r="N31" s="248">
        <f>D42*$D$4*(M31/G46)*V30</f>
        <v>1141.571981343182</v>
      </c>
      <c r="O31" s="248">
        <f>R27*$D$4*(M31/U31)*V30</f>
        <v>1141.831245705142</v>
      </c>
      <c r="P31" s="248">
        <v>2</v>
      </c>
      <c r="Q31" s="248">
        <v>3.0088699999999999</v>
      </c>
      <c r="R31" s="248">
        <v>1.9860450000000001E-5</v>
      </c>
      <c r="S31" s="248">
        <v>7.2602989999999995E-5</v>
      </c>
      <c r="T31" s="248">
        <v>1.816253E-5</v>
      </c>
      <c r="U31" s="248">
        <f>(Q31-S31)/(J42/T27)</f>
        <v>1.504398698505</v>
      </c>
      <c r="V31" s="248"/>
      <c r="W31" s="248">
        <v>8</v>
      </c>
      <c r="X31" s="248">
        <v>2.08019</v>
      </c>
      <c r="Y31" s="248">
        <v>1.8326559999999999E-5</v>
      </c>
      <c r="Z31" s="248">
        <v>1.02606E-4</v>
      </c>
      <c r="AA31" s="248"/>
      <c r="AB31" s="248">
        <f>X16-Z16</f>
        <v>2.0799999999999999E-2</v>
      </c>
      <c r="AC31" s="248">
        <f>D27*(AB31/U16)</f>
        <v>0.35091880398671099</v>
      </c>
      <c r="AD31" s="193">
        <f>R12*AB31/U16</f>
        <v>0.35100172757475079</v>
      </c>
    </row>
    <row r="32" spans="1:30" x14ac:dyDescent="0.35">
      <c r="A32" s="253"/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>
        <f>I47-K47</f>
        <v>6.7818777579999994</v>
      </c>
      <c r="N32" s="248">
        <f>D42*$D$4*(M32/G46)*V30</f>
        <v>1141.4829073791702</v>
      </c>
      <c r="O32" s="248">
        <f>R27*$D$4*(M32/U31)*V30</f>
        <v>1141.7421515113904</v>
      </c>
      <c r="P32" s="248">
        <v>6</v>
      </c>
      <c r="Q32" s="248">
        <v>3.010195</v>
      </c>
      <c r="R32" s="248">
        <v>2.725365E-5</v>
      </c>
      <c r="S32" s="248">
        <v>1.169782E-4</v>
      </c>
      <c r="T32" s="248">
        <v>1.4068329999999999E-5</v>
      </c>
      <c r="U32" s="248">
        <f>(Q32-S32)/(J42/T27)</f>
        <v>1.5050390109</v>
      </c>
      <c r="V32" s="248"/>
      <c r="W32" s="248"/>
      <c r="X32" s="248"/>
      <c r="Y32" s="248"/>
      <c r="Z32" s="248"/>
      <c r="AA32" s="248"/>
      <c r="AB32" s="248"/>
      <c r="AC32" s="248"/>
      <c r="AD32" s="193"/>
    </row>
    <row r="33" spans="1:30" x14ac:dyDescent="0.35">
      <c r="A33" s="253"/>
      <c r="B33" s="248"/>
      <c r="C33" s="248"/>
      <c r="D33" s="248"/>
      <c r="E33" s="248"/>
      <c r="F33" s="248"/>
      <c r="G33" s="248"/>
      <c r="H33" s="248"/>
      <c r="I33" s="248" t="s">
        <v>109</v>
      </c>
      <c r="J33" s="248"/>
      <c r="K33" s="248"/>
      <c r="L33" s="248"/>
      <c r="M33" s="248">
        <f>I48-K48</f>
        <v>6.7777951760000006</v>
      </c>
      <c r="N33" s="248">
        <f>D42*$D$4*(M33/G46)*V30</f>
        <v>1140.7957529158693</v>
      </c>
      <c r="O33" s="248">
        <f>R27*$D$4*(M33/U32)*V30</f>
        <v>1140.5693840969343</v>
      </c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193"/>
    </row>
    <row r="34" spans="1:30" x14ac:dyDescent="0.35">
      <c r="A34" s="253"/>
      <c r="B34" s="248"/>
      <c r="C34" s="248"/>
      <c r="D34" s="248"/>
      <c r="E34" s="248"/>
      <c r="F34" s="248"/>
      <c r="G34" s="248"/>
      <c r="H34" s="248"/>
      <c r="I34" s="248" t="s">
        <v>110</v>
      </c>
      <c r="J34" s="248">
        <v>200</v>
      </c>
      <c r="K34" s="248"/>
      <c r="L34" s="248"/>
      <c r="M34" s="248">
        <f>I49-K49</f>
        <v>6.7764909949999996</v>
      </c>
      <c r="N34" s="248">
        <f>D42*$D$4*(M34/G47)*V30</f>
        <v>1140.0689444720344</v>
      </c>
      <c r="O34" s="248">
        <f>R27*$D$4*(M34/U32)*V30</f>
        <v>1140.349916131129</v>
      </c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  <c r="AA34" s="248"/>
      <c r="AB34" s="248"/>
      <c r="AC34" s="248"/>
      <c r="AD34" s="193"/>
    </row>
    <row r="35" spans="1:30" x14ac:dyDescent="0.35">
      <c r="A35" s="253"/>
      <c r="B35" s="248"/>
      <c r="C35" s="248"/>
      <c r="D35" s="248"/>
      <c r="E35" s="248"/>
      <c r="F35" s="248"/>
      <c r="G35" s="248"/>
      <c r="H35" s="248"/>
      <c r="I35" s="248" t="s">
        <v>42</v>
      </c>
      <c r="J35" s="248"/>
      <c r="K35" s="248" t="s">
        <v>43</v>
      </c>
      <c r="L35" s="248"/>
      <c r="M35" s="248"/>
      <c r="N35" s="248"/>
      <c r="O35" s="248">
        <f>AVERAGE(N31:O34)</f>
        <v>1141.0515354443564</v>
      </c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193"/>
    </row>
    <row r="36" spans="1:30" x14ac:dyDescent="0.35">
      <c r="A36" s="253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>
        <f>_xlfn.STDEV.S(N31:O34)</f>
        <v>0.68634577144381648</v>
      </c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193"/>
    </row>
    <row r="37" spans="1:30" x14ac:dyDescent="0.35">
      <c r="A37" s="253"/>
      <c r="B37" s="248"/>
      <c r="C37" s="248"/>
      <c r="D37" s="248"/>
      <c r="E37" s="248"/>
      <c r="F37" s="248"/>
      <c r="G37" s="248"/>
      <c r="H37" s="248"/>
      <c r="I37" s="248" t="s">
        <v>117</v>
      </c>
      <c r="J37" s="248" t="s">
        <v>48</v>
      </c>
      <c r="K37" s="248" t="s">
        <v>86</v>
      </c>
      <c r="L37" s="248" t="s">
        <v>48</v>
      </c>
      <c r="M37" s="248"/>
      <c r="N37" s="248"/>
      <c r="O37" s="248">
        <f>O36*100/O35</f>
        <v>6.0150286829642172E-2</v>
      </c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193"/>
    </row>
    <row r="38" spans="1:30" x14ac:dyDescent="0.35">
      <c r="A38" s="253"/>
      <c r="B38" s="248"/>
      <c r="C38" s="248"/>
      <c r="D38" s="248"/>
      <c r="E38" s="248"/>
      <c r="F38" s="248"/>
      <c r="G38" s="248"/>
      <c r="H38" s="248">
        <v>5</v>
      </c>
      <c r="I38" s="248">
        <v>0.13600000000000001</v>
      </c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8"/>
      <c r="AD38" s="193"/>
    </row>
    <row r="39" spans="1:30" x14ac:dyDescent="0.35">
      <c r="A39" s="260"/>
      <c r="B39" s="251"/>
      <c r="C39" s="251"/>
      <c r="D39" s="251"/>
      <c r="E39" s="251"/>
      <c r="F39" s="251"/>
      <c r="G39" s="251"/>
      <c r="H39" s="251"/>
      <c r="I39" s="251">
        <f>I38/200</f>
        <v>6.8000000000000005E-4</v>
      </c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194"/>
    </row>
    <row r="41" spans="1:30" ht="58" x14ac:dyDescent="0.35">
      <c r="A41" s="252" t="s">
        <v>125</v>
      </c>
      <c r="B41" s="247"/>
      <c r="C41" s="247" t="s">
        <v>36</v>
      </c>
      <c r="D41" s="247"/>
      <c r="E41" s="247"/>
      <c r="F41" s="247"/>
      <c r="G41" s="247"/>
      <c r="H41" s="247"/>
      <c r="I41" s="247" t="s">
        <v>109</v>
      </c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192"/>
    </row>
    <row r="42" spans="1:30" ht="29" x14ac:dyDescent="0.35">
      <c r="A42" s="253"/>
      <c r="B42" s="248"/>
      <c r="C42" s="248" t="s">
        <v>39</v>
      </c>
      <c r="D42" s="248">
        <v>0.50782000000000005</v>
      </c>
      <c r="E42" s="248" t="s">
        <v>110</v>
      </c>
      <c r="F42" s="248">
        <v>100</v>
      </c>
      <c r="G42" s="248"/>
      <c r="H42" s="248"/>
      <c r="I42" s="248" t="s">
        <v>110</v>
      </c>
      <c r="J42" s="248">
        <v>200</v>
      </c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 t="s">
        <v>41</v>
      </c>
      <c r="AD42" s="193" t="s">
        <v>40</v>
      </c>
    </row>
    <row r="43" spans="1:30" x14ac:dyDescent="0.35">
      <c r="A43" s="253"/>
      <c r="B43" s="248"/>
      <c r="C43" s="276" t="s">
        <v>42</v>
      </c>
      <c r="D43" s="276"/>
      <c r="E43" s="276" t="s">
        <v>43</v>
      </c>
      <c r="F43" s="276"/>
      <c r="G43" s="248" t="s">
        <v>44</v>
      </c>
      <c r="H43" s="248"/>
      <c r="I43" s="276" t="s">
        <v>42</v>
      </c>
      <c r="J43" s="276"/>
      <c r="K43" s="276" t="s">
        <v>43</v>
      </c>
      <c r="L43" s="276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 t="s">
        <v>44</v>
      </c>
      <c r="AC43" s="248"/>
      <c r="AD43" s="193"/>
    </row>
    <row r="44" spans="1:30" x14ac:dyDescent="0.35">
      <c r="A44" s="253"/>
      <c r="B44" s="248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/>
      <c r="AD44" s="193"/>
    </row>
    <row r="45" spans="1:30" x14ac:dyDescent="0.35">
      <c r="A45" s="253"/>
      <c r="B45" s="248"/>
      <c r="C45" s="248" t="s">
        <v>47</v>
      </c>
      <c r="D45" s="248" t="s">
        <v>48</v>
      </c>
      <c r="E45" s="248" t="s">
        <v>47</v>
      </c>
      <c r="F45" s="248" t="s">
        <v>48</v>
      </c>
      <c r="G45" s="248"/>
      <c r="H45" s="248"/>
      <c r="I45" s="248" t="s">
        <v>117</v>
      </c>
      <c r="J45" s="248" t="s">
        <v>48</v>
      </c>
      <c r="K45" s="248" t="s">
        <v>86</v>
      </c>
      <c r="L45" s="248" t="s">
        <v>48</v>
      </c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 t="s">
        <v>48</v>
      </c>
      <c r="AB45" s="248"/>
      <c r="AC45" s="248"/>
      <c r="AD45" s="193"/>
    </row>
    <row r="46" spans="1:30" x14ac:dyDescent="0.35">
      <c r="A46" s="253"/>
      <c r="B46" s="248">
        <v>4</v>
      </c>
      <c r="C46" s="248">
        <v>3.0088409999999999</v>
      </c>
      <c r="D46" s="248">
        <v>1.963664E-5</v>
      </c>
      <c r="E46" s="248">
        <v>7.1254809999999995E-5</v>
      </c>
      <c r="F46" s="248">
        <v>1.305794E-5</v>
      </c>
      <c r="G46" s="248">
        <f>(C46-E46)/(J42/F42)</f>
        <v>1.504384872595</v>
      </c>
      <c r="H46" s="248">
        <v>1</v>
      </c>
      <c r="I46" s="248">
        <v>6.7849839999999997</v>
      </c>
      <c r="J46" s="248">
        <v>4.5003769999999998E-3</v>
      </c>
      <c r="K46" s="248">
        <v>2.5770279999999999E-3</v>
      </c>
      <c r="L46" s="248">
        <v>4.3251079999999999E-4</v>
      </c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>
        <v>1.344726E-5</v>
      </c>
      <c r="AB46" s="248">
        <f>(X31-Z31)/(T27/Y27)</f>
        <v>2.080087394</v>
      </c>
      <c r="AC46" s="248">
        <f>D42*(AB46/U31)*V30</f>
        <v>0.35010397849580921</v>
      </c>
      <c r="AD46" s="193">
        <f>R27*AB46/U31*V30</f>
        <v>0.35018670953716141</v>
      </c>
    </row>
    <row r="47" spans="1:30" x14ac:dyDescent="0.35">
      <c r="A47" s="253"/>
      <c r="B47" s="248">
        <v>9</v>
      </c>
      <c r="C47" s="248">
        <v>3.0101619999999998</v>
      </c>
      <c r="D47" s="248">
        <v>2.9848950000000002E-5</v>
      </c>
      <c r="E47" s="248">
        <v>5.3441369999999998E-5</v>
      </c>
      <c r="F47" s="248">
        <v>1.8128319999999999E-5</v>
      </c>
      <c r="G47" s="248">
        <f>(C47-E47)/(J42/F42)</f>
        <v>1.5050542793149999</v>
      </c>
      <c r="H47" s="248">
        <v>3</v>
      </c>
      <c r="I47" s="248">
        <v>6.7840379999999998</v>
      </c>
      <c r="J47" s="248">
        <v>3.3620770000000002E-3</v>
      </c>
      <c r="K47" s="248">
        <v>2.1602420000000002E-3</v>
      </c>
      <c r="L47" s="248">
        <v>3.6785179999999999E-4</v>
      </c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193"/>
    </row>
    <row r="48" spans="1:30" x14ac:dyDescent="0.35">
      <c r="A48" s="253"/>
      <c r="B48" s="248"/>
      <c r="C48" s="248"/>
      <c r="D48" s="248"/>
      <c r="E48" s="248"/>
      <c r="F48" s="248"/>
      <c r="G48" s="248"/>
      <c r="H48" s="248">
        <v>5</v>
      </c>
      <c r="I48" s="248">
        <v>6.7791180000000004</v>
      </c>
      <c r="J48" s="248">
        <v>4.450351E-3</v>
      </c>
      <c r="K48" s="248">
        <v>1.322824E-3</v>
      </c>
      <c r="L48" s="248">
        <v>4.8241750000000002E-4</v>
      </c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193"/>
    </row>
    <row r="49" spans="1:30" x14ac:dyDescent="0.35">
      <c r="A49" s="253"/>
      <c r="B49" s="248"/>
      <c r="C49" s="248"/>
      <c r="D49" s="248"/>
      <c r="E49" s="248"/>
      <c r="F49" s="248"/>
      <c r="G49" s="248"/>
      <c r="H49" s="248">
        <v>7</v>
      </c>
      <c r="I49" s="248">
        <v>6.7779319999999998</v>
      </c>
      <c r="J49" s="248" t="s">
        <v>126</v>
      </c>
      <c r="K49" s="248">
        <v>1.441005E-3</v>
      </c>
      <c r="L49" s="248">
        <v>4.9322530000000002E-4</v>
      </c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193"/>
    </row>
    <row r="50" spans="1:30" x14ac:dyDescent="0.35">
      <c r="A50" s="260"/>
      <c r="B50" s="251"/>
      <c r="C50" s="251"/>
      <c r="D50" s="251"/>
      <c r="E50" s="251"/>
      <c r="F50" s="251"/>
      <c r="G50" s="251"/>
      <c r="H50" s="251"/>
      <c r="I50" s="251"/>
      <c r="J50" s="25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38">
        <f>AVERAGE(AC31,AD31,AC46,AD46)</f>
        <v>0.35055280489860807</v>
      </c>
    </row>
    <row r="54" spans="1:30" x14ac:dyDescent="0.35">
      <c r="A54" s="252" t="s">
        <v>92</v>
      </c>
      <c r="B54" s="247"/>
      <c r="C54" s="247"/>
      <c r="D54" s="247"/>
      <c r="E54" s="247"/>
      <c r="F54" s="247"/>
      <c r="G54" s="247"/>
      <c r="H54" s="247"/>
      <c r="I54" s="192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</row>
    <row r="55" spans="1:30" x14ac:dyDescent="0.35">
      <c r="A55" s="253" t="s">
        <v>93</v>
      </c>
      <c r="B55" s="248"/>
      <c r="C55" s="248"/>
      <c r="D55" s="248" t="s">
        <v>127</v>
      </c>
      <c r="E55" s="248"/>
      <c r="F55" s="248" t="s">
        <v>128</v>
      </c>
      <c r="G55" s="248"/>
      <c r="H55" s="248"/>
      <c r="I55" s="193" t="s">
        <v>44</v>
      </c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</row>
    <row r="56" spans="1:30" x14ac:dyDescent="0.35">
      <c r="A56" s="253" t="s">
        <v>129</v>
      </c>
      <c r="B56" s="248"/>
      <c r="C56" s="248"/>
      <c r="D56" s="248" t="s">
        <v>130</v>
      </c>
      <c r="E56" s="248" t="s">
        <v>131</v>
      </c>
      <c r="F56" s="248" t="s">
        <v>130</v>
      </c>
      <c r="G56" s="248" t="s">
        <v>131</v>
      </c>
      <c r="H56" s="248"/>
      <c r="I56" s="193"/>
      <c r="J56" s="245"/>
      <c r="K56" s="245"/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</row>
    <row r="57" spans="1:30" x14ac:dyDescent="0.35">
      <c r="A57" s="253" t="s">
        <v>132</v>
      </c>
      <c r="B57" s="248" t="s">
        <v>12</v>
      </c>
      <c r="C57" s="248" t="s">
        <v>133</v>
      </c>
      <c r="D57" s="248">
        <v>8.2421780000000003E-5</v>
      </c>
      <c r="E57" s="248">
        <v>8.030728E-7</v>
      </c>
      <c r="F57" s="248">
        <v>-1.126579E-6</v>
      </c>
      <c r="G57" s="248">
        <v>7.3227589999999999E-7</v>
      </c>
      <c r="H57" s="248"/>
      <c r="I57" s="193">
        <f>D57-F57</f>
        <v>8.3548359000000009E-5</v>
      </c>
      <c r="J57" s="245"/>
      <c r="K57" s="245"/>
      <c r="L57" s="245"/>
      <c r="M57" s="245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245"/>
      <c r="AA57" s="245"/>
      <c r="AB57" s="245"/>
      <c r="AC57" s="245"/>
      <c r="AD57" s="245"/>
    </row>
    <row r="58" spans="1:30" x14ac:dyDescent="0.35">
      <c r="A58" s="253" t="s">
        <v>134</v>
      </c>
      <c r="B58" s="248" t="s">
        <v>35</v>
      </c>
      <c r="C58" s="248" t="s">
        <v>98</v>
      </c>
      <c r="D58" s="248">
        <v>1.654828E-4</v>
      </c>
      <c r="E58" s="248">
        <v>7.5715789999999999E-7</v>
      </c>
      <c r="F58" s="248">
        <v>-2.0767989999999999E-6</v>
      </c>
      <c r="G58" s="248">
        <v>6.5871190000000001E-7</v>
      </c>
      <c r="H58" s="248"/>
      <c r="I58" s="193">
        <f>D58-F58</f>
        <v>1.67559599E-4</v>
      </c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</row>
    <row r="59" spans="1:30" x14ac:dyDescent="0.35">
      <c r="A59" s="260"/>
      <c r="B59" s="251"/>
      <c r="C59" s="251"/>
      <c r="D59" s="251"/>
      <c r="E59" s="251"/>
      <c r="F59" s="251"/>
      <c r="G59" s="251" t="s">
        <v>90</v>
      </c>
      <c r="H59" s="251"/>
      <c r="I59" s="194">
        <f>I57/I58</f>
        <v>0.49861875713846754</v>
      </c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</row>
  </sheetData>
  <mergeCells count="12">
    <mergeCell ref="C43:D43"/>
    <mergeCell ref="K43:L43"/>
    <mergeCell ref="I43:J43"/>
    <mergeCell ref="E28:F28"/>
    <mergeCell ref="C28:D28"/>
    <mergeCell ref="K28:L28"/>
    <mergeCell ref="I28:J28"/>
    <mergeCell ref="Z28:AA28"/>
    <mergeCell ref="X28:Y28"/>
    <mergeCell ref="S28:T28"/>
    <mergeCell ref="Q28:R28"/>
    <mergeCell ref="E43:F43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0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A5A3D-1C77-409C-A5AC-692E3CE5A74B}">
  <dimension ref="A1:AC75"/>
  <sheetViews>
    <sheetView topLeftCell="A43" zoomScale="80" zoomScaleNormal="80" workbookViewId="0">
      <selection activeCell="AB57" sqref="AB57"/>
    </sheetView>
  </sheetViews>
  <sheetFormatPr defaultRowHeight="14.5" x14ac:dyDescent="0.35"/>
  <cols>
    <col min="1" max="1" width="10.54296875" customWidth="1"/>
    <col min="2" max="2" width="10" customWidth="1"/>
    <col min="4" max="4" width="10.1796875" bestFit="1" customWidth="1"/>
    <col min="9" max="9" width="10.54296875" customWidth="1"/>
    <col min="16" max="16" width="10.26953125" customWidth="1"/>
    <col min="22" max="22" width="12.7265625" customWidth="1"/>
    <col min="23" max="23" width="9.26953125" customWidth="1"/>
    <col min="24" max="24" width="9.54296875" customWidth="1"/>
    <col min="27" max="27" width="12.54296875" customWidth="1"/>
    <col min="28" max="28" width="32" customWidth="1"/>
    <col min="29" max="29" width="25.7265625" customWidth="1"/>
  </cols>
  <sheetData>
    <row r="1" spans="1:29" ht="57.25" customHeight="1" x14ac:dyDescent="0.35">
      <c r="A1" s="316" t="s">
        <v>143</v>
      </c>
      <c r="B1" s="316"/>
      <c r="C1" s="317" t="s">
        <v>144</v>
      </c>
      <c r="D1" s="317"/>
      <c r="E1" s="317"/>
      <c r="F1" s="317"/>
      <c r="G1" s="316" t="s">
        <v>145</v>
      </c>
      <c r="H1" s="317"/>
      <c r="I1" s="317"/>
      <c r="J1" s="239"/>
      <c r="K1" s="319" t="s">
        <v>146</v>
      </c>
      <c r="L1" s="319"/>
      <c r="M1" s="81" t="s">
        <v>147</v>
      </c>
      <c r="N1" s="239"/>
      <c r="O1" s="81" t="s">
        <v>148</v>
      </c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</row>
    <row r="2" spans="1:29" x14ac:dyDescent="0.35">
      <c r="A2" s="67"/>
      <c r="B2" s="68"/>
      <c r="C2" s="69" t="s">
        <v>139</v>
      </c>
      <c r="D2" s="68"/>
      <c r="E2" s="68"/>
      <c r="F2" s="68"/>
      <c r="G2" s="70"/>
      <c r="H2" s="67"/>
      <c r="I2" s="68"/>
      <c r="J2" s="318" t="s">
        <v>149</v>
      </c>
      <c r="K2" s="318"/>
      <c r="L2" s="68"/>
      <c r="M2" s="68"/>
      <c r="N2" s="70"/>
      <c r="O2" s="67"/>
      <c r="P2" s="68"/>
      <c r="Q2" s="69" t="s">
        <v>139</v>
      </c>
      <c r="R2" s="68"/>
      <c r="S2" s="68"/>
      <c r="T2" s="68"/>
      <c r="U2" s="70"/>
      <c r="V2" s="66" t="s">
        <v>139</v>
      </c>
      <c r="W2" s="239"/>
      <c r="X2" s="239"/>
      <c r="Y2" s="239"/>
      <c r="Z2" s="239"/>
      <c r="AA2" s="239"/>
      <c r="AB2" s="239"/>
      <c r="AC2" s="239"/>
    </row>
    <row r="3" spans="1:29" ht="52.5" x14ac:dyDescent="0.35">
      <c r="A3" s="71"/>
      <c r="B3" s="72"/>
      <c r="C3" s="73" t="s">
        <v>150</v>
      </c>
      <c r="D3" s="73" t="s">
        <v>151</v>
      </c>
      <c r="E3" s="73" t="s">
        <v>152</v>
      </c>
      <c r="F3" s="72"/>
      <c r="G3" s="74"/>
      <c r="H3" s="71"/>
      <c r="I3" s="72"/>
      <c r="J3" s="73"/>
      <c r="K3" s="73" t="s">
        <v>151</v>
      </c>
      <c r="L3" s="73" t="s">
        <v>152</v>
      </c>
      <c r="M3" s="72"/>
      <c r="N3" s="74"/>
      <c r="O3" s="71"/>
      <c r="P3" s="72"/>
      <c r="Q3" s="73" t="s">
        <v>150</v>
      </c>
      <c r="R3" s="73" t="s">
        <v>151</v>
      </c>
      <c r="S3" s="73" t="s">
        <v>152</v>
      </c>
      <c r="T3" s="72"/>
      <c r="U3" s="74"/>
      <c r="V3" s="239"/>
      <c r="W3" s="239"/>
      <c r="X3" s="239"/>
      <c r="Y3" s="239"/>
      <c r="Z3" s="239"/>
      <c r="AA3" s="239"/>
      <c r="AB3" s="239"/>
      <c r="AC3" s="239"/>
    </row>
    <row r="4" spans="1:29" x14ac:dyDescent="0.35">
      <c r="A4" s="71"/>
      <c r="B4" s="72"/>
      <c r="C4" s="75" t="s">
        <v>153</v>
      </c>
      <c r="D4" s="75"/>
      <c r="E4" s="75" t="s">
        <v>154</v>
      </c>
      <c r="F4" s="75"/>
      <c r="G4" s="74"/>
      <c r="H4" s="71"/>
      <c r="I4" s="72"/>
      <c r="J4" s="75" t="s">
        <v>153</v>
      </c>
      <c r="K4" s="75"/>
      <c r="L4" s="75" t="s">
        <v>154</v>
      </c>
      <c r="M4" s="75"/>
      <c r="N4" s="74"/>
      <c r="O4" s="71"/>
      <c r="P4" s="72"/>
      <c r="Q4" s="75" t="s">
        <v>153</v>
      </c>
      <c r="R4" s="75"/>
      <c r="S4" s="75" t="s">
        <v>154</v>
      </c>
      <c r="T4" s="75"/>
      <c r="U4" s="74"/>
      <c r="V4" s="239"/>
      <c r="W4" s="239"/>
      <c r="X4" s="239"/>
      <c r="Y4" s="239"/>
      <c r="Z4" s="239"/>
      <c r="AA4" s="239"/>
      <c r="AB4" s="239"/>
      <c r="AC4" s="239"/>
    </row>
    <row r="5" spans="1:29" ht="22" x14ac:dyDescent="0.35">
      <c r="A5" s="76" t="s">
        <v>155</v>
      </c>
      <c r="B5" s="75" t="s">
        <v>156</v>
      </c>
      <c r="C5" s="75" t="s">
        <v>157</v>
      </c>
      <c r="D5" s="75" t="s">
        <v>158</v>
      </c>
      <c r="E5" s="75" t="s">
        <v>157</v>
      </c>
      <c r="F5" s="75" t="s">
        <v>158</v>
      </c>
      <c r="G5" s="77" t="s">
        <v>159</v>
      </c>
      <c r="H5" s="76" t="s">
        <v>160</v>
      </c>
      <c r="I5" s="75" t="s">
        <v>156</v>
      </c>
      <c r="J5" s="75" t="s">
        <v>161</v>
      </c>
      <c r="K5" s="75" t="s">
        <v>158</v>
      </c>
      <c r="L5" s="75" t="s">
        <v>161</v>
      </c>
      <c r="M5" s="75" t="s">
        <v>158</v>
      </c>
      <c r="N5" s="77" t="s">
        <v>162</v>
      </c>
      <c r="O5" s="76" t="s">
        <v>155</v>
      </c>
      <c r="P5" s="75" t="s">
        <v>156</v>
      </c>
      <c r="Q5" s="75" t="s">
        <v>157</v>
      </c>
      <c r="R5" s="75" t="s">
        <v>158</v>
      </c>
      <c r="S5" s="75" t="s">
        <v>157</v>
      </c>
      <c r="T5" s="75" t="s">
        <v>158</v>
      </c>
      <c r="U5" s="77" t="s">
        <v>159</v>
      </c>
      <c r="V5" s="79" t="s">
        <v>163</v>
      </c>
      <c r="W5" s="80" t="s">
        <v>164</v>
      </c>
      <c r="X5" s="79" t="s">
        <v>165</v>
      </c>
      <c r="Y5" s="79" t="s">
        <v>166</v>
      </c>
      <c r="Z5" s="79" t="s">
        <v>167</v>
      </c>
      <c r="AA5" s="79" t="s">
        <v>168</v>
      </c>
      <c r="AB5" s="239"/>
      <c r="AC5" s="239"/>
    </row>
    <row r="6" spans="1:29" x14ac:dyDescent="0.35">
      <c r="A6" s="76">
        <v>500</v>
      </c>
      <c r="B6" s="75">
        <v>952.65</v>
      </c>
      <c r="C6" s="75">
        <v>478.16090000000003</v>
      </c>
      <c r="D6" s="78">
        <v>0.26907150000000002</v>
      </c>
      <c r="E6" s="78">
        <v>-8.4462839999999997E-2</v>
      </c>
      <c r="F6" s="78">
        <v>1.6106260000000001E-2</v>
      </c>
      <c r="G6" s="77">
        <f>C6-E6</f>
        <v>478.24536284000004</v>
      </c>
      <c r="H6" s="76">
        <v>500</v>
      </c>
      <c r="I6" s="75">
        <v>0</v>
      </c>
      <c r="J6" s="78">
        <v>2016.66</v>
      </c>
      <c r="K6" s="78">
        <v>2.1780119999999998</v>
      </c>
      <c r="L6" s="78">
        <v>-8.2031880000000001E-2</v>
      </c>
      <c r="M6" s="78">
        <v>1.499956E-2</v>
      </c>
      <c r="N6" s="77">
        <f>(J6-L6)/1000</f>
        <v>2.0167420318800002</v>
      </c>
      <c r="O6" s="76">
        <v>500</v>
      </c>
      <c r="P6" s="78">
        <v>952.65</v>
      </c>
      <c r="Q6" s="75">
        <v>478.01260000000002</v>
      </c>
      <c r="R6" s="75">
        <v>0.14101320000000001</v>
      </c>
      <c r="S6" s="75">
        <v>-9.7933779999999998E-2</v>
      </c>
      <c r="T6" s="78">
        <v>1.2782389999999999E-2</v>
      </c>
      <c r="U6" s="77">
        <f>Q6-S6</f>
        <v>478.11053378000003</v>
      </c>
      <c r="V6" s="66">
        <f>AVERAGE(G6,U6)/1000</f>
        <v>0.47817794831000004</v>
      </c>
      <c r="W6" s="66">
        <f>A6/H6</f>
        <v>1</v>
      </c>
      <c r="X6" s="66">
        <f>0.954/0.964</f>
        <v>0.98962655601659755</v>
      </c>
      <c r="Y6" s="66">
        <v>0.49542999999999998</v>
      </c>
      <c r="Z6" s="66">
        <v>1087</v>
      </c>
      <c r="AA6" s="66">
        <f>V6*Z6*X6/(Y6*N6*P6)</f>
        <v>0.54041128137139338</v>
      </c>
      <c r="AB6" s="66">
        <f>AA6*0.90032</f>
        <v>0.48654308484429287</v>
      </c>
      <c r="AC6" s="239"/>
    </row>
    <row r="7" spans="1:29" x14ac:dyDescent="0.35">
      <c r="A7" s="76">
        <v>500</v>
      </c>
      <c r="B7" s="75">
        <v>952.65</v>
      </c>
      <c r="C7" s="75">
        <v>536.76239999999996</v>
      </c>
      <c r="D7" s="75">
        <v>0.239509</v>
      </c>
      <c r="E7" s="75">
        <v>-0.2347516</v>
      </c>
      <c r="F7" s="78">
        <v>1.4502960000000001E-2</v>
      </c>
      <c r="G7" s="77">
        <f>C7-E7</f>
        <v>536.99715159999994</v>
      </c>
      <c r="H7" s="76">
        <v>500</v>
      </c>
      <c r="I7" s="75">
        <v>0</v>
      </c>
      <c r="J7" s="75">
        <v>2247.7919999999999</v>
      </c>
      <c r="K7" s="75">
        <v>2.989106</v>
      </c>
      <c r="L7" s="75">
        <v>-0.23711560000000001</v>
      </c>
      <c r="M7" s="78">
        <v>1.7094459999999999E-2</v>
      </c>
      <c r="N7" s="77">
        <f>(J7-L7)/1000</f>
        <v>2.2480291155999996</v>
      </c>
      <c r="O7" s="76">
        <v>500</v>
      </c>
      <c r="P7" s="78">
        <v>952.65</v>
      </c>
      <c r="Q7" s="75">
        <v>537.75360000000001</v>
      </c>
      <c r="R7" s="75">
        <v>0.33674769999999998</v>
      </c>
      <c r="S7" s="75">
        <v>-0.2409221</v>
      </c>
      <c r="T7" s="78">
        <v>1.2487180000000001E-2</v>
      </c>
      <c r="U7" s="77">
        <f>Q7-S7</f>
        <v>537.99452210000004</v>
      </c>
      <c r="V7" s="66">
        <f>AVERAGE(G7,U7)/1000</f>
        <v>0.53749583684999991</v>
      </c>
      <c r="W7" s="78">
        <v>1</v>
      </c>
      <c r="X7" s="66">
        <f>0.954/0.964</f>
        <v>0.98962655601659755</v>
      </c>
      <c r="Y7" s="66">
        <v>0.49542999999999998</v>
      </c>
      <c r="Z7" s="66">
        <v>1087</v>
      </c>
      <c r="AA7" s="66">
        <f>V7*Z7*X7/(Y7*N7*P7)</f>
        <v>0.54495216846440098</v>
      </c>
      <c r="AB7" s="66">
        <f t="shared" ref="AB7:AB9" si="0">AA7*0.90032</f>
        <v>0.4906313363118695</v>
      </c>
      <c r="AC7" s="239"/>
    </row>
    <row r="8" spans="1:29" x14ac:dyDescent="0.35">
      <c r="A8" s="76">
        <v>500</v>
      </c>
      <c r="B8" s="75">
        <v>952.65</v>
      </c>
      <c r="C8" s="75">
        <v>533.74199999999996</v>
      </c>
      <c r="D8" s="75">
        <v>0.33813090000000001</v>
      </c>
      <c r="E8" s="75">
        <v>-0.26733829999999997</v>
      </c>
      <c r="F8" s="75">
        <v>1.309282E-2</v>
      </c>
      <c r="G8" s="77">
        <f t="shared" ref="G8:G9" si="1">C8-E8</f>
        <v>534.00933829999997</v>
      </c>
      <c r="H8" s="76">
        <v>500</v>
      </c>
      <c r="I8" s="75">
        <v>0</v>
      </c>
      <c r="J8" s="75">
        <v>2244.3359999999998</v>
      </c>
      <c r="K8" s="75">
        <v>2.1923119999999998</v>
      </c>
      <c r="L8" s="75">
        <v>-0.28545470000000001</v>
      </c>
      <c r="M8" s="75">
        <v>1.5408410000000001E-2</v>
      </c>
      <c r="N8" s="77">
        <f t="shared" ref="N8:N9" si="2">(J8-L8)/1000</f>
        <v>2.2446214546999999</v>
      </c>
      <c r="O8" s="76">
        <v>500</v>
      </c>
      <c r="P8" s="78">
        <v>952.65</v>
      </c>
      <c r="Q8" s="75">
        <v>537.31280000000004</v>
      </c>
      <c r="R8" s="75">
        <v>0.2381008</v>
      </c>
      <c r="S8" s="75">
        <v>-0.28408250000000002</v>
      </c>
      <c r="T8" s="75">
        <v>1.5079220000000001E-2</v>
      </c>
      <c r="U8" s="77">
        <f t="shared" ref="U8:U9" si="3">Q8-S8</f>
        <v>537.59688249999999</v>
      </c>
      <c r="V8" s="66">
        <f t="shared" ref="V8:V9" si="4">AVERAGE(G8,U8)/1000</f>
        <v>0.53580311039999995</v>
      </c>
      <c r="W8" s="66">
        <v>1</v>
      </c>
      <c r="X8" s="66">
        <f>0.954/0.964</f>
        <v>0.98962655601659755</v>
      </c>
      <c r="Y8" s="66">
        <v>0.49542999999999998</v>
      </c>
      <c r="Z8" s="66">
        <v>1087</v>
      </c>
      <c r="AA8" s="66">
        <f t="shared" ref="AA8:AA9" si="5">V8*Z8*X8/(Y8*N8*P8)</f>
        <v>0.54406067088800991</v>
      </c>
      <c r="AB8" s="66">
        <f t="shared" si="0"/>
        <v>0.4898287032138931</v>
      </c>
      <c r="AC8" s="239"/>
    </row>
    <row r="9" spans="1:29" x14ac:dyDescent="0.35">
      <c r="A9" s="76">
        <v>500</v>
      </c>
      <c r="B9" s="75">
        <v>952.65</v>
      </c>
      <c r="C9" s="75">
        <v>538.98249999999996</v>
      </c>
      <c r="D9" s="75">
        <v>0.26349149999999999</v>
      </c>
      <c r="E9" s="75">
        <v>-0.30701460000000003</v>
      </c>
      <c r="F9" s="75">
        <v>1.1351190000000001E-2</v>
      </c>
      <c r="G9" s="77">
        <f t="shared" si="1"/>
        <v>539.28951459999996</v>
      </c>
      <c r="H9" s="76">
        <v>500</v>
      </c>
      <c r="I9" s="75">
        <v>0</v>
      </c>
      <c r="J9" s="75">
        <v>2263.1260000000002</v>
      </c>
      <c r="K9" s="75">
        <v>1.202226</v>
      </c>
      <c r="L9" s="75">
        <v>-0.29384139999999997</v>
      </c>
      <c r="M9" s="75">
        <v>1.350736E-2</v>
      </c>
      <c r="N9" s="77">
        <f t="shared" si="2"/>
        <v>2.2634198414000002</v>
      </c>
      <c r="O9" s="76">
        <v>500</v>
      </c>
      <c r="P9" s="78">
        <v>952.65</v>
      </c>
      <c r="Q9" s="75">
        <v>540.43520000000001</v>
      </c>
      <c r="R9" s="75">
        <v>0.37492819999999999</v>
      </c>
      <c r="S9" s="75">
        <v>-0.26656649999999998</v>
      </c>
      <c r="T9" s="75">
        <v>1.5141989999999999E-2</v>
      </c>
      <c r="U9" s="77">
        <f t="shared" si="3"/>
        <v>540.70176649999996</v>
      </c>
      <c r="V9" s="66">
        <f t="shared" si="4"/>
        <v>0.53999564054999993</v>
      </c>
      <c r="W9" s="66">
        <v>1</v>
      </c>
      <c r="X9" s="66">
        <f>0.954/0.964</f>
        <v>0.98962655601659755</v>
      </c>
      <c r="Y9" s="66">
        <v>0.49542999999999998</v>
      </c>
      <c r="Z9" s="66">
        <v>1087</v>
      </c>
      <c r="AA9" s="66">
        <f t="shared" si="5"/>
        <v>0.54376386908625052</v>
      </c>
      <c r="AB9" s="66">
        <f t="shared" si="0"/>
        <v>0.48956148661573307</v>
      </c>
      <c r="AC9" s="66" t="s">
        <v>169</v>
      </c>
    </row>
    <row r="10" spans="1:29" x14ac:dyDescent="0.35">
      <c r="A10" s="76"/>
      <c r="B10" s="75"/>
      <c r="C10" s="75"/>
      <c r="D10" s="75"/>
      <c r="E10" s="75"/>
      <c r="F10" s="75"/>
      <c r="G10" s="77"/>
      <c r="H10" s="76"/>
      <c r="I10" s="75"/>
      <c r="J10" s="75"/>
      <c r="K10" s="75"/>
      <c r="L10" s="75"/>
      <c r="M10" s="75"/>
      <c r="N10" s="77"/>
      <c r="O10" s="76"/>
      <c r="P10" s="75"/>
      <c r="Q10" s="75"/>
      <c r="R10" s="75"/>
      <c r="S10" s="75"/>
      <c r="T10" s="75"/>
      <c r="U10" s="77"/>
      <c r="V10" s="66"/>
      <c r="W10" s="66"/>
      <c r="X10" s="66"/>
      <c r="Y10" s="66"/>
      <c r="Z10" s="66"/>
      <c r="AA10" s="66"/>
      <c r="AB10" s="239"/>
      <c r="AC10" s="239"/>
    </row>
    <row r="11" spans="1:29" x14ac:dyDescent="0.35">
      <c r="A11" s="76"/>
      <c r="B11" s="75"/>
      <c r="C11" s="75"/>
      <c r="D11" s="75" t="s">
        <v>170</v>
      </c>
      <c r="E11" s="75"/>
      <c r="F11" s="75"/>
      <c r="G11" s="77"/>
      <c r="H11" s="76"/>
      <c r="I11" s="75"/>
      <c r="J11" s="75"/>
      <c r="K11" s="75"/>
      <c r="L11" s="75"/>
      <c r="M11" s="75"/>
      <c r="N11" s="77"/>
      <c r="O11" s="76"/>
      <c r="P11" s="75"/>
      <c r="Q11" s="75"/>
      <c r="R11" s="75"/>
      <c r="S11" s="75"/>
      <c r="T11" s="75"/>
      <c r="U11" s="77"/>
      <c r="V11" s="66"/>
      <c r="W11" s="66"/>
      <c r="X11" s="66"/>
      <c r="Y11" s="66"/>
      <c r="Z11" s="66" t="s">
        <v>170</v>
      </c>
      <c r="AA11" s="66"/>
      <c r="AB11" s="239"/>
      <c r="AC11" s="239"/>
    </row>
    <row r="12" spans="1:29" x14ac:dyDescent="0.35">
      <c r="A12" s="76"/>
      <c r="B12" s="75"/>
      <c r="C12" s="75"/>
      <c r="D12" s="75"/>
      <c r="E12" s="75"/>
      <c r="F12" s="75"/>
      <c r="G12" s="77"/>
      <c r="H12" s="76"/>
      <c r="I12" s="75"/>
      <c r="J12" s="75"/>
      <c r="K12" s="75"/>
      <c r="L12" s="75"/>
      <c r="M12" s="75"/>
      <c r="N12" s="77"/>
      <c r="O12" s="76"/>
      <c r="P12" s="75"/>
      <c r="Q12" s="75"/>
      <c r="R12" s="75"/>
      <c r="S12" s="75"/>
      <c r="T12" s="75"/>
      <c r="U12" s="77"/>
      <c r="V12" s="66"/>
      <c r="W12" s="66"/>
      <c r="X12" s="66" t="s">
        <v>170</v>
      </c>
      <c r="Y12" s="66"/>
      <c r="Z12" s="66"/>
      <c r="AA12" s="66"/>
      <c r="AB12" s="239"/>
      <c r="AC12" s="239"/>
    </row>
    <row r="13" spans="1:29" x14ac:dyDescent="0.35">
      <c r="A13" s="76"/>
      <c r="B13" s="75"/>
      <c r="C13" s="75"/>
      <c r="D13" s="75"/>
      <c r="E13" s="75"/>
      <c r="F13" s="75"/>
      <c r="G13" s="77"/>
      <c r="H13" s="76"/>
      <c r="I13" s="75"/>
      <c r="J13" s="75"/>
      <c r="K13" s="75"/>
      <c r="L13" s="75"/>
      <c r="M13" s="75"/>
      <c r="N13" s="77"/>
      <c r="O13" s="76"/>
      <c r="P13" s="75"/>
      <c r="Q13" s="75"/>
      <c r="R13" s="75"/>
      <c r="S13" s="75"/>
      <c r="T13" s="75"/>
      <c r="U13" s="77"/>
      <c r="V13" s="66"/>
      <c r="W13" s="66"/>
      <c r="X13" s="66"/>
      <c r="Y13" s="66"/>
      <c r="Z13" s="66"/>
      <c r="AA13" s="66"/>
      <c r="AB13" s="239"/>
      <c r="AC13" s="239"/>
    </row>
    <row r="14" spans="1:29" x14ac:dyDescent="0.35">
      <c r="A14" s="84"/>
      <c r="B14" s="82"/>
      <c r="C14" s="82"/>
      <c r="D14" s="82"/>
      <c r="E14" s="82"/>
      <c r="F14" s="82"/>
      <c r="G14" s="83"/>
      <c r="H14" s="84"/>
      <c r="I14" s="82"/>
      <c r="J14" s="82"/>
      <c r="K14" s="82"/>
      <c r="L14" s="82"/>
      <c r="M14" s="82"/>
      <c r="N14" s="83"/>
      <c r="O14" s="84"/>
      <c r="P14" s="82"/>
      <c r="Q14" s="82"/>
      <c r="R14" s="82"/>
      <c r="S14" s="82"/>
      <c r="T14" s="82"/>
      <c r="U14" s="83"/>
      <c r="V14" s="66"/>
      <c r="W14" s="66"/>
      <c r="X14" s="66"/>
      <c r="Y14" s="66" t="s">
        <v>170</v>
      </c>
      <c r="Z14" s="66"/>
      <c r="AA14" s="66"/>
      <c r="AB14" s="239"/>
      <c r="AC14" s="239"/>
    </row>
    <row r="17" spans="1:29" ht="18.5" x14ac:dyDescent="0.45">
      <c r="A17" s="85">
        <v>43368</v>
      </c>
      <c r="B17" s="86"/>
      <c r="C17" s="86"/>
      <c r="D17" s="86"/>
      <c r="E17" s="86"/>
      <c r="F17" s="86"/>
      <c r="G17" s="86"/>
      <c r="H17" s="86"/>
      <c r="I17" s="86"/>
      <c r="J17" s="86" t="s">
        <v>171</v>
      </c>
      <c r="K17" s="239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  <c r="W17" s="239"/>
      <c r="X17" s="239"/>
      <c r="Y17" s="239"/>
      <c r="Z17" s="239"/>
      <c r="AA17" s="239"/>
      <c r="AB17" s="239"/>
      <c r="AC17" s="239"/>
    </row>
    <row r="18" spans="1:29" x14ac:dyDescent="0.35">
      <c r="A18" s="239"/>
      <c r="B18" s="239"/>
      <c r="C18" s="239" t="s">
        <v>109</v>
      </c>
      <c r="D18" s="239"/>
      <c r="E18" s="239"/>
      <c r="F18" s="239"/>
      <c r="G18" s="239"/>
      <c r="H18" s="239"/>
      <c r="I18" s="239"/>
      <c r="J18" s="239" t="s">
        <v>172</v>
      </c>
      <c r="K18" s="239"/>
      <c r="L18" s="239"/>
      <c r="M18" s="239"/>
      <c r="N18" s="239"/>
      <c r="O18" s="239"/>
      <c r="P18" s="239"/>
      <c r="Q18" s="239" t="s">
        <v>109</v>
      </c>
      <c r="R18" s="239"/>
      <c r="S18" s="239"/>
      <c r="T18" s="239"/>
      <c r="U18" s="239"/>
      <c r="V18" s="239"/>
      <c r="W18" s="239"/>
      <c r="X18" s="239"/>
      <c r="Y18" s="239"/>
      <c r="Z18" s="239"/>
      <c r="AA18" s="239"/>
      <c r="AB18" s="239"/>
      <c r="AC18" s="239"/>
    </row>
    <row r="19" spans="1:29" x14ac:dyDescent="0.35">
      <c r="A19" s="67"/>
      <c r="B19" s="68"/>
      <c r="C19" s="69" t="s">
        <v>173</v>
      </c>
      <c r="D19" s="68"/>
      <c r="E19" s="68"/>
      <c r="F19" s="68"/>
      <c r="G19" s="70"/>
      <c r="H19" s="67"/>
      <c r="I19" s="68"/>
      <c r="J19" s="318" t="s">
        <v>37</v>
      </c>
      <c r="K19" s="318"/>
      <c r="L19" s="68"/>
      <c r="M19" s="68"/>
      <c r="N19" s="70"/>
      <c r="O19" s="67"/>
      <c r="P19" s="68"/>
      <c r="Q19" s="69" t="s">
        <v>173</v>
      </c>
      <c r="R19" s="68"/>
      <c r="S19" s="68"/>
      <c r="T19" s="68"/>
      <c r="U19" s="70"/>
      <c r="V19" s="66" t="s">
        <v>173</v>
      </c>
      <c r="W19" s="239"/>
      <c r="X19" s="239"/>
      <c r="Y19" s="239"/>
      <c r="Z19" s="239"/>
      <c r="AA19" s="239"/>
      <c r="AB19" s="239"/>
      <c r="AC19" s="239"/>
    </row>
    <row r="20" spans="1:29" ht="52.5" x14ac:dyDescent="0.35">
      <c r="A20" s="71"/>
      <c r="B20" s="72"/>
      <c r="C20" s="73" t="s">
        <v>150</v>
      </c>
      <c r="D20" s="73" t="s">
        <v>151</v>
      </c>
      <c r="E20" s="73" t="s">
        <v>174</v>
      </c>
      <c r="F20" s="72"/>
      <c r="G20" s="74"/>
      <c r="H20" s="71"/>
      <c r="I20" s="72"/>
      <c r="J20" s="73"/>
      <c r="K20" s="73" t="s">
        <v>151</v>
      </c>
      <c r="L20" s="73" t="s">
        <v>175</v>
      </c>
      <c r="M20" s="72"/>
      <c r="N20" s="74"/>
      <c r="O20" s="71"/>
      <c r="P20" s="72"/>
      <c r="Q20" s="73" t="s">
        <v>150</v>
      </c>
      <c r="R20" s="73" t="s">
        <v>151</v>
      </c>
      <c r="S20" s="73" t="s">
        <v>174</v>
      </c>
      <c r="T20" s="72"/>
      <c r="U20" s="74"/>
      <c r="V20" s="239"/>
      <c r="W20" s="239"/>
      <c r="X20" s="239"/>
      <c r="Y20" s="239"/>
      <c r="Z20" s="239"/>
      <c r="AA20" s="239"/>
      <c r="AB20" s="239"/>
      <c r="AC20" s="239"/>
    </row>
    <row r="21" spans="1:29" x14ac:dyDescent="0.35">
      <c r="A21" s="71"/>
      <c r="B21" s="72"/>
      <c r="C21" s="75" t="s">
        <v>153</v>
      </c>
      <c r="D21" s="75"/>
      <c r="E21" s="75" t="s">
        <v>154</v>
      </c>
      <c r="F21" s="75"/>
      <c r="G21" s="74"/>
      <c r="H21" s="71"/>
      <c r="I21" s="72"/>
      <c r="J21" s="75" t="s">
        <v>153</v>
      </c>
      <c r="K21" s="75"/>
      <c r="L21" s="75" t="s">
        <v>154</v>
      </c>
      <c r="M21" s="75"/>
      <c r="N21" s="74"/>
      <c r="O21" s="71"/>
      <c r="P21" s="72"/>
      <c r="Q21" s="75" t="s">
        <v>153</v>
      </c>
      <c r="R21" s="75"/>
      <c r="S21" s="75" t="s">
        <v>154</v>
      </c>
      <c r="T21" s="75"/>
      <c r="U21" s="74"/>
      <c r="V21" s="239"/>
      <c r="W21" s="239"/>
      <c r="X21" s="239"/>
      <c r="Y21" s="239"/>
      <c r="Z21" s="239"/>
      <c r="AA21" s="239"/>
      <c r="AB21" s="239"/>
      <c r="AC21" s="239"/>
    </row>
    <row r="22" spans="1:29" ht="22" x14ac:dyDescent="0.35">
      <c r="A22" s="76" t="s">
        <v>155</v>
      </c>
      <c r="B22" s="75" t="s">
        <v>156</v>
      </c>
      <c r="C22" s="75" t="s">
        <v>157</v>
      </c>
      <c r="D22" s="75" t="s">
        <v>158</v>
      </c>
      <c r="E22" s="75" t="s">
        <v>157</v>
      </c>
      <c r="F22" s="75" t="s">
        <v>158</v>
      </c>
      <c r="G22" s="77" t="s">
        <v>159</v>
      </c>
      <c r="H22" s="76" t="s">
        <v>160</v>
      </c>
      <c r="I22" s="75" t="s">
        <v>156</v>
      </c>
      <c r="J22" s="75" t="s">
        <v>161</v>
      </c>
      <c r="K22" s="75" t="s">
        <v>158</v>
      </c>
      <c r="L22" s="75" t="s">
        <v>161</v>
      </c>
      <c r="M22" s="75" t="s">
        <v>158</v>
      </c>
      <c r="N22" s="77" t="s">
        <v>162</v>
      </c>
      <c r="O22" s="76" t="s">
        <v>155</v>
      </c>
      <c r="P22" s="75" t="s">
        <v>156</v>
      </c>
      <c r="Q22" s="75" t="s">
        <v>157</v>
      </c>
      <c r="R22" s="75" t="s">
        <v>158</v>
      </c>
      <c r="S22" s="75" t="s">
        <v>157</v>
      </c>
      <c r="T22" s="75" t="s">
        <v>158</v>
      </c>
      <c r="U22" s="77" t="s">
        <v>159</v>
      </c>
      <c r="V22" s="79" t="s">
        <v>176</v>
      </c>
      <c r="W22" s="80" t="s">
        <v>164</v>
      </c>
      <c r="X22" s="79" t="s">
        <v>165</v>
      </c>
      <c r="Y22" s="79" t="s">
        <v>166</v>
      </c>
      <c r="Z22" s="79" t="s">
        <v>177</v>
      </c>
      <c r="AA22" s="79" t="s">
        <v>178</v>
      </c>
      <c r="AB22" s="239"/>
      <c r="AC22" s="239"/>
    </row>
    <row r="23" spans="1:29" x14ac:dyDescent="0.35">
      <c r="A23" s="76">
        <v>100</v>
      </c>
      <c r="B23" s="75">
        <v>1171341666.6666665</v>
      </c>
      <c r="C23" s="75">
        <v>7.1243290000000004</v>
      </c>
      <c r="D23" s="78">
        <v>4.9463180000000002E-2</v>
      </c>
      <c r="E23" s="78">
        <v>1.5724160000000001E-4</v>
      </c>
      <c r="F23" s="87">
        <v>1.452579E-5</v>
      </c>
      <c r="G23" s="77">
        <f>C23-E23</f>
        <v>7.1241717584000002</v>
      </c>
      <c r="H23" s="76">
        <v>100</v>
      </c>
      <c r="I23" s="75">
        <v>949.73870000000011</v>
      </c>
      <c r="J23" s="78">
        <v>3.5023849999999999</v>
      </c>
      <c r="K23" s="87">
        <v>1.8294890000000001E-2</v>
      </c>
      <c r="L23" s="87">
        <v>1.1699819999999999E-4</v>
      </c>
      <c r="M23" s="87">
        <v>1.6009420000000001E-5</v>
      </c>
      <c r="N23" s="77">
        <f>(J23-L23)</f>
        <v>3.5022680017999996</v>
      </c>
      <c r="O23" s="76">
        <v>100</v>
      </c>
      <c r="P23" s="75">
        <v>1171341666.6666665</v>
      </c>
      <c r="Q23" s="88">
        <v>7.1845790000000003</v>
      </c>
      <c r="R23" s="88">
        <v>1.150091E-2</v>
      </c>
      <c r="S23" s="88">
        <v>1.2598209999999999E-4</v>
      </c>
      <c r="T23" s="87">
        <v>1.5697539999999999E-5</v>
      </c>
      <c r="U23" s="77">
        <f>Q23-S23</f>
        <v>7.1844530179000001</v>
      </c>
      <c r="V23" s="66">
        <f>AVERAGE(G23,U23)</f>
        <v>7.1543123881500001</v>
      </c>
      <c r="W23" s="66">
        <f>A23/H23</f>
        <v>1</v>
      </c>
      <c r="X23" s="66">
        <v>1</v>
      </c>
      <c r="Y23" s="66">
        <v>0.49542999999999998</v>
      </c>
      <c r="Z23" s="66">
        <v>0.50793999999999995</v>
      </c>
      <c r="AA23" s="66">
        <f>Z23*V23*I23*Y23/N23/P23</f>
        <v>4.1680582687381844E-7</v>
      </c>
      <c r="AB23" s="66" t="s">
        <v>179</v>
      </c>
      <c r="AC23" s="239"/>
    </row>
    <row r="24" spans="1:29" x14ac:dyDescent="0.35">
      <c r="A24" s="76">
        <v>100</v>
      </c>
      <c r="B24" s="75">
        <v>1171341666.6666665</v>
      </c>
      <c r="C24" s="88">
        <v>7.2302479999999996</v>
      </c>
      <c r="D24" s="88">
        <v>3.4061730000000002E-5</v>
      </c>
      <c r="E24" s="88">
        <v>1.195519E-4</v>
      </c>
      <c r="F24" s="87">
        <v>1.666649E-5</v>
      </c>
      <c r="G24" s="77">
        <f>C24-E24</f>
        <v>7.2301284480999994</v>
      </c>
      <c r="H24" s="76">
        <v>100</v>
      </c>
      <c r="I24" s="75">
        <v>949.73870000000011</v>
      </c>
      <c r="J24" s="88">
        <v>3.5488010000000001</v>
      </c>
      <c r="K24" s="88">
        <v>4.6786110000000001E-4</v>
      </c>
      <c r="L24" s="88">
        <v>1.120345E-4</v>
      </c>
      <c r="M24" s="87">
        <v>1.6952719999999999E-5</v>
      </c>
      <c r="N24" s="77">
        <f t="shared" ref="N24" si="6">(J24-L24)</f>
        <v>3.5486889655000002</v>
      </c>
      <c r="O24" s="76">
        <v>100</v>
      </c>
      <c r="P24" s="75">
        <v>1171341666.6666665</v>
      </c>
      <c r="Q24" s="88">
        <v>7.229838</v>
      </c>
      <c r="R24" s="88">
        <v>5.4276080000000004E-4</v>
      </c>
      <c r="S24" s="88">
        <v>9.7366230000000005E-5</v>
      </c>
      <c r="T24" s="87">
        <v>1.252339E-5</v>
      </c>
      <c r="U24" s="77">
        <f>Q24-S24</f>
        <v>7.2297406337699996</v>
      </c>
      <c r="V24" s="66">
        <f t="shared" ref="V24:V26" si="7">AVERAGE(G24,U24)</f>
        <v>7.229934540935</v>
      </c>
      <c r="W24" s="66">
        <f t="shared" ref="W24:W26" si="8">A24/H24</f>
        <v>1</v>
      </c>
      <c r="X24" s="66">
        <v>1</v>
      </c>
      <c r="Y24" s="66">
        <v>0.49542999999999998</v>
      </c>
      <c r="Z24" s="66">
        <v>0.50793999999999995</v>
      </c>
      <c r="AA24" s="66">
        <f t="shared" ref="AA24:AA26" si="9">Z24*V24*I24*Y24/N24/P24</f>
        <v>4.1570159200185643E-7</v>
      </c>
      <c r="AB24" s="66" t="s">
        <v>180</v>
      </c>
      <c r="AC24" s="239"/>
    </row>
    <row r="25" spans="1:29" x14ac:dyDescent="0.35">
      <c r="A25" s="76">
        <v>100</v>
      </c>
      <c r="B25" s="75">
        <v>1171341666.6666665</v>
      </c>
      <c r="C25" s="75"/>
      <c r="D25" s="75"/>
      <c r="E25" s="75"/>
      <c r="F25" s="75"/>
      <c r="G25" s="77"/>
      <c r="H25" s="76">
        <v>100</v>
      </c>
      <c r="I25" s="75">
        <v>949.73870000000011</v>
      </c>
      <c r="J25" s="75"/>
      <c r="K25" s="75"/>
      <c r="L25" s="75"/>
      <c r="M25" s="75"/>
      <c r="N25" s="77"/>
      <c r="O25" s="76">
        <v>100</v>
      </c>
      <c r="P25" s="75">
        <v>1171341666.6666665</v>
      </c>
      <c r="Q25" s="75"/>
      <c r="R25" s="75"/>
      <c r="S25" s="75"/>
      <c r="T25" s="75"/>
      <c r="U25" s="77"/>
      <c r="V25" s="66" t="e">
        <f t="shared" si="7"/>
        <v>#DIV/0!</v>
      </c>
      <c r="W25" s="66">
        <f t="shared" si="8"/>
        <v>1</v>
      </c>
      <c r="X25" s="66">
        <v>1</v>
      </c>
      <c r="Y25" s="66">
        <v>0.49542999999999998</v>
      </c>
      <c r="Z25" s="66">
        <v>0.50793999999999995</v>
      </c>
      <c r="AA25" s="66" t="e">
        <f t="shared" si="9"/>
        <v>#DIV/0!</v>
      </c>
      <c r="AB25" s="66"/>
      <c r="AC25" s="239"/>
    </row>
    <row r="26" spans="1:29" x14ac:dyDescent="0.35">
      <c r="A26" s="76">
        <v>100</v>
      </c>
      <c r="B26" s="75">
        <v>1171341666.6666665</v>
      </c>
      <c r="C26" s="75"/>
      <c r="D26" s="75"/>
      <c r="E26" s="75"/>
      <c r="F26" s="75"/>
      <c r="G26" s="77"/>
      <c r="H26" s="76">
        <v>100</v>
      </c>
      <c r="I26" s="75">
        <v>949.73870000000011</v>
      </c>
      <c r="J26" s="75"/>
      <c r="K26" s="75"/>
      <c r="L26" s="75"/>
      <c r="M26" s="75"/>
      <c r="N26" s="77"/>
      <c r="O26" s="76">
        <v>100</v>
      </c>
      <c r="P26" s="75">
        <v>1171341666.6666665</v>
      </c>
      <c r="Q26" s="75"/>
      <c r="R26" s="75"/>
      <c r="S26" s="75"/>
      <c r="T26" s="75"/>
      <c r="U26" s="77"/>
      <c r="V26" s="66" t="e">
        <f t="shared" si="7"/>
        <v>#DIV/0!</v>
      </c>
      <c r="W26" s="66">
        <f t="shared" si="8"/>
        <v>1</v>
      </c>
      <c r="X26" s="66">
        <v>1</v>
      </c>
      <c r="Y26" s="66">
        <v>0.49542999999999998</v>
      </c>
      <c r="Z26" s="66">
        <v>0.50793999999999995</v>
      </c>
      <c r="AA26" s="66" t="e">
        <f t="shared" si="9"/>
        <v>#DIV/0!</v>
      </c>
      <c r="AB26" s="66"/>
      <c r="AC26" s="66"/>
    </row>
    <row r="27" spans="1:29" x14ac:dyDescent="0.35">
      <c r="A27" s="76"/>
      <c r="B27" s="75"/>
      <c r="C27" s="75"/>
      <c r="D27" s="75"/>
      <c r="E27" s="75"/>
      <c r="F27" s="75"/>
      <c r="G27" s="77"/>
      <c r="H27" s="76"/>
      <c r="I27" s="75"/>
      <c r="J27" s="75"/>
      <c r="K27" s="75"/>
      <c r="L27" s="75"/>
      <c r="M27" s="75"/>
      <c r="N27" s="77"/>
      <c r="O27" s="76"/>
      <c r="P27" s="75"/>
      <c r="Q27" s="75"/>
      <c r="R27" s="75"/>
      <c r="S27" s="75"/>
      <c r="T27" s="75"/>
      <c r="U27" s="77"/>
      <c r="V27" s="66"/>
      <c r="W27" s="66"/>
      <c r="X27" s="66"/>
      <c r="Y27" s="66"/>
      <c r="Z27" s="66"/>
      <c r="AA27" s="66"/>
      <c r="AB27" s="239"/>
      <c r="AC27" s="239"/>
    </row>
    <row r="28" spans="1:29" x14ac:dyDescent="0.35">
      <c r="A28" s="76"/>
      <c r="B28" s="75"/>
      <c r="C28" s="75"/>
      <c r="D28" s="75" t="s">
        <v>170</v>
      </c>
      <c r="E28" s="75"/>
      <c r="F28" s="75"/>
      <c r="G28" s="77"/>
      <c r="H28" s="76"/>
      <c r="I28" s="75"/>
      <c r="J28" s="75"/>
      <c r="K28" s="75"/>
      <c r="L28" s="75"/>
      <c r="M28" s="75"/>
      <c r="N28" s="77"/>
      <c r="O28" s="76"/>
      <c r="P28" s="75"/>
      <c r="Q28" s="75"/>
      <c r="R28" s="75"/>
      <c r="S28" s="75"/>
      <c r="T28" s="75"/>
      <c r="U28" s="77"/>
      <c r="V28" s="66"/>
      <c r="W28" s="66"/>
      <c r="X28" s="66"/>
      <c r="Y28" s="66"/>
      <c r="Z28" s="66" t="s">
        <v>170</v>
      </c>
      <c r="AA28" s="66"/>
      <c r="AB28" s="239"/>
      <c r="AC28" s="239"/>
    </row>
    <row r="29" spans="1:29" x14ac:dyDescent="0.35">
      <c r="A29" s="76"/>
      <c r="B29" s="75"/>
      <c r="C29" s="75"/>
      <c r="D29" s="75"/>
      <c r="E29" s="75"/>
      <c r="F29" s="75"/>
      <c r="G29" s="77"/>
      <c r="H29" s="76"/>
      <c r="I29" s="75"/>
      <c r="J29" s="75"/>
      <c r="K29" s="75"/>
      <c r="L29" s="75"/>
      <c r="M29" s="75"/>
      <c r="N29" s="77"/>
      <c r="O29" s="76"/>
      <c r="P29" s="75"/>
      <c r="Q29" s="75"/>
      <c r="R29" s="75"/>
      <c r="S29" s="75"/>
      <c r="T29" s="75"/>
      <c r="U29" s="77"/>
      <c r="V29" s="66"/>
      <c r="W29" s="66"/>
      <c r="X29" s="66" t="s">
        <v>170</v>
      </c>
      <c r="Y29" s="66"/>
      <c r="Z29" s="66"/>
      <c r="AA29" s="66"/>
      <c r="AB29" s="239"/>
      <c r="AC29" s="239"/>
    </row>
    <row r="30" spans="1:29" x14ac:dyDescent="0.35">
      <c r="A30" s="76"/>
      <c r="B30" s="75"/>
      <c r="C30" s="75"/>
      <c r="D30" s="75" t="s">
        <v>170</v>
      </c>
      <c r="E30" s="75"/>
      <c r="F30" s="75"/>
      <c r="G30" s="77"/>
      <c r="H30" s="76"/>
      <c r="I30" s="75"/>
      <c r="J30" s="75"/>
      <c r="K30" s="75"/>
      <c r="L30" s="75"/>
      <c r="M30" s="75"/>
      <c r="N30" s="77"/>
      <c r="O30" s="76"/>
      <c r="P30" s="75"/>
      <c r="Q30" s="75"/>
      <c r="R30" s="75"/>
      <c r="S30" s="75"/>
      <c r="T30" s="75"/>
      <c r="U30" s="77"/>
      <c r="V30" s="66"/>
      <c r="W30" s="66"/>
      <c r="X30" s="66"/>
      <c r="Y30" s="66"/>
      <c r="Z30" s="66"/>
      <c r="AA30" s="66"/>
      <c r="AB30" s="239"/>
      <c r="AC30" s="239"/>
    </row>
    <row r="31" spans="1:29" x14ac:dyDescent="0.35">
      <c r="A31" s="84"/>
      <c r="B31" s="82"/>
      <c r="C31" s="82"/>
      <c r="D31" s="82"/>
      <c r="E31" s="82"/>
      <c r="F31" s="82"/>
      <c r="G31" s="83"/>
      <c r="H31" s="84"/>
      <c r="I31" s="82"/>
      <c r="J31" s="82"/>
      <c r="K31" s="82"/>
      <c r="L31" s="82"/>
      <c r="M31" s="82"/>
      <c r="N31" s="83"/>
      <c r="O31" s="84"/>
      <c r="P31" s="82"/>
      <c r="Q31" s="82"/>
      <c r="R31" s="82"/>
      <c r="S31" s="82"/>
      <c r="T31" s="82"/>
      <c r="U31" s="83"/>
      <c r="V31" s="66"/>
      <c r="W31" s="66"/>
      <c r="X31" s="66"/>
      <c r="Y31" s="66" t="s">
        <v>170</v>
      </c>
      <c r="Z31" s="66"/>
      <c r="AA31" s="66"/>
      <c r="AB31" s="239"/>
      <c r="AC31" s="239"/>
    </row>
    <row r="34" spans="1:28" x14ac:dyDescent="0.3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 t="s">
        <v>170</v>
      </c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9"/>
    </row>
    <row r="36" spans="1:28" x14ac:dyDescent="0.35">
      <c r="A36" s="239"/>
      <c r="B36" s="239"/>
      <c r="C36" s="239" t="s">
        <v>181</v>
      </c>
      <c r="D36" s="239"/>
      <c r="E36" s="239"/>
      <c r="F36" s="239"/>
      <c r="G36" s="239"/>
      <c r="H36" s="239"/>
      <c r="I36" s="239"/>
      <c r="J36" s="239" t="s">
        <v>109</v>
      </c>
      <c r="K36" s="239"/>
      <c r="L36" s="239"/>
      <c r="M36" s="239"/>
      <c r="N36" s="239"/>
      <c r="O36" s="239"/>
      <c r="P36" s="239"/>
      <c r="Q36" s="239" t="s">
        <v>181</v>
      </c>
      <c r="R36" s="239"/>
      <c r="S36" s="239"/>
      <c r="T36" s="239"/>
      <c r="U36" s="239"/>
      <c r="V36" s="239"/>
      <c r="W36" s="239"/>
      <c r="X36" s="239"/>
      <c r="Y36" s="239"/>
      <c r="Z36" s="239"/>
      <c r="AA36" s="239"/>
      <c r="AB36" s="239"/>
    </row>
    <row r="37" spans="1:28" x14ac:dyDescent="0.35">
      <c r="A37" s="67"/>
      <c r="B37" s="68"/>
      <c r="C37" s="69" t="s">
        <v>139</v>
      </c>
      <c r="D37" s="68"/>
      <c r="E37" s="68"/>
      <c r="F37" s="68"/>
      <c r="G37" s="70"/>
      <c r="H37" s="67"/>
      <c r="I37" s="68"/>
      <c r="J37" s="318" t="s">
        <v>173</v>
      </c>
      <c r="K37" s="318"/>
      <c r="L37" s="68"/>
      <c r="M37" s="68"/>
      <c r="N37" s="70"/>
      <c r="O37" s="67"/>
      <c r="P37" s="68"/>
      <c r="Q37" s="69" t="s">
        <v>139</v>
      </c>
      <c r="R37" s="68"/>
      <c r="S37" s="68"/>
      <c r="T37" s="68"/>
      <c r="U37" s="70"/>
      <c r="V37" s="66" t="s">
        <v>139</v>
      </c>
      <c r="W37" s="239"/>
      <c r="X37" s="239"/>
      <c r="Y37" s="239"/>
      <c r="Z37" s="239"/>
      <c r="AA37" s="239"/>
      <c r="AB37" s="239"/>
    </row>
    <row r="38" spans="1:28" ht="52.5" x14ac:dyDescent="0.35">
      <c r="A38" s="71"/>
      <c r="B38" s="72"/>
      <c r="C38" s="73" t="s">
        <v>150</v>
      </c>
      <c r="D38" s="73" t="s">
        <v>151</v>
      </c>
      <c r="E38" s="73" t="s">
        <v>182</v>
      </c>
      <c r="F38" s="72"/>
      <c r="G38" s="74"/>
      <c r="H38" s="71"/>
      <c r="I38" s="72"/>
      <c r="J38" s="73"/>
      <c r="K38" s="73" t="s">
        <v>151</v>
      </c>
      <c r="L38" s="73" t="s">
        <v>174</v>
      </c>
      <c r="M38" s="72"/>
      <c r="N38" s="74"/>
      <c r="O38" s="71"/>
      <c r="P38" s="72"/>
      <c r="Q38" s="73" t="s">
        <v>150</v>
      </c>
      <c r="R38" s="73" t="s">
        <v>151</v>
      </c>
      <c r="S38" s="73" t="s">
        <v>182</v>
      </c>
      <c r="T38" s="72"/>
      <c r="U38" s="74"/>
      <c r="V38" s="239"/>
      <c r="W38" s="239"/>
      <c r="X38" s="239"/>
      <c r="Y38" s="239"/>
      <c r="Z38" s="239"/>
      <c r="AA38" s="239"/>
      <c r="AB38" s="239"/>
    </row>
    <row r="39" spans="1:28" x14ac:dyDescent="0.35">
      <c r="A39" s="71"/>
      <c r="B39" s="72"/>
      <c r="C39" s="75" t="s">
        <v>153</v>
      </c>
      <c r="D39" s="75"/>
      <c r="E39" s="75" t="s">
        <v>154</v>
      </c>
      <c r="F39" s="75"/>
      <c r="G39" s="74"/>
      <c r="H39" s="71"/>
      <c r="I39" s="72"/>
      <c r="J39" s="75" t="s">
        <v>153</v>
      </c>
      <c r="K39" s="75"/>
      <c r="L39" s="75" t="s">
        <v>154</v>
      </c>
      <c r="M39" s="75"/>
      <c r="N39" s="74"/>
      <c r="O39" s="71"/>
      <c r="P39" s="72"/>
      <c r="Q39" s="75" t="s">
        <v>153</v>
      </c>
      <c r="R39" s="75"/>
      <c r="S39" s="75" t="s">
        <v>154</v>
      </c>
      <c r="T39" s="75"/>
      <c r="U39" s="74"/>
      <c r="V39" s="239"/>
      <c r="W39" s="239"/>
      <c r="X39" s="239"/>
      <c r="Y39" s="239"/>
      <c r="Z39" s="239"/>
      <c r="AA39" s="239"/>
      <c r="AB39" s="239"/>
    </row>
    <row r="40" spans="1:28" ht="22" x14ac:dyDescent="0.35">
      <c r="A40" s="76" t="s">
        <v>155</v>
      </c>
      <c r="B40" s="75" t="s">
        <v>156</v>
      </c>
      <c r="C40" s="75" t="s">
        <v>157</v>
      </c>
      <c r="D40" s="75" t="s">
        <v>158</v>
      </c>
      <c r="E40" s="75" t="s">
        <v>157</v>
      </c>
      <c r="F40" s="75" t="s">
        <v>158</v>
      </c>
      <c r="G40" s="77" t="s">
        <v>159</v>
      </c>
      <c r="H40" s="76" t="s">
        <v>160</v>
      </c>
      <c r="I40" s="75" t="s">
        <v>156</v>
      </c>
      <c r="J40" s="75" t="s">
        <v>161</v>
      </c>
      <c r="K40" s="75" t="s">
        <v>158</v>
      </c>
      <c r="L40" s="75" t="s">
        <v>161</v>
      </c>
      <c r="M40" s="75" t="s">
        <v>158</v>
      </c>
      <c r="N40" s="77" t="s">
        <v>162</v>
      </c>
      <c r="O40" s="76" t="s">
        <v>155</v>
      </c>
      <c r="P40" s="75" t="s">
        <v>156</v>
      </c>
      <c r="Q40" s="75" t="s">
        <v>157</v>
      </c>
      <c r="R40" s="75" t="s">
        <v>158</v>
      </c>
      <c r="S40" s="75" t="s">
        <v>157</v>
      </c>
      <c r="T40" s="75" t="s">
        <v>158</v>
      </c>
      <c r="U40" s="77" t="s">
        <v>159</v>
      </c>
      <c r="V40" s="79" t="s">
        <v>163</v>
      </c>
      <c r="W40" s="80" t="s">
        <v>164</v>
      </c>
      <c r="X40" s="79" t="s">
        <v>165</v>
      </c>
      <c r="Y40" s="79" t="s">
        <v>166</v>
      </c>
      <c r="Z40" s="79" t="s">
        <v>183</v>
      </c>
      <c r="AA40" s="79" t="s">
        <v>168</v>
      </c>
      <c r="AB40" s="239"/>
    </row>
    <row r="41" spans="1:28" x14ac:dyDescent="0.35">
      <c r="A41" s="76">
        <v>100</v>
      </c>
      <c r="B41" s="75">
        <v>949.73870000000011</v>
      </c>
      <c r="C41" s="88">
        <v>2.4526240000000001</v>
      </c>
      <c r="D41" s="87">
        <v>3.1686479999999998E-4</v>
      </c>
      <c r="E41" s="87">
        <v>8.8894449999999997E-5</v>
      </c>
      <c r="F41" s="87">
        <v>1.6200930000000001E-5</v>
      </c>
      <c r="G41" s="89">
        <f>C41-E41</f>
        <v>2.45253510555</v>
      </c>
      <c r="H41" s="76">
        <v>100</v>
      </c>
      <c r="I41" s="75">
        <v>1171341666.6666665</v>
      </c>
      <c r="J41" s="87">
        <v>7.2340739999999997</v>
      </c>
      <c r="K41" s="87">
        <v>2.0613880000000001E-5</v>
      </c>
      <c r="L41" s="87">
        <v>1.020391E-4</v>
      </c>
      <c r="M41" s="87">
        <v>1.4153259999999999E-5</v>
      </c>
      <c r="N41" s="89">
        <f>J41-L41</f>
        <v>7.2339719608999999</v>
      </c>
      <c r="O41" s="76">
        <v>100</v>
      </c>
      <c r="P41" s="75">
        <v>949.73870000000011</v>
      </c>
      <c r="Q41" s="88">
        <v>2.4524620000000001</v>
      </c>
      <c r="R41" s="88">
        <v>1.1433009999999999E-5</v>
      </c>
      <c r="S41" s="88">
        <v>8.8208449999999997E-5</v>
      </c>
      <c r="T41" s="87">
        <v>1.118202E-5</v>
      </c>
      <c r="U41" s="89">
        <f>Q41-S41</f>
        <v>2.4523737915500003</v>
      </c>
      <c r="V41" s="66">
        <f>AVERAGE(G41,U41)</f>
        <v>2.4524544485500002</v>
      </c>
      <c r="W41" s="66">
        <f>A41/H41</f>
        <v>1</v>
      </c>
      <c r="X41" s="66">
        <v>1</v>
      </c>
      <c r="Y41" s="66">
        <v>0.49542999999999998</v>
      </c>
      <c r="Z41" s="66">
        <v>4.1570159200185643E-7</v>
      </c>
      <c r="AA41" s="235">
        <f>Z41*V41*I41/N41/P41/Y41</f>
        <v>0.35083504797003101</v>
      </c>
      <c r="AB41" s="66" t="s">
        <v>180</v>
      </c>
    </row>
    <row r="42" spans="1:28" x14ac:dyDescent="0.35">
      <c r="A42" s="76">
        <v>100</v>
      </c>
      <c r="B42" s="75">
        <v>949.73870000000011</v>
      </c>
      <c r="C42" s="88"/>
      <c r="D42" s="88"/>
      <c r="E42" s="88"/>
      <c r="F42" s="87"/>
      <c r="G42" s="89">
        <f t="shared" ref="G42:G44" si="10">C42-E42</f>
        <v>0</v>
      </c>
      <c r="H42" s="76">
        <v>100</v>
      </c>
      <c r="I42" s="75">
        <v>1171341666.6666665</v>
      </c>
      <c r="J42" s="88"/>
      <c r="K42" s="88"/>
      <c r="L42" s="88"/>
      <c r="M42" s="87"/>
      <c r="N42" s="89">
        <f t="shared" ref="N42:N44" si="11">J42-L42</f>
        <v>0</v>
      </c>
      <c r="O42" s="76">
        <v>100</v>
      </c>
      <c r="P42" s="75">
        <v>949.73870000000011</v>
      </c>
      <c r="Q42" s="88"/>
      <c r="R42" s="88"/>
      <c r="S42" s="88"/>
      <c r="T42" s="87"/>
      <c r="U42" s="89">
        <f t="shared" ref="U42:U44" si="12">Q42-S42</f>
        <v>0</v>
      </c>
      <c r="V42" s="66">
        <f t="shared" ref="V42:V44" si="13">AVERAGE(G42,U42)</f>
        <v>0</v>
      </c>
      <c r="W42" s="66">
        <f t="shared" ref="W42:W44" si="14">A42/H42</f>
        <v>1</v>
      </c>
      <c r="X42" s="66">
        <v>1</v>
      </c>
      <c r="Y42" s="66">
        <v>0.49542999999999998</v>
      </c>
      <c r="Z42" s="66">
        <v>4.1570159200185643E-7</v>
      </c>
      <c r="AA42" s="66" t="e">
        <f t="shared" ref="AA42:AA44" si="15">Z42*V42*I42*Y42/N42/P42</f>
        <v>#DIV/0!</v>
      </c>
      <c r="AB42" s="66" t="s">
        <v>180</v>
      </c>
    </row>
    <row r="43" spans="1:28" x14ac:dyDescent="0.35">
      <c r="A43" s="76">
        <v>100</v>
      </c>
      <c r="B43" s="75">
        <v>949.73870000000011</v>
      </c>
      <c r="C43" s="75"/>
      <c r="D43" s="75"/>
      <c r="E43" s="75"/>
      <c r="F43" s="75"/>
      <c r="G43" s="89">
        <f t="shared" si="10"/>
        <v>0</v>
      </c>
      <c r="H43" s="76">
        <v>100</v>
      </c>
      <c r="I43" s="75">
        <v>1171341666.6666665</v>
      </c>
      <c r="J43" s="75"/>
      <c r="K43" s="75"/>
      <c r="L43" s="75"/>
      <c r="M43" s="75"/>
      <c r="N43" s="89">
        <f t="shared" si="11"/>
        <v>0</v>
      </c>
      <c r="O43" s="76">
        <v>100</v>
      </c>
      <c r="P43" s="75">
        <v>949.73870000000011</v>
      </c>
      <c r="Q43" s="75"/>
      <c r="R43" s="75"/>
      <c r="S43" s="75"/>
      <c r="T43" s="75"/>
      <c r="U43" s="89">
        <f t="shared" si="12"/>
        <v>0</v>
      </c>
      <c r="V43" s="66">
        <f t="shared" si="13"/>
        <v>0</v>
      </c>
      <c r="W43" s="66">
        <f t="shared" si="14"/>
        <v>1</v>
      </c>
      <c r="X43" s="66">
        <v>1</v>
      </c>
      <c r="Y43" s="66">
        <v>0.49542999999999998</v>
      </c>
      <c r="Z43" s="66">
        <v>4.1570159200185643E-7</v>
      </c>
      <c r="AA43" s="66" t="e">
        <f t="shared" si="15"/>
        <v>#DIV/0!</v>
      </c>
      <c r="AB43" s="66"/>
    </row>
    <row r="44" spans="1:28" x14ac:dyDescent="0.35">
      <c r="A44" s="76">
        <v>100</v>
      </c>
      <c r="B44" s="75">
        <v>949.73870000000011</v>
      </c>
      <c r="C44" s="75"/>
      <c r="D44" s="75"/>
      <c r="E44" s="75"/>
      <c r="F44" s="75"/>
      <c r="G44" s="89">
        <f t="shared" si="10"/>
        <v>0</v>
      </c>
      <c r="H44" s="76">
        <v>100</v>
      </c>
      <c r="I44" s="75">
        <v>1171341666.6666665</v>
      </c>
      <c r="J44" s="75"/>
      <c r="K44" s="75"/>
      <c r="L44" s="75"/>
      <c r="M44" s="75"/>
      <c r="N44" s="89">
        <f t="shared" si="11"/>
        <v>0</v>
      </c>
      <c r="O44" s="76">
        <v>100</v>
      </c>
      <c r="P44" s="75">
        <v>949.73870000000011</v>
      </c>
      <c r="Q44" s="75"/>
      <c r="R44" s="75"/>
      <c r="S44" s="75"/>
      <c r="T44" s="75"/>
      <c r="U44" s="89">
        <f t="shared" si="12"/>
        <v>0</v>
      </c>
      <c r="V44" s="66">
        <f t="shared" si="13"/>
        <v>0</v>
      </c>
      <c r="W44" s="66">
        <f t="shared" si="14"/>
        <v>1</v>
      </c>
      <c r="X44" s="66">
        <v>1</v>
      </c>
      <c r="Y44" s="66">
        <v>0.49542999999999998</v>
      </c>
      <c r="Z44" s="66">
        <v>4.1570159200185643E-7</v>
      </c>
      <c r="AA44" s="66" t="e">
        <f t="shared" si="15"/>
        <v>#DIV/0!</v>
      </c>
      <c r="AB44" s="66"/>
    </row>
    <row r="45" spans="1:28" x14ac:dyDescent="0.35">
      <c r="A45" s="76"/>
      <c r="B45" s="75"/>
      <c r="C45" s="75"/>
      <c r="D45" s="75"/>
      <c r="E45" s="75"/>
      <c r="F45" s="75"/>
      <c r="G45" s="77"/>
      <c r="H45" s="76"/>
      <c r="I45" s="75"/>
      <c r="J45" s="75"/>
      <c r="K45" s="75"/>
      <c r="L45" s="75"/>
      <c r="M45" s="75"/>
      <c r="N45" s="77"/>
      <c r="O45" s="76"/>
      <c r="P45" s="75"/>
      <c r="Q45" s="75"/>
      <c r="R45" s="75"/>
      <c r="S45" s="75"/>
      <c r="T45" s="75"/>
      <c r="U45" s="77"/>
      <c r="V45" s="66"/>
      <c r="W45" s="66"/>
      <c r="X45" s="66"/>
      <c r="Y45" s="66"/>
      <c r="Z45" s="66"/>
      <c r="AA45" s="66"/>
      <c r="AB45" s="239"/>
    </row>
    <row r="46" spans="1:28" x14ac:dyDescent="0.35">
      <c r="A46" s="76"/>
      <c r="B46" s="75"/>
      <c r="C46" s="75"/>
      <c r="D46" s="75" t="s">
        <v>170</v>
      </c>
      <c r="E46" s="75"/>
      <c r="F46" s="75"/>
      <c r="G46" s="77"/>
      <c r="H46" s="76"/>
      <c r="I46" s="75"/>
      <c r="J46" s="75"/>
      <c r="K46" s="75"/>
      <c r="L46" s="75"/>
      <c r="M46" s="75"/>
      <c r="N46" s="77"/>
      <c r="O46" s="76"/>
      <c r="P46" s="75" t="s">
        <v>170</v>
      </c>
      <c r="Q46" s="75"/>
      <c r="R46" s="75"/>
      <c r="S46" s="75"/>
      <c r="T46" s="75"/>
      <c r="U46" s="77"/>
      <c r="V46" s="66"/>
      <c r="W46" s="66"/>
      <c r="X46" s="66"/>
      <c r="Y46" s="66"/>
      <c r="Z46" s="66" t="s">
        <v>170</v>
      </c>
      <c r="AA46" s="66"/>
      <c r="AB46" s="239"/>
    </row>
    <row r="47" spans="1:28" x14ac:dyDescent="0.35">
      <c r="A47" s="76"/>
      <c r="B47" s="75"/>
      <c r="C47" s="75"/>
      <c r="D47" s="75"/>
      <c r="E47" s="75"/>
      <c r="F47" s="75"/>
      <c r="G47" s="77"/>
      <c r="H47" s="76"/>
      <c r="I47" s="75"/>
      <c r="J47" s="75"/>
      <c r="K47" s="75"/>
      <c r="L47" s="75"/>
      <c r="M47" s="75"/>
      <c r="N47" s="77"/>
      <c r="O47" s="76"/>
      <c r="P47" s="75"/>
      <c r="Q47" s="75"/>
      <c r="R47" s="75"/>
      <c r="S47" s="75"/>
      <c r="T47" s="75"/>
      <c r="U47" s="77"/>
      <c r="V47" s="66"/>
      <c r="W47" s="66"/>
      <c r="X47" s="66" t="s">
        <v>170</v>
      </c>
      <c r="Y47" s="66" t="s">
        <v>170</v>
      </c>
      <c r="Z47" s="66"/>
      <c r="AA47" s="66"/>
      <c r="AB47" s="239"/>
    </row>
    <row r="48" spans="1:28" x14ac:dyDescent="0.35">
      <c r="A48" s="76"/>
      <c r="B48" s="75"/>
      <c r="C48" s="75"/>
      <c r="D48" s="75" t="s">
        <v>170</v>
      </c>
      <c r="E48" s="75"/>
      <c r="F48" s="75"/>
      <c r="G48" s="77"/>
      <c r="H48" s="76"/>
      <c r="I48" s="75"/>
      <c r="J48" s="75"/>
      <c r="K48" s="75"/>
      <c r="L48" s="75"/>
      <c r="M48" s="75"/>
      <c r="N48" s="77"/>
      <c r="O48" s="76"/>
      <c r="P48" s="75"/>
      <c r="Q48" s="75"/>
      <c r="R48" s="75"/>
      <c r="S48" s="75"/>
      <c r="T48" s="75"/>
      <c r="U48" s="77"/>
      <c r="V48" s="66"/>
      <c r="W48" s="66"/>
      <c r="X48" s="66"/>
      <c r="Y48" s="66"/>
      <c r="Z48" s="66"/>
      <c r="AA48" s="66"/>
      <c r="AB48" s="239"/>
    </row>
    <row r="49" spans="1:29" x14ac:dyDescent="0.35">
      <c r="A49" s="84"/>
      <c r="B49" s="82"/>
      <c r="C49" s="82"/>
      <c r="D49" s="82"/>
      <c r="E49" s="82"/>
      <c r="F49" s="82"/>
      <c r="G49" s="83"/>
      <c r="H49" s="84"/>
      <c r="I49" s="82"/>
      <c r="J49" s="82"/>
      <c r="K49" s="82"/>
      <c r="L49" s="82"/>
      <c r="M49" s="82"/>
      <c r="N49" s="83"/>
      <c r="O49" s="84"/>
      <c r="P49" s="82"/>
      <c r="Q49" s="82"/>
      <c r="R49" s="82"/>
      <c r="S49" s="82"/>
      <c r="T49" s="82"/>
      <c r="U49" s="83"/>
      <c r="V49" s="66"/>
      <c r="W49" s="66"/>
      <c r="X49" s="66"/>
      <c r="Y49" s="66" t="s">
        <v>170</v>
      </c>
      <c r="Z49" s="66"/>
      <c r="AA49" s="66"/>
      <c r="AB49" s="239"/>
      <c r="AC49" s="239"/>
    </row>
    <row r="50" spans="1:29" ht="22" x14ac:dyDescent="0.3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102" t="s">
        <v>184</v>
      </c>
      <c r="Z50" s="239"/>
      <c r="AA50" s="239"/>
      <c r="AB50" s="239"/>
      <c r="AC50" s="239"/>
    </row>
    <row r="51" spans="1:29" x14ac:dyDescent="0.3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  <c r="T51" s="239"/>
      <c r="U51" s="239"/>
      <c r="V51" s="239"/>
      <c r="W51" s="239"/>
      <c r="X51" s="239"/>
      <c r="Y51" s="239" t="s">
        <v>185</v>
      </c>
      <c r="Z51" s="239" t="s">
        <v>186</v>
      </c>
      <c r="AA51" s="239"/>
      <c r="AB51" s="239"/>
      <c r="AC51" s="239"/>
    </row>
    <row r="52" spans="1:29" ht="18.5" x14ac:dyDescent="0.45">
      <c r="A52" s="239"/>
      <c r="B52" s="85">
        <v>43368</v>
      </c>
      <c r="C52" s="86"/>
      <c r="D52" s="86"/>
      <c r="E52" s="86"/>
      <c r="F52" s="86"/>
      <c r="G52" s="86"/>
      <c r="H52" s="86"/>
      <c r="I52" s="86"/>
      <c r="J52" s="86"/>
      <c r="K52" s="86" t="s">
        <v>187</v>
      </c>
      <c r="L52" s="239"/>
      <c r="M52" s="91" t="s">
        <v>188</v>
      </c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66" t="s">
        <v>189</v>
      </c>
      <c r="Y52" s="103">
        <v>0.49298180000000003</v>
      </c>
      <c r="Z52" s="103">
        <v>3.5148310000000002E-4</v>
      </c>
      <c r="AA52" s="239"/>
      <c r="AB52" s="239"/>
      <c r="AC52" s="239"/>
    </row>
    <row r="53" spans="1:29" x14ac:dyDescent="0.3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66" t="s">
        <v>190</v>
      </c>
      <c r="Y53" s="103">
        <v>0.93155920000000003</v>
      </c>
      <c r="Z53" s="103">
        <v>3.7106800000000001E-4</v>
      </c>
      <c r="AA53" s="239"/>
      <c r="AB53" s="239"/>
      <c r="AC53" s="239"/>
    </row>
    <row r="54" spans="1:29" x14ac:dyDescent="0.35">
      <c r="A54" s="67"/>
      <c r="B54" s="68"/>
      <c r="C54" s="69" t="s">
        <v>139</v>
      </c>
      <c r="D54" s="68"/>
      <c r="E54" s="68"/>
      <c r="F54" s="68"/>
      <c r="G54" s="70"/>
      <c r="H54" s="67"/>
      <c r="I54" s="68"/>
      <c r="J54" s="318" t="s">
        <v>149</v>
      </c>
      <c r="K54" s="318"/>
      <c r="L54" s="68"/>
      <c r="M54" s="68" t="s">
        <v>191</v>
      </c>
      <c r="N54" s="70"/>
      <c r="O54" s="67"/>
      <c r="P54" s="68"/>
      <c r="Q54" s="69" t="s">
        <v>139</v>
      </c>
      <c r="R54" s="68"/>
      <c r="S54" s="68"/>
      <c r="T54" s="68"/>
      <c r="U54" s="70"/>
      <c r="V54" s="66" t="s">
        <v>139</v>
      </c>
      <c r="W54" s="239"/>
      <c r="X54" s="104" t="s">
        <v>192</v>
      </c>
      <c r="Y54" s="103">
        <f>Y52/Y53</f>
        <v>0.52920072068420343</v>
      </c>
      <c r="Z54" s="239"/>
      <c r="AA54" s="239"/>
      <c r="AB54" s="239"/>
      <c r="AC54" s="239"/>
    </row>
    <row r="55" spans="1:29" ht="52.5" x14ac:dyDescent="0.35">
      <c r="A55" s="71"/>
      <c r="B55" s="72"/>
      <c r="C55" s="73" t="s">
        <v>150</v>
      </c>
      <c r="D55" s="73" t="s">
        <v>151</v>
      </c>
      <c r="E55" s="73" t="s">
        <v>152</v>
      </c>
      <c r="F55" s="72"/>
      <c r="G55" s="74"/>
      <c r="H55" s="71"/>
      <c r="I55" s="72"/>
      <c r="J55" s="73"/>
      <c r="K55" s="73" t="s">
        <v>151</v>
      </c>
      <c r="L55" s="73" t="s">
        <v>193</v>
      </c>
      <c r="M55" s="73" t="s">
        <v>194</v>
      </c>
      <c r="N55" s="74"/>
      <c r="O55" s="71"/>
      <c r="P55" s="72"/>
      <c r="Q55" s="73" t="s">
        <v>150</v>
      </c>
      <c r="R55" s="73" t="s">
        <v>151</v>
      </c>
      <c r="S55" s="73" t="s">
        <v>152</v>
      </c>
      <c r="T55" s="72"/>
      <c r="U55" s="74"/>
      <c r="V55" s="239"/>
      <c r="W55" s="239"/>
      <c r="X55" s="239"/>
      <c r="Y55" s="239"/>
      <c r="Z55" s="239"/>
      <c r="AA55" s="239"/>
      <c r="AB55" s="239"/>
      <c r="AC55" s="239"/>
    </row>
    <row r="56" spans="1:29" x14ac:dyDescent="0.35">
      <c r="A56" s="71"/>
      <c r="B56" s="72"/>
      <c r="C56" s="75" t="s">
        <v>153</v>
      </c>
      <c r="D56" s="75"/>
      <c r="E56" s="75" t="s">
        <v>154</v>
      </c>
      <c r="F56" s="75"/>
      <c r="G56" s="74"/>
      <c r="H56" s="71"/>
      <c r="I56" s="72"/>
      <c r="J56" s="75" t="s">
        <v>153</v>
      </c>
      <c r="K56" s="75"/>
      <c r="L56" s="75" t="s">
        <v>154</v>
      </c>
      <c r="M56" s="75"/>
      <c r="N56" s="74"/>
      <c r="O56" s="71"/>
      <c r="P56" s="72"/>
      <c r="Q56" s="75" t="s">
        <v>153</v>
      </c>
      <c r="R56" s="75"/>
      <c r="S56" s="75" t="s">
        <v>154</v>
      </c>
      <c r="T56" s="75"/>
      <c r="U56" s="74"/>
      <c r="V56" s="239"/>
      <c r="W56" s="239"/>
      <c r="X56" s="239"/>
      <c r="Y56" s="239"/>
      <c r="Z56" s="239"/>
      <c r="AA56" s="239"/>
      <c r="AB56" s="239"/>
      <c r="AC56" s="239"/>
    </row>
    <row r="57" spans="1:29" ht="22" x14ac:dyDescent="0.35">
      <c r="A57" s="76" t="s">
        <v>195</v>
      </c>
      <c r="B57" s="75" t="s">
        <v>156</v>
      </c>
      <c r="C57" s="75" t="s">
        <v>157</v>
      </c>
      <c r="D57" s="75" t="s">
        <v>158</v>
      </c>
      <c r="E57" s="75" t="s">
        <v>157</v>
      </c>
      <c r="F57" s="75" t="s">
        <v>158</v>
      </c>
      <c r="G57" s="77" t="s">
        <v>159</v>
      </c>
      <c r="H57" s="76" t="s">
        <v>160</v>
      </c>
      <c r="I57" s="75" t="s">
        <v>156</v>
      </c>
      <c r="J57" s="75" t="s">
        <v>161</v>
      </c>
      <c r="K57" s="75" t="s">
        <v>158</v>
      </c>
      <c r="L57" s="75" t="s">
        <v>161</v>
      </c>
      <c r="M57" s="75" t="s">
        <v>158</v>
      </c>
      <c r="N57" s="77" t="s">
        <v>162</v>
      </c>
      <c r="O57" s="76" t="s">
        <v>155</v>
      </c>
      <c r="P57" s="75" t="s">
        <v>156</v>
      </c>
      <c r="Q57" s="75" t="s">
        <v>157</v>
      </c>
      <c r="R57" s="75" t="s">
        <v>158</v>
      </c>
      <c r="S57" s="75" t="s">
        <v>157</v>
      </c>
      <c r="T57" s="75" t="s">
        <v>158</v>
      </c>
      <c r="U57" s="77" t="s">
        <v>159</v>
      </c>
      <c r="V57" s="79" t="s">
        <v>163</v>
      </c>
      <c r="W57" s="80" t="s">
        <v>164</v>
      </c>
      <c r="X57" s="79" t="s">
        <v>165</v>
      </c>
      <c r="Y57" s="79" t="s">
        <v>166</v>
      </c>
      <c r="Z57" s="79" t="s">
        <v>167</v>
      </c>
      <c r="AA57" s="79" t="s">
        <v>168</v>
      </c>
      <c r="AB57" s="239"/>
      <c r="AC57" s="239"/>
    </row>
    <row r="58" spans="1:29" x14ac:dyDescent="0.35">
      <c r="A58" s="76">
        <v>0.2</v>
      </c>
      <c r="B58" s="75">
        <v>949.73870000000011</v>
      </c>
      <c r="C58" s="88">
        <v>3.7647370000000002</v>
      </c>
      <c r="D58" s="87">
        <v>1.6980849999999999E-5</v>
      </c>
      <c r="E58" s="87">
        <v>1.3447080000000001E-4</v>
      </c>
      <c r="F58" s="87">
        <v>1.6370599999999999E-5</v>
      </c>
      <c r="G58" s="77">
        <f>C58-E58</f>
        <v>3.7646025292000003</v>
      </c>
      <c r="H58" s="76">
        <v>1</v>
      </c>
      <c r="I58" s="75">
        <v>0</v>
      </c>
      <c r="J58" s="87">
        <v>6.7660289999999996</v>
      </c>
      <c r="K58" s="87">
        <v>8.7241459999999995E-4</v>
      </c>
      <c r="L58" s="87">
        <v>1.384445E-4</v>
      </c>
      <c r="M58" s="87">
        <v>2.0359619999999999E-5</v>
      </c>
      <c r="N58" s="89">
        <f>(J58-L58)</f>
        <v>6.7658905554999995</v>
      </c>
      <c r="O58" s="76">
        <v>0.2</v>
      </c>
      <c r="P58" s="75">
        <v>949.73870000000011</v>
      </c>
      <c r="Q58" s="88">
        <v>3.7656640000000001</v>
      </c>
      <c r="R58" s="88">
        <v>1.3371579999999999E-5</v>
      </c>
      <c r="S58" s="88">
        <v>8.6728860000000006E-5</v>
      </c>
      <c r="T58" s="87">
        <v>1.417015E-5</v>
      </c>
      <c r="U58" s="77">
        <f>Q58-S58</f>
        <v>3.7655772711400002</v>
      </c>
      <c r="V58" s="66">
        <f>AVERAGE(G58,U58)</f>
        <v>3.7650899001700004</v>
      </c>
      <c r="W58" s="66">
        <f>A58/H58</f>
        <v>0.2</v>
      </c>
      <c r="X58" s="66">
        <f>0.954/0.964</f>
        <v>0.98962655601659755</v>
      </c>
      <c r="Y58" s="90">
        <f>L74</f>
        <v>0.52976594013448963</v>
      </c>
      <c r="Z58" s="66">
        <v>1087</v>
      </c>
      <c r="AA58" s="90">
        <f>Z58*V58*W58*X58/N58/P58/Y58</f>
        <v>0.23795404647941981</v>
      </c>
      <c r="AB58" s="92" t="s">
        <v>196</v>
      </c>
      <c r="AC58" s="239"/>
    </row>
    <row r="59" spans="1:29" s="101" customFormat="1" x14ac:dyDescent="0.35">
      <c r="A59" s="93">
        <v>0.2</v>
      </c>
      <c r="B59" s="94">
        <v>949.73870000000011</v>
      </c>
      <c r="C59" s="95">
        <v>3.7729819999999998</v>
      </c>
      <c r="D59" s="95">
        <v>1.7133160000000001E-5</v>
      </c>
      <c r="E59" s="95">
        <v>9.0565510000000006E-5</v>
      </c>
      <c r="F59" s="95">
        <v>1.3101390000000001E-5</v>
      </c>
      <c r="G59" s="96">
        <f>C59-E59</f>
        <v>3.77289143449</v>
      </c>
      <c r="H59" s="93">
        <v>1</v>
      </c>
      <c r="I59" s="94">
        <v>0</v>
      </c>
      <c r="J59" s="95">
        <v>3.5224419999999999</v>
      </c>
      <c r="K59" s="95">
        <v>2.2019069999999999E-3</v>
      </c>
      <c r="L59" s="95">
        <v>2.8677379999999999E-4</v>
      </c>
      <c r="M59" s="95">
        <v>3.5769190000000002E-4</v>
      </c>
      <c r="N59" s="97">
        <f>(J59-L59)</f>
        <v>3.5221552261999998</v>
      </c>
      <c r="O59" s="93">
        <v>0.2</v>
      </c>
      <c r="P59" s="94">
        <v>949.73870000000011</v>
      </c>
      <c r="Q59" s="95">
        <v>3.7710059999999999</v>
      </c>
      <c r="R59" s="95">
        <v>1.652928E-5</v>
      </c>
      <c r="S59" s="95">
        <v>1.078584E-4</v>
      </c>
      <c r="T59" s="95">
        <v>1.6286869999999999E-5</v>
      </c>
      <c r="U59" s="96">
        <f>Q59-S59</f>
        <v>3.7708981416</v>
      </c>
      <c r="V59" s="98">
        <f>AVERAGE(G59,U59)</f>
        <v>3.771894788045</v>
      </c>
      <c r="W59" s="98">
        <f t="shared" ref="W59:W61" si="16">A59/H59</f>
        <v>0.2</v>
      </c>
      <c r="X59" s="98">
        <f>0.954/0.964</f>
        <v>0.98962655601659755</v>
      </c>
      <c r="Y59" s="99">
        <v>0.49896992210845498</v>
      </c>
      <c r="Z59" s="98">
        <v>1087</v>
      </c>
      <c r="AA59" s="99">
        <f t="shared" ref="AA59:AA61" si="17">Z59*V59*W59*X59/N59/P59/Y59</f>
        <v>0.48618712800819147</v>
      </c>
      <c r="AB59" s="100" t="s">
        <v>197</v>
      </c>
    </row>
    <row r="60" spans="1:29" x14ac:dyDescent="0.35">
      <c r="A60" s="76">
        <v>0.2</v>
      </c>
      <c r="B60" s="75">
        <v>949.73870000000011</v>
      </c>
      <c r="C60" s="88">
        <v>3.7741630000000002</v>
      </c>
      <c r="D60" s="88">
        <v>1.781416E-5</v>
      </c>
      <c r="E60" s="88">
        <v>1.202815E-4</v>
      </c>
      <c r="F60" s="88">
        <v>1.4588520000000001E-5</v>
      </c>
      <c r="G60" s="77">
        <f t="shared" ref="G60:G61" si="18">C60-E60</f>
        <v>3.7740427185000001</v>
      </c>
      <c r="H60" s="76">
        <v>0.2</v>
      </c>
      <c r="I60" s="75">
        <v>1171341666.6666665</v>
      </c>
      <c r="J60" s="88">
        <v>7.213686</v>
      </c>
      <c r="K60" s="88">
        <v>4.3789719999999999E-4</v>
      </c>
      <c r="L60" s="88">
        <v>1.3145489999999999E-4</v>
      </c>
      <c r="M60" s="88">
        <v>1.421453E-5</v>
      </c>
      <c r="N60" s="89">
        <f t="shared" ref="N60:N61" si="19">(J60-L60)</f>
        <v>7.2135545451</v>
      </c>
      <c r="O60" s="76">
        <v>0.2</v>
      </c>
      <c r="P60" s="75">
        <v>949.73870000000011</v>
      </c>
      <c r="Q60" s="88">
        <v>3.7731710000000001</v>
      </c>
      <c r="R60" s="88">
        <v>5.4897979999999995E-4</v>
      </c>
      <c r="S60" s="88">
        <v>1.1861469999999999E-4</v>
      </c>
      <c r="T60" s="88">
        <v>1.418906E-5</v>
      </c>
      <c r="U60" s="77">
        <f t="shared" ref="U60:U61" si="20">Q60-S60</f>
        <v>3.7730523853000002</v>
      </c>
      <c r="V60" s="66">
        <f t="shared" ref="V60:V61" si="21">AVERAGE(G60,U60)</f>
        <v>3.7735475519000001</v>
      </c>
      <c r="W60" s="66">
        <f t="shared" si="16"/>
        <v>1</v>
      </c>
      <c r="X60" s="66">
        <v>1</v>
      </c>
      <c r="Y60" s="99">
        <v>0.49817119799084908</v>
      </c>
      <c r="Z60" s="66">
        <v>4.1570159200185643E-7</v>
      </c>
      <c r="AA60" s="90">
        <f>Z60*V60*W60*X60*I60/N60/P60/Y60</f>
        <v>0.53837270930135406</v>
      </c>
      <c r="AB60" s="321" t="s">
        <v>198</v>
      </c>
      <c r="AC60" s="321"/>
    </row>
    <row r="61" spans="1:29" x14ac:dyDescent="0.35">
      <c r="A61" s="76">
        <v>0.2</v>
      </c>
      <c r="B61" s="75">
        <v>949.73870000000011</v>
      </c>
      <c r="C61" s="75"/>
      <c r="D61" s="75"/>
      <c r="E61" s="75"/>
      <c r="F61" s="75"/>
      <c r="G61" s="77">
        <f t="shared" si="18"/>
        <v>0</v>
      </c>
      <c r="H61" s="76">
        <v>1</v>
      </c>
      <c r="I61" s="75">
        <v>0</v>
      </c>
      <c r="J61" s="75"/>
      <c r="K61" s="75"/>
      <c r="L61" s="75"/>
      <c r="M61" s="75"/>
      <c r="N61" s="89">
        <f t="shared" si="19"/>
        <v>0</v>
      </c>
      <c r="O61" s="76">
        <v>0.2</v>
      </c>
      <c r="P61" s="75">
        <v>949.73870000000011</v>
      </c>
      <c r="Q61" s="75"/>
      <c r="R61" s="75"/>
      <c r="S61" s="75"/>
      <c r="T61" s="75"/>
      <c r="U61" s="77">
        <f t="shared" si="20"/>
        <v>0</v>
      </c>
      <c r="V61" s="66">
        <f t="shared" si="21"/>
        <v>0</v>
      </c>
      <c r="W61" s="66">
        <f t="shared" si="16"/>
        <v>0.2</v>
      </c>
      <c r="X61" s="66">
        <f>0.954/0.964</f>
        <v>0.98962655601659755</v>
      </c>
      <c r="Y61" s="99">
        <v>0.49817119799084908</v>
      </c>
      <c r="Z61" s="66">
        <v>1087</v>
      </c>
      <c r="AA61" s="90" t="e">
        <f t="shared" si="17"/>
        <v>#DIV/0!</v>
      </c>
      <c r="AB61" s="91" t="s">
        <v>197</v>
      </c>
      <c r="AC61" s="239"/>
    </row>
    <row r="64" spans="1:29" x14ac:dyDescent="0.3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 t="s">
        <v>170</v>
      </c>
      <c r="M64" s="239"/>
      <c r="N64" s="239"/>
      <c r="O64" s="239"/>
      <c r="P64" s="239"/>
      <c r="Q64" s="239"/>
      <c r="R64" s="239"/>
      <c r="S64" s="239"/>
      <c r="T64" s="239"/>
      <c r="U64" s="239"/>
      <c r="V64" s="239"/>
      <c r="W64" s="239"/>
      <c r="X64" s="239" t="s">
        <v>170</v>
      </c>
      <c r="Y64" s="66">
        <v>0.52913562094265032</v>
      </c>
      <c r="Z64" s="239"/>
      <c r="AA64" s="239"/>
      <c r="AB64" s="239"/>
      <c r="AC64" s="239"/>
    </row>
    <row r="65" spans="8:28" x14ac:dyDescent="0.35">
      <c r="H65" s="239"/>
      <c r="I65" s="239"/>
      <c r="J65" s="239"/>
      <c r="K65" s="239"/>
      <c r="L65" s="239"/>
      <c r="M65" s="239"/>
      <c r="N65" s="239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117"/>
      <c r="Z65" s="239"/>
      <c r="AA65" s="239"/>
      <c r="AB65" s="239"/>
    </row>
    <row r="66" spans="8:28" x14ac:dyDescent="0.35">
      <c r="H66" s="241" t="s">
        <v>199</v>
      </c>
      <c r="I66" s="239"/>
      <c r="J66" s="239"/>
      <c r="K66" s="239"/>
      <c r="L66" s="239"/>
      <c r="M66" s="239"/>
      <c r="N66" s="239"/>
      <c r="O66" s="241" t="s">
        <v>200</v>
      </c>
      <c r="P66" s="239"/>
      <c r="Q66" s="239"/>
      <c r="R66" s="239"/>
      <c r="S66" s="239"/>
      <c r="T66" s="239"/>
      <c r="U66" s="239"/>
      <c r="V66" s="239"/>
      <c r="W66" s="239"/>
      <c r="X66" s="239" t="s">
        <v>170</v>
      </c>
      <c r="Y66" s="239"/>
      <c r="Z66" s="239" t="s">
        <v>170</v>
      </c>
      <c r="AA66" s="239"/>
      <c r="AB66" s="239"/>
    </row>
    <row r="67" spans="8:28" x14ac:dyDescent="0.35">
      <c r="H67" s="108" t="s">
        <v>201</v>
      </c>
      <c r="I67" s="239"/>
      <c r="J67" s="239"/>
      <c r="K67" s="239"/>
      <c r="L67" s="239"/>
      <c r="M67" s="239"/>
      <c r="N67" s="239"/>
      <c r="O67" s="239"/>
      <c r="P67" s="239"/>
      <c r="Q67" s="239"/>
      <c r="R67" s="239"/>
      <c r="S67" s="239"/>
      <c r="T67" s="239"/>
      <c r="U67" s="239"/>
      <c r="V67" s="239"/>
      <c r="W67" s="239"/>
      <c r="X67" s="239"/>
      <c r="Y67" s="239"/>
      <c r="Z67" s="239"/>
      <c r="AA67" s="239"/>
      <c r="AB67" s="239"/>
    </row>
    <row r="68" spans="8:28" x14ac:dyDescent="0.35">
      <c r="H68" s="105" t="s">
        <v>0</v>
      </c>
      <c r="I68" s="105"/>
      <c r="J68" s="107" t="s">
        <v>202</v>
      </c>
      <c r="K68" s="106"/>
      <c r="L68" s="109" t="s">
        <v>121</v>
      </c>
      <c r="M68" s="239"/>
      <c r="N68" s="239"/>
      <c r="O68" s="105" t="s">
        <v>0</v>
      </c>
      <c r="P68" s="105"/>
      <c r="Q68" s="107"/>
      <c r="R68" s="239"/>
      <c r="S68" s="107" t="s">
        <v>203</v>
      </c>
      <c r="T68" s="239"/>
      <c r="U68" s="239"/>
      <c r="V68" s="239"/>
      <c r="W68" s="110" t="s">
        <v>121</v>
      </c>
      <c r="X68" s="239"/>
      <c r="Y68" s="239"/>
      <c r="Z68" s="239"/>
      <c r="AA68" s="239"/>
      <c r="AB68" s="239"/>
    </row>
    <row r="69" spans="8:28" x14ac:dyDescent="0.35">
      <c r="H69" s="105" t="s">
        <v>157</v>
      </c>
      <c r="I69" s="105" t="s">
        <v>158</v>
      </c>
      <c r="J69" s="105" t="s">
        <v>157</v>
      </c>
      <c r="K69" s="105" t="s">
        <v>158</v>
      </c>
      <c r="L69" s="110"/>
      <c r="M69" s="239"/>
      <c r="N69" s="239"/>
      <c r="O69" s="105" t="s">
        <v>157</v>
      </c>
      <c r="P69" s="105" t="s">
        <v>128</v>
      </c>
      <c r="Q69" s="105" t="s">
        <v>158</v>
      </c>
      <c r="R69" s="105" t="s">
        <v>159</v>
      </c>
      <c r="S69" s="105" t="s">
        <v>157</v>
      </c>
      <c r="T69" s="105" t="s">
        <v>128</v>
      </c>
      <c r="U69" s="105" t="s">
        <v>158</v>
      </c>
      <c r="V69" s="105" t="s">
        <v>159</v>
      </c>
      <c r="W69" s="112"/>
      <c r="X69" s="239"/>
      <c r="Y69" s="239"/>
      <c r="Z69" s="239"/>
      <c r="AA69" s="239"/>
      <c r="AB69" s="239"/>
    </row>
    <row r="70" spans="8:28" x14ac:dyDescent="0.35">
      <c r="H70" s="103">
        <v>0.49298180000000003</v>
      </c>
      <c r="I70" s="103">
        <v>3.5148310000000002E-4</v>
      </c>
      <c r="J70" s="103">
        <v>0.93155920000000003</v>
      </c>
      <c r="K70" s="103">
        <v>3.7106800000000001E-4</v>
      </c>
      <c r="L70" s="111">
        <f>H70/J70</f>
        <v>0.52920072068420343</v>
      </c>
      <c r="M70" s="239"/>
      <c r="N70" s="239"/>
      <c r="O70" s="114">
        <v>3.3908879999999999</v>
      </c>
      <c r="P70" s="114">
        <v>1.517633E-3</v>
      </c>
      <c r="Q70" s="114">
        <v>1.5487910000000001E-3</v>
      </c>
      <c r="R70" s="114">
        <f>O70-P70</f>
        <v>3.3893703669999997</v>
      </c>
      <c r="S70" s="114">
        <v>6.7954359999999996</v>
      </c>
      <c r="T70" s="114">
        <v>1.9033699999999999E-3</v>
      </c>
      <c r="U70" s="114">
        <v>3.271492E-3</v>
      </c>
      <c r="V70" s="114">
        <f>S70-T70</f>
        <v>6.7935326299999996</v>
      </c>
      <c r="W70" s="115">
        <f>R70/V70</f>
        <v>0.4989113251672127</v>
      </c>
      <c r="X70" s="108" t="s">
        <v>204</v>
      </c>
      <c r="Y70" s="239"/>
      <c r="Z70" s="239"/>
      <c r="AA70" s="239"/>
      <c r="AB70" s="239"/>
    </row>
    <row r="71" spans="8:28" x14ac:dyDescent="0.35">
      <c r="H71" s="103">
        <v>0.49467080000000002</v>
      </c>
      <c r="I71" s="103">
        <v>2.233689E-4</v>
      </c>
      <c r="J71" s="103">
        <v>0.93306109999999998</v>
      </c>
      <c r="K71" s="103">
        <v>7.5687759999999997E-4</v>
      </c>
      <c r="L71" s="111">
        <f t="shared" ref="L71:L73" si="22">H71/J71</f>
        <v>0.53015906461002393</v>
      </c>
      <c r="M71" s="239"/>
      <c r="N71" s="239"/>
      <c r="O71" s="114">
        <v>3.3939219999999999</v>
      </c>
      <c r="P71" s="114">
        <v>2.037751E-3</v>
      </c>
      <c r="Q71" s="114">
        <v>2.1247979999999998E-3</v>
      </c>
      <c r="R71" s="114">
        <f>O71-P71</f>
        <v>3.3918842489999999</v>
      </c>
      <c r="S71" s="114">
        <v>6.7987399999999996</v>
      </c>
      <c r="T71" s="114">
        <v>1.765239E-3</v>
      </c>
      <c r="U71" s="114">
        <v>4.7538939999999998E-3</v>
      </c>
      <c r="V71" s="114">
        <f>S71-T71</f>
        <v>6.7969747609999995</v>
      </c>
      <c r="W71" s="115">
        <f>R71/V71</f>
        <v>0.49902851904969725</v>
      </c>
      <c r="X71" s="108" t="s">
        <v>204</v>
      </c>
      <c r="Y71" s="239"/>
      <c r="Z71" s="239"/>
      <c r="AA71" s="239"/>
      <c r="AB71" s="239"/>
    </row>
    <row r="72" spans="8:28" x14ac:dyDescent="0.35">
      <c r="H72" s="103">
        <v>0.49387910000000002</v>
      </c>
      <c r="I72" s="103">
        <v>3.387269E-4</v>
      </c>
      <c r="J72" s="103">
        <v>0.9334557</v>
      </c>
      <c r="K72" s="103">
        <v>4.5105340000000001E-4</v>
      </c>
      <c r="L72" s="111">
        <f t="shared" si="22"/>
        <v>0.52908681151124792</v>
      </c>
      <c r="M72" s="239"/>
      <c r="N72" s="239"/>
      <c r="O72" s="114">
        <v>3.5015909999999999</v>
      </c>
      <c r="P72" s="114">
        <v>2.8764490000000002E-4</v>
      </c>
      <c r="Q72" s="114">
        <v>4.9315559999999999E-4</v>
      </c>
      <c r="R72" s="114">
        <f>O72-P72</f>
        <v>3.5013033550999997</v>
      </c>
      <c r="S72" s="114">
        <v>7.0414089999999998</v>
      </c>
      <c r="T72" s="114">
        <v>2.8977229999999998E-4</v>
      </c>
      <c r="U72" s="114">
        <v>1.2344560000000001E-3</v>
      </c>
      <c r="V72" s="114">
        <f>S72-T72</f>
        <v>7.0411192276999994</v>
      </c>
      <c r="W72" s="115">
        <f>R72/V72</f>
        <v>0.49726517075946602</v>
      </c>
      <c r="X72" s="108" t="s">
        <v>205</v>
      </c>
      <c r="Y72" s="239"/>
      <c r="Z72" s="239"/>
      <c r="AA72" s="239"/>
      <c r="AB72" s="239"/>
    </row>
    <row r="73" spans="8:28" x14ac:dyDescent="0.35">
      <c r="H73" s="103">
        <v>0.4935812</v>
      </c>
      <c r="I73" s="103">
        <v>3.8039969999999998E-4</v>
      </c>
      <c r="J73" s="103">
        <v>0.93020210000000003</v>
      </c>
      <c r="K73" s="103">
        <v>6.1946270000000001E-4</v>
      </c>
      <c r="L73" s="111">
        <f t="shared" si="22"/>
        <v>0.53061716373248347</v>
      </c>
      <c r="M73" s="239"/>
      <c r="N73" s="239"/>
      <c r="O73" s="114">
        <v>3.5029720000000002</v>
      </c>
      <c r="P73" s="114">
        <v>3.0922859999999998E-4</v>
      </c>
      <c r="Q73" s="114">
        <v>2.3819990000000001E-4</v>
      </c>
      <c r="R73" s="114">
        <f>O73-P73</f>
        <v>3.5026627714000003</v>
      </c>
      <c r="S73" s="114">
        <v>7.041118</v>
      </c>
      <c r="T73" s="114">
        <v>3.0361229999999997E-4</v>
      </c>
      <c r="U73" s="114">
        <v>1.197027E-3</v>
      </c>
      <c r="V73" s="114">
        <f>S73-T73</f>
        <v>7.0408143877000002</v>
      </c>
      <c r="W73" s="115">
        <f>R73/V73</f>
        <v>0.49747977698702034</v>
      </c>
      <c r="X73" s="108" t="s">
        <v>205</v>
      </c>
      <c r="Y73" s="239"/>
      <c r="Z73" s="239"/>
      <c r="AA73" s="239"/>
      <c r="AB73" s="239"/>
    </row>
    <row r="74" spans="8:28" x14ac:dyDescent="0.35">
      <c r="H74" s="239"/>
      <c r="I74" s="239"/>
      <c r="J74" s="239"/>
      <c r="K74" s="239"/>
      <c r="L74" s="113">
        <f>AVERAGE(L70:L73)</f>
        <v>0.52976594013448963</v>
      </c>
      <c r="M74" s="239"/>
      <c r="N74" s="239"/>
      <c r="O74" s="116"/>
      <c r="P74" s="116"/>
      <c r="Q74" s="116"/>
      <c r="R74" s="114"/>
      <c r="S74" s="116"/>
      <c r="T74" s="116"/>
      <c r="U74" s="116"/>
      <c r="V74" s="116"/>
      <c r="W74" s="110">
        <f>AVERAGE(W70:W73)</f>
        <v>0.49817119799084908</v>
      </c>
      <c r="X74" s="108" t="s">
        <v>206</v>
      </c>
      <c r="Y74" s="239"/>
      <c r="Z74" s="239"/>
      <c r="AA74" s="239"/>
      <c r="AB74" s="239"/>
    </row>
    <row r="75" spans="8:28" x14ac:dyDescent="0.35">
      <c r="H75" s="239"/>
      <c r="I75" s="239"/>
      <c r="J75" s="239"/>
      <c r="K75" s="239"/>
      <c r="L75" s="241" t="s">
        <v>207</v>
      </c>
      <c r="M75" s="239"/>
      <c r="N75" s="239"/>
      <c r="O75" s="239"/>
      <c r="P75" s="239"/>
      <c r="Q75" s="239" t="s">
        <v>170</v>
      </c>
      <c r="R75" s="103"/>
      <c r="S75" s="239"/>
      <c r="T75" s="103"/>
      <c r="U75" s="239"/>
      <c r="V75" s="103"/>
      <c r="W75" s="118">
        <f>AVERAGE(W70:W71)</f>
        <v>0.49896992210845498</v>
      </c>
      <c r="X75" s="320" t="s">
        <v>208</v>
      </c>
      <c r="Y75" s="320"/>
      <c r="Z75" s="320"/>
      <c r="AA75" s="320"/>
      <c r="AB75" s="320"/>
    </row>
  </sheetData>
  <mergeCells count="10">
    <mergeCell ref="X75:AB75"/>
    <mergeCell ref="AB60:AC60"/>
    <mergeCell ref="J19:K19"/>
    <mergeCell ref="J37:K37"/>
    <mergeCell ref="J54:K54"/>
    <mergeCell ref="A1:B1"/>
    <mergeCell ref="C1:F1"/>
    <mergeCell ref="G1:I1"/>
    <mergeCell ref="J2:K2"/>
    <mergeCell ref="K1:L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1976E-E556-464C-9164-C2BFDFDEBF51}">
  <dimension ref="A2:P64"/>
  <sheetViews>
    <sheetView topLeftCell="A22" zoomScaleNormal="100" workbookViewId="0">
      <selection activeCell="H14" sqref="H14"/>
    </sheetView>
  </sheetViews>
  <sheetFormatPr defaultRowHeight="14.5" x14ac:dyDescent="0.35"/>
  <cols>
    <col min="3" max="3" width="10.1796875" customWidth="1"/>
    <col min="4" max="4" width="13.54296875" customWidth="1"/>
    <col min="7" max="7" width="23" customWidth="1"/>
    <col min="8" max="8" width="12" bestFit="1" customWidth="1"/>
    <col min="11" max="11" width="12.81640625" customWidth="1"/>
    <col min="12" max="12" width="10.453125" bestFit="1" customWidth="1"/>
    <col min="13" max="13" width="19.1796875" customWidth="1"/>
    <col min="14" max="14" width="16.54296875" customWidth="1"/>
    <col min="15" max="15" width="12" bestFit="1" customWidth="1"/>
  </cols>
  <sheetData>
    <row r="2" spans="2:12" x14ac:dyDescent="0.35">
      <c r="B2" s="105" t="s">
        <v>209</v>
      </c>
      <c r="C2" s="116"/>
      <c r="D2" s="116"/>
      <c r="E2" s="239"/>
      <c r="F2" s="239"/>
      <c r="G2" s="239"/>
      <c r="H2" s="239"/>
      <c r="I2" s="239"/>
      <c r="J2" s="239"/>
      <c r="K2" s="239"/>
      <c r="L2" s="239"/>
    </row>
    <row r="3" spans="2:12" x14ac:dyDescent="0.35">
      <c r="B3" s="116"/>
      <c r="C3" s="116"/>
      <c r="D3" s="120">
        <v>7.96</v>
      </c>
      <c r="E3" s="239"/>
      <c r="F3" s="239"/>
      <c r="G3" s="105" t="s">
        <v>210</v>
      </c>
      <c r="H3" s="116"/>
      <c r="I3" s="116"/>
      <c r="J3" s="116"/>
      <c r="K3" s="116"/>
      <c r="L3" s="116"/>
    </row>
    <row r="4" spans="2:12" ht="24.5" x14ac:dyDescent="0.35">
      <c r="B4" s="116"/>
      <c r="C4" s="116"/>
      <c r="D4" s="120">
        <v>8.02</v>
      </c>
      <c r="E4" s="239"/>
      <c r="F4" s="239"/>
      <c r="G4" s="145" t="s">
        <v>211</v>
      </c>
      <c r="H4" s="105" t="s">
        <v>212</v>
      </c>
      <c r="I4" s="105" t="s">
        <v>213</v>
      </c>
      <c r="J4" s="105" t="s">
        <v>214</v>
      </c>
      <c r="K4" s="105" t="s">
        <v>213</v>
      </c>
      <c r="L4" s="105" t="s">
        <v>215</v>
      </c>
    </row>
    <row r="5" spans="2:12" x14ac:dyDescent="0.35">
      <c r="B5" s="116"/>
      <c r="C5" s="116"/>
      <c r="D5" s="120">
        <v>8.02</v>
      </c>
      <c r="E5" s="239"/>
      <c r="F5" s="239"/>
      <c r="G5" s="143">
        <v>996687.3</v>
      </c>
      <c r="H5" s="116">
        <v>44.538910000000001</v>
      </c>
      <c r="I5" s="116">
        <v>64.310789999999997</v>
      </c>
      <c r="J5" s="116">
        <v>34.772089999999999</v>
      </c>
      <c r="K5" s="116">
        <v>54.630969999999998</v>
      </c>
      <c r="L5" s="116">
        <f>H5-J5</f>
        <v>9.7668200000000027</v>
      </c>
    </row>
    <row r="6" spans="2:12" x14ac:dyDescent="0.35">
      <c r="B6" s="116"/>
      <c r="C6" s="116"/>
      <c r="D6" s="120">
        <v>8</v>
      </c>
      <c r="E6" s="239"/>
      <c r="F6" s="239"/>
      <c r="G6" s="116"/>
      <c r="H6" s="116">
        <v>45.387210000000003</v>
      </c>
      <c r="I6" s="116">
        <v>41.088560000000001</v>
      </c>
      <c r="J6" s="116">
        <v>35.629519999999999</v>
      </c>
      <c r="K6" s="116">
        <v>49.10962</v>
      </c>
      <c r="L6" s="116">
        <f>H6-J6</f>
        <v>9.7576900000000037</v>
      </c>
    </row>
    <row r="7" spans="2:12" x14ac:dyDescent="0.35">
      <c r="B7" s="116"/>
      <c r="C7" s="116"/>
      <c r="D7" s="120">
        <v>8</v>
      </c>
      <c r="E7" s="239"/>
      <c r="F7" s="239"/>
      <c r="G7" s="116"/>
      <c r="H7" s="239"/>
      <c r="I7" s="239"/>
      <c r="J7" s="239"/>
      <c r="K7" s="105" t="s">
        <v>216</v>
      </c>
      <c r="L7" s="105">
        <f>AVERAGE(L5:L6)</f>
        <v>9.7622550000000032</v>
      </c>
    </row>
    <row r="8" spans="2:12" x14ac:dyDescent="0.35">
      <c r="B8" s="116"/>
      <c r="C8" s="116"/>
      <c r="D8" s="120">
        <v>7.98</v>
      </c>
      <c r="E8" s="239"/>
      <c r="F8" s="239"/>
      <c r="G8" s="105" t="s">
        <v>139</v>
      </c>
      <c r="H8" s="116"/>
      <c r="I8" s="116"/>
      <c r="J8" s="116"/>
      <c r="K8" s="116"/>
      <c r="L8" s="116"/>
    </row>
    <row r="9" spans="2:12" ht="24.5" x14ac:dyDescent="0.35">
      <c r="B9" s="116"/>
      <c r="C9" s="116"/>
      <c r="D9" s="120">
        <v>8.02</v>
      </c>
      <c r="E9" s="239"/>
      <c r="F9" s="239"/>
      <c r="G9" s="145" t="s">
        <v>217</v>
      </c>
      <c r="H9" s="105" t="s">
        <v>212</v>
      </c>
      <c r="I9" s="105" t="s">
        <v>213</v>
      </c>
      <c r="J9" s="105" t="s">
        <v>214</v>
      </c>
      <c r="K9" s="105" t="s">
        <v>213</v>
      </c>
      <c r="L9" s="105" t="s">
        <v>215</v>
      </c>
    </row>
    <row r="10" spans="2:12" x14ac:dyDescent="0.35">
      <c r="B10" s="116"/>
      <c r="C10" s="116"/>
      <c r="D10" s="120">
        <v>8</v>
      </c>
      <c r="E10" s="239"/>
      <c r="F10" s="239"/>
      <c r="G10" s="143">
        <v>952.63199999999995</v>
      </c>
      <c r="H10" s="116">
        <v>113.5248</v>
      </c>
      <c r="I10" s="116">
        <v>19.589089999999999</v>
      </c>
      <c r="J10" s="116">
        <v>-1.6751360000000001E-4</v>
      </c>
      <c r="K10" s="116">
        <v>0.68719850000000005</v>
      </c>
      <c r="L10" s="116">
        <f>H10-J10</f>
        <v>113.5249675136</v>
      </c>
    </row>
    <row r="11" spans="2:12" x14ac:dyDescent="0.35">
      <c r="B11" s="116"/>
      <c r="C11" s="116"/>
      <c r="D11" s="120">
        <v>7.98</v>
      </c>
      <c r="E11" s="239"/>
      <c r="F11" s="239"/>
      <c r="G11" s="116"/>
      <c r="H11" s="116"/>
      <c r="I11" s="116"/>
      <c r="J11" s="116"/>
      <c r="K11" s="105" t="s">
        <v>218</v>
      </c>
      <c r="L11" s="105">
        <f>L10/1000/G10</f>
        <v>1.1916980272928057E-4</v>
      </c>
    </row>
    <row r="12" spans="2:12" x14ac:dyDescent="0.35">
      <c r="B12" s="116"/>
      <c r="C12" s="116"/>
      <c r="D12" s="120">
        <v>8</v>
      </c>
      <c r="E12" s="239"/>
      <c r="F12" s="239"/>
      <c r="G12" s="116"/>
      <c r="H12" s="116"/>
      <c r="I12" s="116"/>
      <c r="J12" s="116"/>
      <c r="K12" s="116"/>
      <c r="L12" s="116"/>
    </row>
    <row r="13" spans="2:12" ht="31.5" x14ac:dyDescent="0.35">
      <c r="B13" s="116"/>
      <c r="C13" s="105" t="s">
        <v>87</v>
      </c>
      <c r="D13" s="121">
        <f>AVERAGE(D3:D12)</f>
        <v>7.9980000000000002</v>
      </c>
      <c r="E13" s="239"/>
      <c r="F13" s="239"/>
      <c r="G13" s="144" t="s">
        <v>219</v>
      </c>
      <c r="H13" s="143">
        <v>0.50700000000000001</v>
      </c>
      <c r="I13" s="239"/>
      <c r="J13" s="239"/>
      <c r="K13" s="147" t="s">
        <v>220</v>
      </c>
      <c r="L13" s="146">
        <f>L11/H13</f>
        <v>2.3504892057057313E-4</v>
      </c>
    </row>
    <row r="14" spans="2:12" ht="24.5" x14ac:dyDescent="0.35">
      <c r="B14" s="116"/>
      <c r="C14" s="105" t="s">
        <v>221</v>
      </c>
      <c r="D14" s="121">
        <f>STDEV(D3:D12)</f>
        <v>1.9888578520234828E-2</v>
      </c>
      <c r="E14" s="239"/>
      <c r="F14" s="239"/>
      <c r="G14" s="144" t="s">
        <v>222</v>
      </c>
      <c r="H14" s="143">
        <f>L13/D17</f>
        <v>4.6784886490716202</v>
      </c>
      <c r="I14" s="239"/>
      <c r="J14" s="239"/>
      <c r="K14" s="239"/>
      <c r="L14" s="239"/>
    </row>
    <row r="15" spans="2:12" x14ac:dyDescent="0.35">
      <c r="B15" s="105" t="s">
        <v>223</v>
      </c>
      <c r="C15" s="116"/>
      <c r="D15" s="120"/>
      <c r="E15" s="116"/>
      <c r="F15" s="239"/>
      <c r="G15" s="239"/>
      <c r="H15" s="239"/>
      <c r="I15" s="239"/>
      <c r="J15" s="239"/>
      <c r="K15" s="239"/>
      <c r="L15" s="239"/>
    </row>
    <row r="16" spans="2:12" x14ac:dyDescent="0.35">
      <c r="B16" s="116"/>
      <c r="C16" s="116"/>
      <c r="D16" s="122">
        <f>PI()*POWER(D13/2,2)</f>
        <v>50.240352857800623</v>
      </c>
      <c r="E16" s="116" t="s">
        <v>224</v>
      </c>
      <c r="F16" s="239"/>
      <c r="G16" s="239"/>
      <c r="H16" s="239"/>
      <c r="I16" s="239"/>
      <c r="J16" s="239"/>
      <c r="K16" s="239"/>
      <c r="L16" s="239"/>
    </row>
    <row r="17" spans="1:16" ht="24.5" x14ac:dyDescent="0.35">
      <c r="A17" s="239"/>
      <c r="B17" s="116"/>
      <c r="C17" s="116"/>
      <c r="D17" s="123">
        <f>D16/1000000</f>
        <v>5.0240352857800623E-5</v>
      </c>
      <c r="E17" s="116" t="s">
        <v>225</v>
      </c>
      <c r="F17" s="239"/>
      <c r="G17" s="106" t="s">
        <v>226</v>
      </c>
      <c r="H17" s="239">
        <f>L7/H14</f>
        <v>2.0866257743164951</v>
      </c>
      <c r="I17" s="239"/>
      <c r="J17" s="239"/>
      <c r="K17" s="239"/>
      <c r="L17" s="239"/>
      <c r="M17" s="239"/>
      <c r="N17" s="239"/>
      <c r="O17" s="239"/>
      <c r="P17" s="239"/>
    </row>
    <row r="19" spans="1:16" x14ac:dyDescent="0.35">
      <c r="A19" s="239"/>
      <c r="B19" s="239"/>
      <c r="C19" s="239"/>
      <c r="D19" s="239" t="s">
        <v>170</v>
      </c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</row>
    <row r="20" spans="1:16" x14ac:dyDescent="0.35">
      <c r="A20" s="101"/>
      <c r="B20" s="101" t="s">
        <v>227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</row>
    <row r="22" spans="1:16" ht="48.5" x14ac:dyDescent="0.35">
      <c r="A22" s="239"/>
      <c r="B22" s="145" t="s">
        <v>228</v>
      </c>
      <c r="C22" s="239">
        <v>2.7</v>
      </c>
      <c r="D22" s="239"/>
      <c r="E22" s="239"/>
      <c r="F22" s="239"/>
      <c r="G22" s="149" t="s">
        <v>229</v>
      </c>
      <c r="H22" s="239"/>
      <c r="I22" s="239"/>
      <c r="J22" s="239"/>
      <c r="K22" s="239"/>
      <c r="L22" s="239"/>
      <c r="M22" s="239"/>
      <c r="N22" s="239"/>
      <c r="O22" s="239"/>
      <c r="P22" s="239"/>
    </row>
    <row r="23" spans="1:16" x14ac:dyDescent="0.35">
      <c r="A23" s="239"/>
      <c r="B23" s="239"/>
      <c r="C23" s="239"/>
      <c r="D23" s="239"/>
      <c r="E23" s="239"/>
      <c r="F23" s="239"/>
      <c r="G23" s="105" t="s">
        <v>210</v>
      </c>
      <c r="H23" s="116"/>
      <c r="I23" s="116"/>
      <c r="J23" s="116"/>
      <c r="K23" s="116"/>
      <c r="L23" s="116"/>
      <c r="M23" s="239"/>
      <c r="N23" s="239"/>
      <c r="O23" s="239"/>
      <c r="P23" s="239"/>
    </row>
    <row r="24" spans="1:16" ht="24.5" x14ac:dyDescent="0.35">
      <c r="A24" s="239"/>
      <c r="B24" s="239"/>
      <c r="C24" s="239"/>
      <c r="D24" s="239"/>
      <c r="E24" s="239"/>
      <c r="F24" s="239"/>
      <c r="G24" s="145" t="s">
        <v>230</v>
      </c>
      <c r="H24" s="105" t="s">
        <v>231</v>
      </c>
      <c r="I24" s="105" t="s">
        <v>213</v>
      </c>
      <c r="J24" s="105" t="s">
        <v>232</v>
      </c>
      <c r="K24" s="105" t="s">
        <v>213</v>
      </c>
      <c r="L24" s="105" t="s">
        <v>233</v>
      </c>
      <c r="M24" s="239"/>
      <c r="N24" s="239"/>
      <c r="O24" s="239"/>
      <c r="P24" s="239"/>
    </row>
    <row r="25" spans="1:16" x14ac:dyDescent="0.35">
      <c r="A25" s="239"/>
      <c r="B25" s="239"/>
      <c r="C25" s="239"/>
      <c r="D25" s="239"/>
      <c r="E25" s="239"/>
      <c r="F25" s="239"/>
      <c r="G25" s="143">
        <v>100000000</v>
      </c>
      <c r="H25" s="116">
        <v>3.9128323599999999</v>
      </c>
      <c r="I25" s="116"/>
      <c r="J25" s="114">
        <v>4.7038716000000003E-3</v>
      </c>
      <c r="K25" s="116"/>
      <c r="L25" s="116">
        <f>H25-J25</f>
        <v>3.9081284884</v>
      </c>
      <c r="M25" s="239"/>
      <c r="N25" s="239"/>
      <c r="O25" s="239"/>
      <c r="P25" s="239"/>
    </row>
    <row r="26" spans="1:16" x14ac:dyDescent="0.35">
      <c r="A26" s="239"/>
      <c r="B26" s="239"/>
      <c r="C26" s="239"/>
      <c r="D26" s="239"/>
      <c r="E26" s="239"/>
      <c r="F26" s="239"/>
      <c r="G26" s="116"/>
      <c r="H26" s="116">
        <v>3.98884382</v>
      </c>
      <c r="I26" s="116"/>
      <c r="J26" s="114">
        <v>3.10182084E-3</v>
      </c>
      <c r="K26" s="116"/>
      <c r="L26" s="114">
        <f>H26-J26</f>
        <v>3.98574199916</v>
      </c>
      <c r="M26" s="239"/>
      <c r="N26" s="239"/>
      <c r="O26" s="239"/>
      <c r="P26" s="239"/>
    </row>
    <row r="27" spans="1:16" x14ac:dyDescent="0.35">
      <c r="A27" s="239"/>
      <c r="B27" s="239"/>
      <c r="C27" s="239"/>
      <c r="D27" s="239"/>
      <c r="E27" s="239"/>
      <c r="F27" s="239"/>
      <c r="G27" s="116"/>
      <c r="H27" s="239"/>
      <c r="I27" s="239"/>
      <c r="J27" s="239"/>
      <c r="K27" s="105" t="s">
        <v>234</v>
      </c>
      <c r="L27" s="105">
        <f>AVERAGE(L25:L26)</f>
        <v>3.94693524378</v>
      </c>
      <c r="M27" s="239"/>
      <c r="N27" s="239"/>
      <c r="O27" s="239"/>
      <c r="P27" s="239"/>
    </row>
    <row r="28" spans="1:16" x14ac:dyDescent="0.35">
      <c r="A28" s="239"/>
      <c r="B28" s="239"/>
      <c r="C28" s="239"/>
      <c r="D28" s="239"/>
      <c r="E28" s="239"/>
      <c r="F28" s="239"/>
      <c r="G28" s="105" t="s">
        <v>139</v>
      </c>
      <c r="H28" s="116"/>
      <c r="I28" s="116"/>
      <c r="J28" s="116"/>
      <c r="K28" s="116"/>
      <c r="L28" s="116"/>
      <c r="M28" s="239"/>
      <c r="N28" s="239"/>
      <c r="O28" s="239"/>
      <c r="P28" s="239"/>
    </row>
    <row r="29" spans="1:16" ht="24.5" x14ac:dyDescent="0.35">
      <c r="A29" s="239"/>
      <c r="B29" s="239"/>
      <c r="C29" s="239"/>
      <c r="D29" s="239"/>
      <c r="E29" s="239"/>
      <c r="F29" s="239"/>
      <c r="G29" s="145" t="s">
        <v>235</v>
      </c>
      <c r="H29" s="105" t="s">
        <v>231</v>
      </c>
      <c r="I29" s="105" t="s">
        <v>213</v>
      </c>
      <c r="J29" s="105" t="s">
        <v>232</v>
      </c>
      <c r="K29" s="105" t="s">
        <v>213</v>
      </c>
      <c r="L29" s="105" t="s">
        <v>233</v>
      </c>
      <c r="M29" s="239"/>
      <c r="N29" s="239"/>
      <c r="O29" s="239"/>
      <c r="P29" s="239"/>
    </row>
    <row r="30" spans="1:16" x14ac:dyDescent="0.35">
      <c r="A30" s="239"/>
      <c r="B30" s="239"/>
      <c r="C30" s="239"/>
      <c r="D30" s="239"/>
      <c r="E30" s="239"/>
      <c r="F30" s="239"/>
      <c r="G30" s="143">
        <v>100000</v>
      </c>
      <c r="H30" s="116">
        <v>4.08407257</v>
      </c>
      <c r="I30" s="116">
        <v>19.589089999999999</v>
      </c>
      <c r="J30" s="114">
        <v>5.4758715400000002E-4</v>
      </c>
      <c r="K30" s="116">
        <v>0.68719850000000005</v>
      </c>
      <c r="L30" s="116">
        <f>H30-J30</f>
        <v>4.0835249828459999</v>
      </c>
      <c r="M30" s="239"/>
      <c r="N30" s="239"/>
      <c r="O30" s="239"/>
      <c r="P30" s="239"/>
    </row>
    <row r="31" spans="1:16" x14ac:dyDescent="0.35">
      <c r="A31" s="239"/>
      <c r="B31" s="239"/>
      <c r="C31" s="239"/>
      <c r="D31" s="239"/>
      <c r="E31" s="239"/>
      <c r="F31" s="239"/>
      <c r="G31" s="116"/>
      <c r="H31" s="116"/>
      <c r="I31" s="116"/>
      <c r="J31" s="116"/>
      <c r="K31" s="105" t="s">
        <v>218</v>
      </c>
      <c r="L31" s="105">
        <f>L30/G30</f>
        <v>4.0835249828460001E-5</v>
      </c>
      <c r="M31" s="239"/>
      <c r="N31" s="239"/>
      <c r="O31" s="239"/>
      <c r="P31" s="239"/>
    </row>
    <row r="32" spans="1:16" x14ac:dyDescent="0.35">
      <c r="A32" s="239"/>
      <c r="B32" s="239"/>
      <c r="C32" s="239"/>
      <c r="D32" s="239"/>
      <c r="E32" s="239"/>
      <c r="F32" s="239"/>
      <c r="G32" s="116"/>
      <c r="H32" s="116"/>
      <c r="I32" s="116"/>
      <c r="J32" s="116"/>
      <c r="K32" s="116"/>
      <c r="L32" s="116"/>
      <c r="M32" s="239"/>
      <c r="N32" s="239"/>
      <c r="O32" s="239"/>
      <c r="P32" s="239"/>
    </row>
    <row r="33" spans="1:14" ht="31.5" x14ac:dyDescent="0.35">
      <c r="A33" s="239"/>
      <c r="B33" s="239"/>
      <c r="C33" s="239"/>
      <c r="D33" s="239"/>
      <c r="E33" s="239"/>
      <c r="F33" s="239"/>
      <c r="G33" s="144" t="s">
        <v>219</v>
      </c>
      <c r="H33" s="143">
        <v>0.50700000000000001</v>
      </c>
      <c r="I33" s="239"/>
      <c r="J33" s="239"/>
      <c r="K33" s="147" t="s">
        <v>220</v>
      </c>
      <c r="L33" s="146">
        <f>L31/H33</f>
        <v>8.0542899069940827E-5</v>
      </c>
      <c r="M33" s="239"/>
      <c r="N33" s="239"/>
    </row>
    <row r="34" spans="1:14" ht="36.5" x14ac:dyDescent="0.35">
      <c r="A34" s="239"/>
      <c r="B34" s="239"/>
      <c r="C34" s="239"/>
      <c r="D34" s="239"/>
      <c r="E34" s="239"/>
      <c r="F34" s="239"/>
      <c r="G34" s="144" t="s">
        <v>222</v>
      </c>
      <c r="H34" s="143">
        <f>L33/D37</f>
        <v>14.067270801572239</v>
      </c>
      <c r="I34" s="239"/>
      <c r="J34" s="239"/>
      <c r="K34" s="239"/>
      <c r="L34" s="239"/>
      <c r="M34" s="144" t="s">
        <v>236</v>
      </c>
      <c r="N34" s="1">
        <f>H33*D37</f>
        <v>2.902855173861871E-6</v>
      </c>
    </row>
    <row r="37" spans="1:14" ht="24" x14ac:dyDescent="0.35">
      <c r="A37" s="1"/>
      <c r="B37" s="150" t="s">
        <v>237</v>
      </c>
      <c r="C37" s="1"/>
      <c r="D37" s="1">
        <f>PI()*POWER(C22/2/1000,2)</f>
        <v>5.7255526111673983E-6</v>
      </c>
      <c r="E37" s="1"/>
      <c r="F37" s="1"/>
      <c r="G37" s="151"/>
      <c r="H37" s="1"/>
      <c r="I37" s="1"/>
      <c r="J37" s="1"/>
      <c r="K37" s="1"/>
      <c r="L37" s="1"/>
      <c r="M37" s="151" t="s">
        <v>238</v>
      </c>
      <c r="N37" s="1">
        <f>H33*D37*G30*L27/(G25*L30)</f>
        <v>2.805757633768498E-9</v>
      </c>
    </row>
    <row r="38" spans="1:14" ht="24" x14ac:dyDescent="0.35">
      <c r="A38" s="239"/>
      <c r="B38" s="239"/>
      <c r="C38" s="239"/>
      <c r="D38" s="239"/>
      <c r="E38" s="239"/>
      <c r="F38" s="239"/>
      <c r="G38" s="106"/>
      <c r="H38" s="239"/>
      <c r="I38" s="239"/>
      <c r="J38" s="239"/>
      <c r="K38" s="239"/>
      <c r="L38" s="239"/>
      <c r="M38" s="151" t="s">
        <v>239</v>
      </c>
      <c r="N38" s="239">
        <f>N37*G25</f>
        <v>0.28057576337684981</v>
      </c>
    </row>
    <row r="39" spans="1:14" ht="24" x14ac:dyDescent="0.35">
      <c r="A39" s="239"/>
      <c r="B39" s="239"/>
      <c r="C39" s="239"/>
      <c r="D39" s="239"/>
      <c r="E39" s="239"/>
      <c r="F39" s="239"/>
      <c r="G39" s="106"/>
      <c r="H39" s="239"/>
      <c r="I39" s="239"/>
      <c r="J39" s="239"/>
      <c r="K39" s="239"/>
      <c r="L39" s="239"/>
      <c r="M39" s="151" t="s">
        <v>226</v>
      </c>
      <c r="N39" s="239">
        <f>N38*1000</f>
        <v>280.57576337684981</v>
      </c>
    </row>
    <row r="42" spans="1:14" x14ac:dyDescent="0.35">
      <c r="A42" s="241" t="s">
        <v>240</v>
      </c>
      <c r="B42" s="239"/>
      <c r="C42" s="239"/>
      <c r="D42" s="239"/>
      <c r="E42" s="239"/>
      <c r="F42" s="239"/>
      <c r="G42" s="106" t="s">
        <v>170</v>
      </c>
      <c r="H42" s="239"/>
      <c r="I42" s="239"/>
      <c r="J42" s="239"/>
      <c r="K42" s="239"/>
      <c r="L42" s="239"/>
      <c r="M42" s="239"/>
      <c r="N42" s="239"/>
    </row>
    <row r="43" spans="1:14" x14ac:dyDescent="0.35">
      <c r="A43" s="239"/>
      <c r="B43" s="239"/>
      <c r="C43" s="239"/>
      <c r="D43" s="239"/>
      <c r="E43" s="239"/>
      <c r="F43" s="239"/>
      <c r="G43" s="105" t="s">
        <v>241</v>
      </c>
      <c r="H43" s="152">
        <v>1.5845E-3</v>
      </c>
      <c r="I43" s="239"/>
      <c r="J43" s="239"/>
      <c r="K43" s="239"/>
      <c r="L43" s="239"/>
      <c r="M43" s="239"/>
      <c r="N43" s="239"/>
    </row>
    <row r="45" spans="1:14" x14ac:dyDescent="0.35">
      <c r="A45" s="239"/>
      <c r="B45" s="239"/>
      <c r="C45" s="239"/>
      <c r="D45" s="239"/>
      <c r="E45" s="239"/>
      <c r="F45" s="239"/>
      <c r="G45" s="105" t="s">
        <v>210</v>
      </c>
      <c r="H45" s="116"/>
      <c r="I45" s="116"/>
      <c r="J45" s="116"/>
      <c r="K45" s="116"/>
      <c r="L45" s="116"/>
      <c r="M45" s="239"/>
      <c r="N45" s="239"/>
    </row>
    <row r="46" spans="1:14" x14ac:dyDescent="0.35">
      <c r="A46" s="239"/>
      <c r="B46" s="239"/>
      <c r="C46" s="239"/>
      <c r="D46" s="239"/>
      <c r="E46" s="239"/>
      <c r="F46" s="239"/>
      <c r="G46" s="145"/>
      <c r="H46" s="105" t="s">
        <v>212</v>
      </c>
      <c r="I46" s="105" t="s">
        <v>213</v>
      </c>
      <c r="J46" s="105" t="s">
        <v>214</v>
      </c>
      <c r="K46" s="105" t="s">
        <v>213</v>
      </c>
      <c r="L46" s="105" t="s">
        <v>215</v>
      </c>
      <c r="M46" s="239"/>
      <c r="N46" s="239"/>
    </row>
    <row r="47" spans="1:14" x14ac:dyDescent="0.35">
      <c r="A47" s="239"/>
      <c r="B47" s="239"/>
      <c r="C47" s="239"/>
      <c r="D47" s="239"/>
      <c r="E47" s="239"/>
      <c r="F47" s="239"/>
      <c r="G47" s="143"/>
      <c r="H47" s="116">
        <v>3.3</v>
      </c>
      <c r="I47" s="116"/>
      <c r="J47" s="114">
        <v>0</v>
      </c>
      <c r="K47" s="116"/>
      <c r="L47" s="114">
        <f>H47-J47</f>
        <v>3.3</v>
      </c>
      <c r="M47" s="239"/>
      <c r="N47" s="239"/>
    </row>
    <row r="48" spans="1:14" x14ac:dyDescent="0.35">
      <c r="A48" s="239" t="s">
        <v>170</v>
      </c>
      <c r="B48" s="239"/>
      <c r="C48" s="239"/>
      <c r="D48" s="239"/>
      <c r="E48" s="239"/>
      <c r="F48" s="239"/>
      <c r="G48" s="116"/>
      <c r="H48" s="116"/>
      <c r="I48" s="116"/>
      <c r="J48" s="114"/>
      <c r="K48" s="116"/>
      <c r="L48" s="153"/>
      <c r="M48" s="239"/>
      <c r="N48" s="239"/>
    </row>
    <row r="49" spans="7:15" x14ac:dyDescent="0.35">
      <c r="G49" s="116"/>
      <c r="H49" s="116"/>
      <c r="I49" s="116"/>
      <c r="J49" s="114"/>
      <c r="K49" s="116"/>
      <c r="L49" s="114"/>
      <c r="M49" s="239"/>
      <c r="N49" s="239"/>
      <c r="O49" s="239"/>
    </row>
    <row r="50" spans="7:15" x14ac:dyDescent="0.35">
      <c r="G50" s="116"/>
      <c r="H50" s="116"/>
      <c r="I50" s="116"/>
      <c r="J50" s="114"/>
      <c r="K50" s="116"/>
      <c r="L50" s="114"/>
      <c r="M50" s="239"/>
      <c r="N50" s="239"/>
      <c r="O50" s="239"/>
    </row>
    <row r="51" spans="7:15" x14ac:dyDescent="0.35">
      <c r="G51" s="116"/>
      <c r="H51" s="239"/>
      <c r="I51" s="239"/>
      <c r="J51" s="239"/>
      <c r="K51" s="105" t="s">
        <v>216</v>
      </c>
      <c r="L51" s="105">
        <f>AVERAGE(L47:L50)</f>
        <v>3.3</v>
      </c>
      <c r="M51" s="239"/>
      <c r="N51" s="239"/>
      <c r="O51" s="239"/>
    </row>
    <row r="54" spans="7:15" x14ac:dyDescent="0.35">
      <c r="G54" s="239"/>
      <c r="H54" s="239"/>
      <c r="I54" s="239"/>
      <c r="J54" s="239"/>
      <c r="K54" s="239"/>
      <c r="L54" s="239" t="s">
        <v>170</v>
      </c>
      <c r="M54" s="239"/>
      <c r="N54" s="239"/>
      <c r="O54" s="239"/>
    </row>
    <row r="55" spans="7:15" x14ac:dyDescent="0.35">
      <c r="G55" s="105" t="s">
        <v>242</v>
      </c>
      <c r="H55" s="116"/>
      <c r="I55" s="116"/>
      <c r="J55" s="116"/>
      <c r="K55" s="116"/>
      <c r="L55" s="116"/>
      <c r="M55" s="239"/>
      <c r="N55" s="239"/>
      <c r="O55" s="239"/>
    </row>
    <row r="56" spans="7:15" x14ac:dyDescent="0.35">
      <c r="G56" s="145"/>
      <c r="H56" s="105" t="s">
        <v>212</v>
      </c>
      <c r="I56" s="105" t="s">
        <v>213</v>
      </c>
      <c r="J56" s="105" t="s">
        <v>214</v>
      </c>
      <c r="K56" s="105" t="s">
        <v>213</v>
      </c>
      <c r="L56" s="105" t="s">
        <v>215</v>
      </c>
      <c r="M56" s="239"/>
      <c r="N56" s="239"/>
      <c r="O56" s="239"/>
    </row>
    <row r="57" spans="7:15" x14ac:dyDescent="0.35">
      <c r="G57" s="143"/>
      <c r="H57" s="116">
        <v>3800</v>
      </c>
      <c r="I57" s="116"/>
      <c r="J57" s="114">
        <v>0</v>
      </c>
      <c r="K57" s="116"/>
      <c r="L57" s="114">
        <f>H57-J57</f>
        <v>3800</v>
      </c>
      <c r="M57" s="239"/>
      <c r="N57" s="239"/>
      <c r="O57" s="239"/>
    </row>
    <row r="58" spans="7:15" x14ac:dyDescent="0.35">
      <c r="G58" s="116"/>
      <c r="H58" s="116"/>
      <c r="I58" s="116"/>
      <c r="J58" s="114"/>
      <c r="K58" s="116"/>
      <c r="L58" s="114"/>
      <c r="M58" s="239"/>
      <c r="N58" s="239"/>
      <c r="O58" s="239"/>
    </row>
    <row r="59" spans="7:15" x14ac:dyDescent="0.35">
      <c r="G59" s="116"/>
      <c r="H59" s="116"/>
      <c r="I59" s="116"/>
      <c r="J59" s="114"/>
      <c r="K59" s="116"/>
      <c r="L59" s="114"/>
      <c r="M59" s="239"/>
      <c r="N59" s="239"/>
      <c r="O59" s="239"/>
    </row>
    <row r="60" spans="7:15" x14ac:dyDescent="0.35">
      <c r="G60" s="116"/>
      <c r="H60" s="116"/>
      <c r="I60" s="116"/>
      <c r="J60" s="114">
        <v>0</v>
      </c>
      <c r="K60" s="116"/>
      <c r="L60" s="114"/>
      <c r="M60" s="239"/>
      <c r="N60" s="239"/>
      <c r="O60" s="239"/>
    </row>
    <row r="61" spans="7:15" x14ac:dyDescent="0.35">
      <c r="G61" s="116"/>
      <c r="H61" s="239"/>
      <c r="I61" s="239"/>
      <c r="J61" s="239"/>
      <c r="K61" s="105" t="s">
        <v>216</v>
      </c>
      <c r="L61" s="105">
        <f>AVERAGE(L57:L60)</f>
        <v>3800</v>
      </c>
      <c r="M61" s="239"/>
      <c r="N61" s="239"/>
      <c r="O61" s="239"/>
    </row>
    <row r="64" spans="7:15" x14ac:dyDescent="0.35">
      <c r="G64" s="239"/>
      <c r="H64" s="239"/>
      <c r="I64" s="239"/>
      <c r="J64" s="239"/>
      <c r="K64" s="239"/>
      <c r="L64" s="239"/>
      <c r="M64" s="239"/>
      <c r="N64" s="152">
        <f>N39*L57*H43/(H43*L47)</f>
        <v>323087.24267637252</v>
      </c>
      <c r="O64" s="152">
        <f>N64/1000</f>
        <v>323.08724267637251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37D5-9F03-4B74-8A0B-E0D79A204A07}">
  <dimension ref="A1:P48"/>
  <sheetViews>
    <sheetView workbookViewId="0">
      <selection activeCell="J58" sqref="J58"/>
    </sheetView>
  </sheetViews>
  <sheetFormatPr defaultRowHeight="14.5" x14ac:dyDescent="0.35"/>
  <cols>
    <col min="4" max="4" width="12" bestFit="1" customWidth="1"/>
    <col min="8" max="8" width="12.81640625" customWidth="1"/>
    <col min="9" max="9" width="10.26953125" bestFit="1" customWidth="1"/>
    <col min="12" max="12" width="10.54296875" bestFit="1" customWidth="1"/>
    <col min="13" max="13" width="11.54296875" customWidth="1"/>
    <col min="14" max="14" width="12" bestFit="1" customWidth="1"/>
    <col min="16" max="16" width="12" bestFit="1" customWidth="1"/>
  </cols>
  <sheetData>
    <row r="1" spans="1:16" x14ac:dyDescent="0.35">
      <c r="A1" s="154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3" spans="1:16" x14ac:dyDescent="0.35">
      <c r="A3" s="101"/>
      <c r="B3" s="101" t="s">
        <v>227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5" spans="1:16" ht="48.5" x14ac:dyDescent="0.35">
      <c r="A5" s="239"/>
      <c r="B5" s="145" t="s">
        <v>228</v>
      </c>
      <c r="C5" s="239">
        <v>2.7</v>
      </c>
      <c r="D5" s="239"/>
      <c r="E5" s="239"/>
      <c r="F5" s="239"/>
      <c r="G5" s="149" t="s">
        <v>229</v>
      </c>
      <c r="H5" s="239"/>
      <c r="I5" s="239"/>
      <c r="J5" s="239"/>
      <c r="K5" s="239"/>
      <c r="L5" s="239"/>
      <c r="M5" s="239"/>
      <c r="N5" s="239"/>
      <c r="O5" s="239"/>
      <c r="P5" s="239"/>
    </row>
    <row r="6" spans="1:16" ht="48.5" x14ac:dyDescent="0.35">
      <c r="A6" s="239"/>
      <c r="B6" s="145" t="s">
        <v>243</v>
      </c>
      <c r="C6" s="239">
        <f>C5/1000/2</f>
        <v>1.3500000000000001E-3</v>
      </c>
      <c r="D6" s="239"/>
      <c r="E6" s="239"/>
      <c r="F6" s="239"/>
      <c r="G6" s="105" t="s">
        <v>244</v>
      </c>
      <c r="H6" s="116"/>
      <c r="I6" s="116"/>
      <c r="J6" s="116"/>
      <c r="K6" s="116"/>
      <c r="L6" s="116"/>
      <c r="M6" s="239"/>
      <c r="N6" s="239"/>
      <c r="O6" s="239"/>
      <c r="P6" s="239"/>
    </row>
    <row r="7" spans="1:16" ht="48.5" x14ac:dyDescent="0.35">
      <c r="A7" s="239"/>
      <c r="B7" s="239"/>
      <c r="C7" s="239"/>
      <c r="D7" s="239"/>
      <c r="E7" s="239"/>
      <c r="F7" s="239"/>
      <c r="G7" s="145" t="s">
        <v>235</v>
      </c>
      <c r="H7" s="105" t="s">
        <v>231</v>
      </c>
      <c r="I7" s="105" t="s">
        <v>213</v>
      </c>
      <c r="J7" s="105" t="s">
        <v>232</v>
      </c>
      <c r="K7" s="105" t="s">
        <v>213</v>
      </c>
      <c r="L7" s="105" t="s">
        <v>233</v>
      </c>
      <c r="M7" s="239"/>
      <c r="N7" s="239"/>
      <c r="O7" s="239"/>
      <c r="P7" s="239"/>
    </row>
    <row r="8" spans="1:16" x14ac:dyDescent="0.35">
      <c r="A8" s="239"/>
      <c r="B8" s="239"/>
      <c r="C8" s="239"/>
      <c r="D8" s="239"/>
      <c r="E8" s="239"/>
      <c r="F8" s="239"/>
      <c r="G8" s="143">
        <v>100000</v>
      </c>
      <c r="H8" s="116">
        <v>4.4552733900000003</v>
      </c>
      <c r="I8" s="116"/>
      <c r="J8" s="114">
        <v>5.5392079400000003E-4</v>
      </c>
      <c r="K8" s="116"/>
      <c r="L8" s="116">
        <f>H8-J8</f>
        <v>4.4547194692060001</v>
      </c>
      <c r="M8" s="239"/>
      <c r="N8" s="239"/>
      <c r="O8" s="239"/>
      <c r="P8" s="239"/>
    </row>
    <row r="9" spans="1:16" x14ac:dyDescent="0.35">
      <c r="A9" s="239"/>
      <c r="B9" s="239"/>
      <c r="C9" s="239"/>
      <c r="D9" s="239"/>
      <c r="E9" s="239"/>
      <c r="F9" s="239"/>
      <c r="G9" s="116"/>
      <c r="H9" s="116">
        <v>4.4371161099999998</v>
      </c>
      <c r="I9" s="116"/>
      <c r="J9" s="114">
        <v>5.3367865499999998E-4</v>
      </c>
      <c r="K9" s="116"/>
      <c r="L9" s="114">
        <f>H9-J9</f>
        <v>4.4365824313450002</v>
      </c>
      <c r="M9" s="239"/>
      <c r="N9" s="239"/>
      <c r="O9" s="239"/>
      <c r="P9" s="239"/>
    </row>
    <row r="10" spans="1:16" x14ac:dyDescent="0.35">
      <c r="A10" s="239"/>
      <c r="B10" s="239"/>
      <c r="C10" s="239"/>
      <c r="D10" s="239"/>
      <c r="E10" s="239"/>
      <c r="F10" s="239"/>
      <c r="G10" s="116"/>
      <c r="H10" s="239"/>
      <c r="I10" s="239"/>
      <c r="J10" s="239"/>
      <c r="K10" s="105" t="s">
        <v>234</v>
      </c>
      <c r="L10" s="105">
        <f>AVERAGE(L8:L9)</f>
        <v>4.4456509502754997</v>
      </c>
      <c r="M10" s="239" t="s">
        <v>218</v>
      </c>
      <c r="N10" s="239">
        <f>L10/G8</f>
        <v>4.4456509502754998E-5</v>
      </c>
      <c r="O10" s="239"/>
      <c r="P10" s="239"/>
    </row>
    <row r="11" spans="1:16" x14ac:dyDescent="0.35">
      <c r="A11" s="239"/>
      <c r="B11" s="239"/>
      <c r="C11" s="239"/>
      <c r="D11" s="239"/>
      <c r="E11" s="239"/>
      <c r="F11" s="239"/>
      <c r="G11" s="105" t="s">
        <v>139</v>
      </c>
      <c r="H11" s="116"/>
      <c r="I11" s="116"/>
      <c r="J11" s="116"/>
      <c r="K11" s="116"/>
      <c r="L11" s="116"/>
      <c r="M11" s="239"/>
      <c r="N11" s="239"/>
      <c r="O11" s="239"/>
      <c r="P11" s="239"/>
    </row>
    <row r="12" spans="1:16" ht="48.5" x14ac:dyDescent="0.35">
      <c r="A12" s="239"/>
      <c r="B12" s="239"/>
      <c r="C12" s="239"/>
      <c r="D12" s="239"/>
      <c r="E12" s="239"/>
      <c r="F12" s="239"/>
      <c r="G12" s="145" t="s">
        <v>235</v>
      </c>
      <c r="H12" s="105" t="s">
        <v>231</v>
      </c>
      <c r="I12" s="105" t="s">
        <v>213</v>
      </c>
      <c r="J12" s="105" t="s">
        <v>232</v>
      </c>
      <c r="K12" s="105" t="s">
        <v>213</v>
      </c>
      <c r="L12" s="105" t="s">
        <v>233</v>
      </c>
      <c r="M12" s="239"/>
      <c r="N12" s="239"/>
      <c r="O12" s="239"/>
      <c r="P12" s="239"/>
    </row>
    <row r="13" spans="1:16" x14ac:dyDescent="0.35">
      <c r="A13" s="239"/>
      <c r="B13" s="239"/>
      <c r="C13" s="239"/>
      <c r="D13" s="239"/>
      <c r="E13" s="239"/>
      <c r="F13" s="239"/>
      <c r="G13" s="143">
        <v>100000</v>
      </c>
      <c r="H13" s="116">
        <v>3.8532086400000001</v>
      </c>
      <c r="I13" s="116">
        <v>19.589089999999999</v>
      </c>
      <c r="J13" s="114">
        <v>5.4473089200000001E-4</v>
      </c>
      <c r="K13" s="116">
        <v>0.68719850000000005</v>
      </c>
      <c r="L13" s="116">
        <f>H13-J13</f>
        <v>3.8526639091080002</v>
      </c>
      <c r="M13" s="239"/>
      <c r="N13" s="239"/>
      <c r="O13" s="239"/>
      <c r="P13" s="239"/>
    </row>
    <row r="14" spans="1:16" x14ac:dyDescent="0.35">
      <c r="A14" s="239"/>
      <c r="B14" s="239"/>
      <c r="C14" s="239"/>
      <c r="D14" s="239"/>
      <c r="E14" s="239"/>
      <c r="F14" s="239"/>
      <c r="G14" s="116"/>
      <c r="H14" s="116"/>
      <c r="I14" s="116"/>
      <c r="J14" s="116"/>
      <c r="K14" s="105" t="s">
        <v>218</v>
      </c>
      <c r="L14" s="105">
        <f>L13/G13</f>
        <v>3.8526639091080001E-5</v>
      </c>
      <c r="M14" s="239"/>
      <c r="N14" s="239"/>
      <c r="O14" s="239"/>
      <c r="P14" s="239"/>
    </row>
    <row r="15" spans="1:16" x14ac:dyDescent="0.35">
      <c r="A15" s="239"/>
      <c r="B15" s="239"/>
      <c r="C15" s="239"/>
      <c r="D15" s="239"/>
      <c r="E15" s="239"/>
      <c r="F15" s="239"/>
      <c r="G15" s="116"/>
      <c r="H15" s="116"/>
      <c r="I15" s="116"/>
      <c r="J15" s="116"/>
      <c r="K15" s="116"/>
      <c r="L15" s="116"/>
      <c r="M15" s="239"/>
      <c r="N15" s="239"/>
      <c r="O15" s="239"/>
      <c r="P15" s="239"/>
    </row>
    <row r="16" spans="1:16" ht="72.5" x14ac:dyDescent="0.35">
      <c r="A16" s="239"/>
      <c r="B16" s="239"/>
      <c r="C16" s="239"/>
      <c r="D16" s="239"/>
      <c r="E16" s="239"/>
      <c r="F16" s="239"/>
      <c r="G16" s="144" t="s">
        <v>219</v>
      </c>
      <c r="H16" s="143">
        <v>0.50700000000000001</v>
      </c>
      <c r="I16" s="239"/>
      <c r="J16" s="239"/>
      <c r="K16" s="147" t="s">
        <v>46</v>
      </c>
      <c r="L16" s="146">
        <f>L14/H16</f>
        <v>7.5989426215147926E-5</v>
      </c>
      <c r="M16" s="155" t="s">
        <v>245</v>
      </c>
      <c r="N16" s="146">
        <f>L16/D20</f>
        <v>13.271981130159284</v>
      </c>
      <c r="O16" s="239"/>
      <c r="P16" s="239"/>
    </row>
    <row r="17" spans="1:14" ht="60.5" x14ac:dyDescent="0.35">
      <c r="A17" s="239"/>
      <c r="B17" s="239"/>
      <c r="C17" s="239"/>
      <c r="D17" s="239"/>
      <c r="E17" s="239"/>
      <c r="F17" s="239"/>
      <c r="G17" s="144"/>
      <c r="H17" s="143"/>
      <c r="I17" s="239"/>
      <c r="J17" s="239"/>
      <c r="K17" s="239"/>
      <c r="L17" s="239"/>
      <c r="M17" s="144" t="s">
        <v>236</v>
      </c>
      <c r="N17" s="1">
        <f>H16*D20</f>
        <v>2.902855173861871E-6</v>
      </c>
    </row>
    <row r="20" spans="1:14" ht="36" x14ac:dyDescent="0.35">
      <c r="A20" s="1"/>
      <c r="B20" s="156" t="s">
        <v>237</v>
      </c>
      <c r="C20" s="157"/>
      <c r="D20" s="158">
        <f>PI()*POWER(C5/2/1000,2)</f>
        <v>5.7255526111673983E-6</v>
      </c>
      <c r="E20" s="1"/>
      <c r="F20" s="1"/>
      <c r="G20" s="151"/>
      <c r="H20" s="1"/>
      <c r="I20" s="1"/>
      <c r="J20" s="1"/>
      <c r="K20" s="1"/>
      <c r="L20" s="1"/>
      <c r="M20" s="151" t="s">
        <v>246</v>
      </c>
      <c r="N20" s="1">
        <f>N17*L10/L13</f>
        <v>3.3496513494682351E-6</v>
      </c>
    </row>
    <row r="21" spans="1:14" ht="36" x14ac:dyDescent="0.35">
      <c r="A21" s="239"/>
      <c r="B21" s="239"/>
      <c r="C21" s="239"/>
      <c r="D21" s="239"/>
      <c r="E21" s="239"/>
      <c r="F21" s="239"/>
      <c r="G21" s="106"/>
      <c r="H21" s="239"/>
      <c r="I21" s="239"/>
      <c r="J21" s="239"/>
      <c r="K21" s="239"/>
      <c r="L21" s="239"/>
      <c r="M21" s="151" t="s">
        <v>247</v>
      </c>
      <c r="N21" s="239">
        <f>N20*G13</f>
        <v>0.33496513494682351</v>
      </c>
    </row>
    <row r="22" spans="1:14" ht="48" x14ac:dyDescent="0.35">
      <c r="A22" s="239"/>
      <c r="B22" s="239"/>
      <c r="C22" s="239"/>
      <c r="D22" s="239"/>
      <c r="E22" s="239"/>
      <c r="F22" s="239"/>
      <c r="G22" s="106"/>
      <c r="H22" s="239"/>
      <c r="I22" s="239"/>
      <c r="J22" s="239"/>
      <c r="K22" s="239"/>
      <c r="L22" s="239"/>
      <c r="M22" s="151" t="s">
        <v>248</v>
      </c>
      <c r="N22" s="239">
        <f>N21*1000</f>
        <v>334.96513494682353</v>
      </c>
    </row>
    <row r="25" spans="1:14" x14ac:dyDescent="0.35">
      <c r="A25" s="241" t="s">
        <v>249</v>
      </c>
      <c r="B25" s="239"/>
      <c r="C25" s="239"/>
      <c r="D25" s="239"/>
      <c r="E25" s="239"/>
      <c r="F25" s="239"/>
      <c r="G25" s="106" t="s">
        <v>170</v>
      </c>
      <c r="H25" s="239"/>
      <c r="I25" s="239"/>
      <c r="J25" s="239"/>
      <c r="K25" s="239"/>
      <c r="L25" s="239"/>
      <c r="M25" s="239"/>
      <c r="N25" s="239"/>
    </row>
    <row r="26" spans="1:14" x14ac:dyDescent="0.35">
      <c r="A26" s="239"/>
      <c r="B26" s="239"/>
      <c r="C26" s="239"/>
      <c r="D26" s="239"/>
      <c r="E26" s="239"/>
      <c r="F26" s="239"/>
      <c r="G26" s="105" t="s">
        <v>241</v>
      </c>
      <c r="H26" s="152">
        <f>(14.8+14.52)/2</f>
        <v>14.66</v>
      </c>
      <c r="I26" s="152">
        <f>H26/100</f>
        <v>0.14660000000000001</v>
      </c>
      <c r="J26" s="239"/>
      <c r="K26" s="239"/>
      <c r="L26" s="239"/>
      <c r="M26" s="239"/>
      <c r="N26" s="239"/>
    </row>
    <row r="28" spans="1:14" x14ac:dyDescent="0.35">
      <c r="A28" s="239"/>
      <c r="B28" s="239"/>
      <c r="C28" s="239"/>
      <c r="D28" s="239"/>
      <c r="E28" s="239"/>
      <c r="F28" s="239"/>
      <c r="G28" s="105" t="s">
        <v>250</v>
      </c>
      <c r="H28" s="116"/>
      <c r="I28" s="116"/>
      <c r="J28" s="116"/>
      <c r="K28" s="116"/>
      <c r="L28" s="116"/>
      <c r="M28" s="239"/>
      <c r="N28" s="239"/>
    </row>
    <row r="29" spans="1:14" x14ac:dyDescent="0.35">
      <c r="A29" s="239"/>
      <c r="B29" s="239"/>
      <c r="C29" s="239"/>
      <c r="D29" s="239"/>
      <c r="E29" s="239"/>
      <c r="F29" s="239"/>
      <c r="G29" s="145"/>
      <c r="H29" s="105" t="s">
        <v>212</v>
      </c>
      <c r="I29" s="105" t="s">
        <v>213</v>
      </c>
      <c r="J29" s="105" t="s">
        <v>214</v>
      </c>
      <c r="K29" s="105" t="s">
        <v>213</v>
      </c>
      <c r="L29" s="105" t="s">
        <v>215</v>
      </c>
      <c r="M29" s="239"/>
      <c r="N29" s="239"/>
    </row>
    <row r="30" spans="1:14" x14ac:dyDescent="0.35">
      <c r="A30" s="239"/>
      <c r="B30" s="239"/>
      <c r="C30" s="239"/>
      <c r="D30" s="239"/>
      <c r="E30" s="239"/>
      <c r="F30" s="239"/>
      <c r="G30" s="143"/>
      <c r="H30" s="116">
        <v>30</v>
      </c>
      <c r="I30" s="116"/>
      <c r="J30" s="114">
        <v>0</v>
      </c>
      <c r="K30" s="116"/>
      <c r="L30" s="114">
        <f>H30-J30</f>
        <v>30</v>
      </c>
      <c r="M30" s="239"/>
      <c r="N30" s="239"/>
    </row>
    <row r="31" spans="1:14" x14ac:dyDescent="0.35">
      <c r="A31" s="239" t="s">
        <v>170</v>
      </c>
      <c r="B31" s="239"/>
      <c r="C31" s="239"/>
      <c r="D31" s="239"/>
      <c r="E31" s="239"/>
      <c r="F31" s="239"/>
      <c r="G31" s="116"/>
      <c r="H31" s="116"/>
      <c r="I31" s="116"/>
      <c r="J31" s="114"/>
      <c r="K31" s="116"/>
      <c r="L31" s="153"/>
      <c r="M31" s="239"/>
      <c r="N31" s="239"/>
    </row>
    <row r="32" spans="1:14" x14ac:dyDescent="0.35">
      <c r="A32" s="239"/>
      <c r="B32" s="239"/>
      <c r="C32" s="239"/>
      <c r="D32" s="239"/>
      <c r="E32" s="239"/>
      <c r="F32" s="239"/>
      <c r="G32" s="116"/>
      <c r="H32" s="116"/>
      <c r="I32" s="116"/>
      <c r="J32" s="114"/>
      <c r="K32" s="116"/>
      <c r="L32" s="114"/>
      <c r="M32" s="239"/>
      <c r="N32" s="239"/>
    </row>
    <row r="33" spans="7:13" x14ac:dyDescent="0.35">
      <c r="G33" s="116"/>
      <c r="H33" s="116"/>
      <c r="I33" s="116"/>
      <c r="J33" s="114"/>
      <c r="K33" s="116"/>
      <c r="L33" s="114"/>
      <c r="M33" s="239"/>
    </row>
    <row r="34" spans="7:13" x14ac:dyDescent="0.35">
      <c r="G34" s="116"/>
      <c r="H34" s="239"/>
      <c r="I34" s="239"/>
      <c r="J34" s="239"/>
      <c r="K34" s="105" t="s">
        <v>216</v>
      </c>
      <c r="L34" s="105">
        <f>AVERAGE(L30:L33)</f>
        <v>30</v>
      </c>
      <c r="M34" s="239"/>
    </row>
    <row r="37" spans="7:13" x14ac:dyDescent="0.35">
      <c r="G37" s="239"/>
      <c r="H37" s="239"/>
      <c r="I37" s="239"/>
      <c r="J37" s="239"/>
      <c r="K37" s="239"/>
      <c r="L37" s="239" t="s">
        <v>170</v>
      </c>
      <c r="M37" s="239"/>
    </row>
    <row r="38" spans="7:13" x14ac:dyDescent="0.35">
      <c r="G38" s="105" t="s">
        <v>242</v>
      </c>
      <c r="H38" s="116"/>
      <c r="I38" s="116"/>
      <c r="J38" s="116"/>
      <c r="K38" s="116"/>
      <c r="L38" s="116"/>
      <c r="M38" s="239"/>
    </row>
    <row r="39" spans="7:13" x14ac:dyDescent="0.35">
      <c r="G39" s="145"/>
      <c r="H39" s="105" t="s">
        <v>212</v>
      </c>
      <c r="I39" s="105" t="s">
        <v>213</v>
      </c>
      <c r="J39" s="105" t="s">
        <v>214</v>
      </c>
      <c r="K39" s="105" t="s">
        <v>213</v>
      </c>
      <c r="L39" s="105" t="s">
        <v>215</v>
      </c>
      <c r="M39" s="239"/>
    </row>
    <row r="40" spans="7:13" x14ac:dyDescent="0.35">
      <c r="G40" s="143"/>
      <c r="H40" s="116">
        <v>1500</v>
      </c>
      <c r="I40" s="116"/>
      <c r="J40" s="114">
        <v>0</v>
      </c>
      <c r="K40" s="116"/>
      <c r="L40" s="114">
        <f>H40-J40</f>
        <v>1500</v>
      </c>
      <c r="M40" s="239"/>
    </row>
    <row r="41" spans="7:13" x14ac:dyDescent="0.35">
      <c r="G41" s="116"/>
      <c r="H41" s="116"/>
      <c r="I41" s="116"/>
      <c r="J41" s="114"/>
      <c r="K41" s="116"/>
      <c r="L41" s="114"/>
      <c r="M41" s="239"/>
    </row>
    <row r="42" spans="7:13" x14ac:dyDescent="0.35">
      <c r="G42" s="116"/>
      <c r="H42" s="116"/>
      <c r="I42" s="116"/>
      <c r="J42" s="114"/>
      <c r="K42" s="116"/>
      <c r="L42" s="114"/>
      <c r="M42" s="239"/>
    </row>
    <row r="43" spans="7:13" x14ac:dyDescent="0.35">
      <c r="G43" s="116"/>
      <c r="H43" s="116"/>
      <c r="I43" s="116"/>
      <c r="J43" s="114">
        <v>0</v>
      </c>
      <c r="K43" s="116"/>
      <c r="L43" s="114"/>
      <c r="M43" s="239"/>
    </row>
    <row r="44" spans="7:13" x14ac:dyDescent="0.35">
      <c r="G44" s="116"/>
      <c r="H44" s="239"/>
      <c r="I44" s="239"/>
      <c r="J44" s="239"/>
      <c r="K44" s="105" t="s">
        <v>216</v>
      </c>
      <c r="L44" s="105">
        <f>AVERAGE(L40:L43)</f>
        <v>1500</v>
      </c>
      <c r="M44" s="239"/>
    </row>
    <row r="47" spans="7:13" x14ac:dyDescent="0.35">
      <c r="G47" s="239"/>
      <c r="H47" s="239"/>
      <c r="I47" s="239"/>
      <c r="J47" s="239"/>
      <c r="K47" s="239"/>
      <c r="L47" s="152">
        <f>N22*L44/(I26*L34)</f>
        <v>114244.58899959872</v>
      </c>
      <c r="M47" s="152"/>
    </row>
    <row r="48" spans="7:13" x14ac:dyDescent="0.35">
      <c r="G48" s="239"/>
      <c r="H48" s="239"/>
      <c r="I48" s="239"/>
      <c r="J48" s="239"/>
      <c r="K48" s="239"/>
      <c r="L48" s="152"/>
      <c r="M48" s="15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FDB27-FEDE-4390-BB3B-2FCC9B02EBCC}">
  <dimension ref="A2:U189"/>
  <sheetViews>
    <sheetView zoomScale="80" zoomScaleNormal="80" workbookViewId="0">
      <selection activeCell="B45" sqref="B45:D45"/>
    </sheetView>
  </sheetViews>
  <sheetFormatPr defaultRowHeight="14.5" x14ac:dyDescent="0.35"/>
  <cols>
    <col min="2" max="2" width="34.81640625" customWidth="1"/>
    <col min="4" max="4" width="15.453125" bestFit="1" customWidth="1"/>
    <col min="5" max="5" width="13" bestFit="1" customWidth="1"/>
    <col min="7" max="7" width="23.453125" customWidth="1"/>
    <col min="8" max="8" width="10.81640625" customWidth="1"/>
    <col min="9" max="9" width="15.81640625" customWidth="1"/>
    <col min="10" max="10" width="10.453125" customWidth="1"/>
    <col min="11" max="11" width="14.453125" customWidth="1"/>
    <col min="12" max="12" width="11.453125" customWidth="1"/>
    <col min="13" max="13" width="52.7265625" customWidth="1"/>
    <col min="14" max="14" width="17" customWidth="1"/>
    <col min="15" max="15" width="12" bestFit="1" customWidth="1"/>
    <col min="16" max="16" width="13" bestFit="1" customWidth="1"/>
    <col min="18" max="18" width="16.1796875" customWidth="1"/>
    <col min="19" max="19" width="14" customWidth="1"/>
  </cols>
  <sheetData>
    <row r="2" spans="2:16" ht="18.5" x14ac:dyDescent="0.45">
      <c r="B2" s="323" t="s">
        <v>251</v>
      </c>
      <c r="C2" s="323"/>
      <c r="D2" s="323"/>
      <c r="E2" s="323"/>
      <c r="F2" s="323"/>
      <c r="G2" s="323"/>
      <c r="H2" s="239"/>
      <c r="I2" s="239"/>
      <c r="J2" s="239"/>
      <c r="K2" s="239"/>
      <c r="L2" s="239"/>
      <c r="M2" s="239"/>
      <c r="N2" s="239"/>
      <c r="O2" s="239"/>
      <c r="P2" s="239"/>
    </row>
    <row r="3" spans="2:16" ht="18.5" x14ac:dyDescent="0.45">
      <c r="B3" s="242" t="s">
        <v>252</v>
      </c>
      <c r="C3" s="324">
        <v>43481</v>
      </c>
      <c r="D3" s="325"/>
      <c r="E3" s="325"/>
      <c r="F3" s="325"/>
      <c r="G3" s="325"/>
      <c r="H3" s="239"/>
      <c r="I3" s="239"/>
      <c r="J3" s="239"/>
      <c r="K3" s="239"/>
      <c r="L3" s="239"/>
      <c r="M3" s="239"/>
      <c r="N3" s="239"/>
      <c r="O3" s="239"/>
      <c r="P3" s="239"/>
    </row>
    <row r="4" spans="2:16" x14ac:dyDescent="0.35">
      <c r="B4" s="241" t="s">
        <v>253</v>
      </c>
      <c r="C4" s="239" t="s">
        <v>254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</row>
    <row r="5" spans="2:16" ht="30.25" customHeight="1" x14ac:dyDescent="0.35">
      <c r="B5" s="241" t="s">
        <v>255</v>
      </c>
      <c r="C5" s="327" t="s">
        <v>256</v>
      </c>
      <c r="D5" s="327"/>
      <c r="E5" s="327"/>
      <c r="F5" s="327"/>
      <c r="G5" s="327"/>
      <c r="H5" s="239"/>
      <c r="I5" s="239"/>
      <c r="J5" s="239"/>
      <c r="K5" s="239"/>
      <c r="L5" s="239"/>
      <c r="M5" s="239"/>
      <c r="N5" s="239"/>
      <c r="O5" s="239"/>
      <c r="P5" s="239"/>
    </row>
    <row r="6" spans="2:16" x14ac:dyDescent="0.35">
      <c r="B6" s="241" t="s">
        <v>257</v>
      </c>
      <c r="C6" s="239" t="s">
        <v>258</v>
      </c>
      <c r="D6" s="239"/>
      <c r="E6" s="239"/>
      <c r="F6" s="239"/>
      <c r="G6" s="239"/>
      <c r="H6" s="239" t="s">
        <v>170</v>
      </c>
      <c r="I6" s="239"/>
      <c r="J6" s="239"/>
      <c r="K6" s="239"/>
      <c r="L6" s="239"/>
      <c r="M6" s="239"/>
      <c r="N6" s="239"/>
      <c r="O6" s="239"/>
      <c r="P6" s="239"/>
    </row>
    <row r="7" spans="2:16" x14ac:dyDescent="0.35">
      <c r="B7" s="241" t="s">
        <v>259</v>
      </c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178"/>
    </row>
    <row r="8" spans="2:16" x14ac:dyDescent="0.35">
      <c r="B8" s="241" t="s">
        <v>260</v>
      </c>
      <c r="C8" s="326" t="s">
        <v>261</v>
      </c>
      <c r="D8" s="326"/>
      <c r="E8" s="326"/>
      <c r="F8" s="326"/>
      <c r="G8" s="326"/>
      <c r="H8" s="239"/>
      <c r="I8" s="239"/>
      <c r="J8" s="239"/>
      <c r="K8" s="239"/>
      <c r="L8" s="239"/>
      <c r="M8" s="239"/>
      <c r="N8" s="239"/>
      <c r="O8" s="239"/>
      <c r="P8" s="178"/>
    </row>
    <row r="9" spans="2:16" x14ac:dyDescent="0.35">
      <c r="B9" s="241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178"/>
    </row>
    <row r="10" spans="2:16" x14ac:dyDescent="0.35">
      <c r="B10" s="241"/>
      <c r="C10" s="239"/>
      <c r="D10" s="239" t="s">
        <v>170</v>
      </c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</row>
    <row r="11" spans="2:16" x14ac:dyDescent="0.35">
      <c r="B11" s="241" t="s">
        <v>227</v>
      </c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</row>
    <row r="12" spans="2:16" s="179" customFormat="1" x14ac:dyDescent="0.35">
      <c r="B12" s="241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</row>
    <row r="13" spans="2:16" s="179" customFormat="1" x14ac:dyDescent="0.35">
      <c r="B13" s="241" t="s">
        <v>262</v>
      </c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</row>
    <row r="14" spans="2:16" s="179" customFormat="1" x14ac:dyDescent="0.35">
      <c r="B14" s="241"/>
      <c r="C14" s="178">
        <v>2.68</v>
      </c>
      <c r="D14" s="239"/>
      <c r="E14" s="239">
        <f>PI()*POWER(C14/2/1000,2)</f>
        <v>5.6410437687858334E-6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</row>
    <row r="15" spans="2:16" s="179" customFormat="1" x14ac:dyDescent="0.35">
      <c r="B15" s="241"/>
      <c r="C15" s="178">
        <v>2.68</v>
      </c>
      <c r="D15" s="239"/>
      <c r="E15" s="239">
        <f t="shared" ref="E15:E23" si="0">PI()*POWER(C15/2/1000,2)</f>
        <v>5.6410437687858334E-6</v>
      </c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</row>
    <row r="16" spans="2:16" s="179" customFormat="1" x14ac:dyDescent="0.35">
      <c r="B16" s="241"/>
      <c r="C16" s="178">
        <v>2.66</v>
      </c>
      <c r="D16" s="239"/>
      <c r="E16" s="239">
        <f t="shared" si="0"/>
        <v>5.5571632449349855E-6</v>
      </c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</row>
    <row r="17" spans="1:15" s="179" customFormat="1" x14ac:dyDescent="0.35">
      <c r="A17" s="239"/>
      <c r="B17" s="241"/>
      <c r="C17" s="178">
        <v>2.7</v>
      </c>
      <c r="D17" s="239"/>
      <c r="E17" s="239">
        <f t="shared" si="0"/>
        <v>5.7255526111673983E-6</v>
      </c>
      <c r="F17" s="239"/>
      <c r="G17" s="239"/>
      <c r="H17" s="239"/>
      <c r="I17" s="239"/>
      <c r="J17" s="239"/>
      <c r="K17" s="239"/>
      <c r="L17" s="239"/>
      <c r="M17" s="239"/>
      <c r="N17" s="239"/>
      <c r="O17" s="239"/>
    </row>
    <row r="18" spans="1:15" s="179" customFormat="1" x14ac:dyDescent="0.35">
      <c r="A18" s="239"/>
      <c r="B18" s="241"/>
      <c r="C18" s="178">
        <v>2.7</v>
      </c>
      <c r="D18" s="239"/>
      <c r="E18" s="239">
        <f t="shared" si="0"/>
        <v>5.7255526111673983E-6</v>
      </c>
      <c r="F18" s="239"/>
      <c r="G18" s="239"/>
      <c r="H18" s="239"/>
      <c r="I18" s="239"/>
      <c r="J18" s="239"/>
      <c r="K18" s="239"/>
      <c r="L18" s="239"/>
      <c r="M18" s="239"/>
      <c r="N18" s="239"/>
      <c r="O18" s="239"/>
    </row>
    <row r="19" spans="1:15" s="179" customFormat="1" x14ac:dyDescent="0.35">
      <c r="A19" s="239"/>
      <c r="B19" s="241"/>
      <c r="C19" s="178">
        <v>2.6</v>
      </c>
      <c r="D19" s="239"/>
      <c r="E19" s="239">
        <f t="shared" si="0"/>
        <v>5.3092915845667499E-6</v>
      </c>
      <c r="F19" s="239"/>
      <c r="G19" s="239"/>
      <c r="H19" s="239"/>
      <c r="I19" s="239"/>
      <c r="J19" s="239"/>
      <c r="K19" s="239"/>
      <c r="L19" s="239"/>
      <c r="M19" s="239"/>
      <c r="N19" s="239"/>
      <c r="O19" s="239"/>
    </row>
    <row r="20" spans="1:15" s="179" customFormat="1" x14ac:dyDescent="0.35">
      <c r="A20" s="239"/>
      <c r="B20" s="241"/>
      <c r="C20" s="178">
        <v>2.72</v>
      </c>
      <c r="D20" s="239"/>
      <c r="E20" s="239">
        <f t="shared" si="0"/>
        <v>5.8106897720796819E-6</v>
      </c>
      <c r="F20" s="239"/>
      <c r="G20" s="239"/>
      <c r="H20" s="239"/>
      <c r="I20" s="239"/>
      <c r="J20" s="239"/>
      <c r="K20" s="239"/>
      <c r="L20" s="239"/>
      <c r="M20" s="239"/>
      <c r="N20" s="239"/>
      <c r="O20" s="239"/>
    </row>
    <row r="21" spans="1:15" s="179" customFormat="1" x14ac:dyDescent="0.35">
      <c r="A21" s="239"/>
      <c r="B21" s="241"/>
      <c r="C21" s="178">
        <v>2.7</v>
      </c>
      <c r="D21" s="239"/>
      <c r="E21" s="239">
        <f t="shared" si="0"/>
        <v>5.7255526111673983E-6</v>
      </c>
      <c r="F21" s="239"/>
      <c r="G21" s="239"/>
      <c r="H21" s="239"/>
      <c r="I21" s="239"/>
      <c r="J21" s="239"/>
      <c r="K21" s="239"/>
      <c r="L21" s="239"/>
      <c r="M21" s="239"/>
      <c r="N21" s="239"/>
      <c r="O21" s="239"/>
    </row>
    <row r="22" spans="1:15" s="179" customFormat="1" x14ac:dyDescent="0.35">
      <c r="A22" s="239"/>
      <c r="B22" s="241"/>
      <c r="C22" s="178">
        <v>2.7</v>
      </c>
      <c r="D22" s="239"/>
      <c r="E22" s="239">
        <f t="shared" si="0"/>
        <v>5.7255526111673983E-6</v>
      </c>
      <c r="F22" s="239"/>
      <c r="G22" s="239"/>
      <c r="H22" s="239"/>
      <c r="I22" s="239"/>
      <c r="J22" s="239"/>
      <c r="K22" s="239"/>
      <c r="L22" s="239"/>
      <c r="M22" s="239"/>
      <c r="N22" s="239"/>
      <c r="O22" s="239"/>
    </row>
    <row r="23" spans="1:15" s="179" customFormat="1" x14ac:dyDescent="0.35">
      <c r="A23" s="239"/>
      <c r="B23" s="241"/>
      <c r="C23" s="178">
        <v>2.7</v>
      </c>
      <c r="D23" s="239"/>
      <c r="E23" s="239">
        <f t="shared" si="0"/>
        <v>5.7255526111673983E-6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</row>
    <row r="24" spans="1:15" s="179" customFormat="1" x14ac:dyDescent="0.35">
      <c r="A24" s="239"/>
      <c r="B24" s="241" t="s">
        <v>263</v>
      </c>
      <c r="C24" s="190">
        <f>AVERAGE(C14:C23)</f>
        <v>2.6839999999999997</v>
      </c>
      <c r="D24" s="239"/>
      <c r="E24" s="241">
        <f>AVERAGE(E14:E23)</f>
        <v>5.6586995194990076E-6</v>
      </c>
      <c r="F24" s="239"/>
      <c r="G24" s="239"/>
      <c r="H24" s="239"/>
      <c r="I24" s="239"/>
      <c r="J24" s="239"/>
      <c r="K24" s="239"/>
      <c r="L24" s="239"/>
      <c r="M24" s="239"/>
      <c r="N24" s="239"/>
      <c r="O24" s="239"/>
    </row>
    <row r="25" spans="1:15" s="179" customFormat="1" x14ac:dyDescent="0.35">
      <c r="A25" s="239"/>
      <c r="B25" s="241"/>
      <c r="C25" s="239"/>
      <c r="D25" s="241" t="s">
        <v>264</v>
      </c>
      <c r="E25" s="239">
        <f>_xlfn.STDEV.S(E14:E23)</f>
        <v>1.4081772588866837E-7</v>
      </c>
      <c r="F25" s="239"/>
      <c r="G25" s="239"/>
      <c r="H25" s="239"/>
      <c r="I25" s="239"/>
      <c r="J25" s="239"/>
      <c r="K25" s="239"/>
      <c r="L25" s="239"/>
      <c r="M25" s="239"/>
      <c r="N25" s="239"/>
      <c r="O25" s="239"/>
    </row>
    <row r="26" spans="1:15" s="179" customFormat="1" x14ac:dyDescent="0.35">
      <c r="A26" s="239" t="s">
        <v>170</v>
      </c>
      <c r="B26" s="241"/>
      <c r="C26" s="239"/>
      <c r="D26" s="241" t="s">
        <v>265</v>
      </c>
      <c r="E26" s="239">
        <f>E25/SQRT(10)</f>
        <v>4.4530474873345041E-8</v>
      </c>
      <c r="F26" s="239"/>
      <c r="G26" s="239"/>
      <c r="H26" s="239"/>
      <c r="I26" s="239"/>
      <c r="J26" s="239"/>
      <c r="K26" s="239"/>
      <c r="L26" s="239"/>
      <c r="M26" s="239"/>
      <c r="N26" s="239"/>
      <c r="O26" s="239"/>
    </row>
    <row r="27" spans="1:15" ht="29" x14ac:dyDescent="0.35">
      <c r="A27" s="239"/>
      <c r="B27" s="239"/>
      <c r="C27" s="239"/>
      <c r="D27" s="239"/>
      <c r="E27" s="239"/>
      <c r="F27" s="239"/>
      <c r="G27" s="65" t="s">
        <v>266</v>
      </c>
      <c r="H27" s="244" t="s">
        <v>180</v>
      </c>
      <c r="I27" s="272" t="s">
        <v>267</v>
      </c>
      <c r="J27" s="272"/>
      <c r="K27" s="272"/>
      <c r="L27" s="272"/>
      <c r="M27" s="239"/>
      <c r="N27" s="239"/>
      <c r="O27" s="239"/>
    </row>
    <row r="28" spans="1:15" x14ac:dyDescent="0.35">
      <c r="A28" s="239"/>
      <c r="B28" s="239" t="s">
        <v>228</v>
      </c>
      <c r="C28" s="239">
        <v>2.7</v>
      </c>
      <c r="D28" s="239"/>
      <c r="E28" s="239"/>
      <c r="F28" s="239"/>
      <c r="G28" s="239" t="s">
        <v>268</v>
      </c>
      <c r="H28" s="239"/>
      <c r="I28" s="239"/>
      <c r="J28" s="239"/>
      <c r="K28" s="239"/>
      <c r="L28" s="239"/>
      <c r="M28" s="239"/>
      <c r="N28" s="239"/>
      <c r="O28" s="239"/>
    </row>
    <row r="29" spans="1:15" x14ac:dyDescent="0.35">
      <c r="A29" s="239"/>
      <c r="B29" s="239" t="s">
        <v>243</v>
      </c>
      <c r="C29" s="239">
        <f>C28/1000/2</f>
        <v>1.3500000000000001E-3</v>
      </c>
      <c r="D29" s="239"/>
      <c r="E29" s="239"/>
      <c r="F29" s="239"/>
      <c r="G29" s="322" t="s">
        <v>269</v>
      </c>
      <c r="H29" s="322"/>
      <c r="I29" s="322"/>
      <c r="J29" s="322"/>
      <c r="K29" s="239"/>
      <c r="L29" s="239"/>
      <c r="M29" s="239"/>
      <c r="N29" s="239"/>
      <c r="O29" s="239"/>
    </row>
    <row r="30" spans="1:15" x14ac:dyDescent="0.35">
      <c r="A30" s="239"/>
      <c r="B30" s="239"/>
      <c r="C30" s="239"/>
      <c r="D30" s="239"/>
      <c r="E30" s="239"/>
      <c r="F30" s="239"/>
      <c r="G30" s="65"/>
      <c r="H30" s="239" t="s">
        <v>231</v>
      </c>
      <c r="I30" s="239" t="s">
        <v>270</v>
      </c>
      <c r="J30" s="239" t="s">
        <v>232</v>
      </c>
      <c r="K30" s="239" t="s">
        <v>270</v>
      </c>
      <c r="L30" s="239" t="s">
        <v>233</v>
      </c>
      <c r="M30" s="239"/>
      <c r="N30" s="239"/>
      <c r="O30" s="239"/>
    </row>
    <row r="31" spans="1:15" x14ac:dyDescent="0.35">
      <c r="A31" s="239"/>
      <c r="B31" s="239"/>
      <c r="C31" s="239"/>
      <c r="D31" s="239"/>
      <c r="E31" s="239" t="s">
        <v>87</v>
      </c>
      <c r="F31" s="239"/>
      <c r="G31" s="239"/>
      <c r="H31" s="244">
        <v>7.9195652000000001</v>
      </c>
      <c r="I31" s="181">
        <v>1.57114765E-3</v>
      </c>
      <c r="J31" s="181">
        <v>1.23682401E-3</v>
      </c>
      <c r="K31" s="181">
        <v>4.6770177100000001E-4</v>
      </c>
      <c r="L31" s="244">
        <f>H31-J31</f>
        <v>7.9183283759899998</v>
      </c>
      <c r="M31" s="239"/>
      <c r="N31" s="239"/>
      <c r="O31" s="239" t="s">
        <v>170</v>
      </c>
    </row>
    <row r="32" spans="1:15" x14ac:dyDescent="0.35">
      <c r="A32" s="239"/>
      <c r="B32" s="239" t="s">
        <v>271</v>
      </c>
      <c r="C32" s="178">
        <v>25</v>
      </c>
      <c r="D32" s="178">
        <v>25.3</v>
      </c>
      <c r="E32" s="178">
        <f>AVERAGE(C32:D32)</f>
        <v>25.15</v>
      </c>
      <c r="F32" s="239"/>
      <c r="G32" s="239"/>
      <c r="H32" s="244">
        <v>7.95099205</v>
      </c>
      <c r="I32" s="181">
        <v>2.5243724000000001E-3</v>
      </c>
      <c r="J32" s="181">
        <v>1.18330211E-3</v>
      </c>
      <c r="K32" s="181">
        <v>4.7022001800000002E-4</v>
      </c>
      <c r="L32" s="244">
        <f>H32-J32</f>
        <v>7.9498087478899997</v>
      </c>
      <c r="M32" s="184" t="s">
        <v>272</v>
      </c>
      <c r="N32" s="239">
        <f>L31/1000</f>
        <v>7.9183283759900001E-3</v>
      </c>
      <c r="O32" s="239"/>
    </row>
    <row r="33" spans="2:19" x14ac:dyDescent="0.35">
      <c r="B33" s="239" t="s">
        <v>273</v>
      </c>
      <c r="C33" s="178">
        <v>58.3</v>
      </c>
      <c r="D33" s="178">
        <v>56.8</v>
      </c>
      <c r="E33" s="178">
        <f>AVERAGE(C33:D33)</f>
        <v>57.55</v>
      </c>
      <c r="F33" s="239"/>
      <c r="G33" s="239"/>
      <c r="H33" s="244"/>
      <c r="I33" s="244"/>
      <c r="J33" s="244"/>
      <c r="K33" s="149" t="s">
        <v>234</v>
      </c>
      <c r="L33" s="244">
        <f>AVERAGE(L31:L32)</f>
        <v>7.9340685619400002</v>
      </c>
      <c r="M33" s="184" t="s">
        <v>274</v>
      </c>
      <c r="N33" s="239">
        <f>N32/G36</f>
        <v>7.9226065835451149E-6</v>
      </c>
      <c r="O33" s="239"/>
      <c r="P33" s="239"/>
      <c r="Q33" s="239"/>
      <c r="R33" s="239"/>
      <c r="S33" s="239"/>
    </row>
    <row r="34" spans="2:19" x14ac:dyDescent="0.35">
      <c r="B34" s="239"/>
      <c r="C34" s="239"/>
      <c r="D34" s="239"/>
      <c r="E34" s="239"/>
      <c r="F34" s="239"/>
      <c r="G34" s="241" t="s">
        <v>139</v>
      </c>
      <c r="H34" s="239"/>
      <c r="I34" s="239"/>
      <c r="J34" s="239"/>
      <c r="K34" s="239"/>
      <c r="L34" s="239"/>
      <c r="M34" s="184" t="s">
        <v>275</v>
      </c>
      <c r="N34" s="239">
        <f>N33*1000</f>
        <v>7.9226065835451154E-3</v>
      </c>
      <c r="O34" s="239"/>
      <c r="P34" s="239"/>
      <c r="Q34" s="239"/>
      <c r="R34" s="239"/>
      <c r="S34" s="239"/>
    </row>
    <row r="35" spans="2:19" ht="29" x14ac:dyDescent="0.35">
      <c r="B35" s="239"/>
      <c r="C35" s="239"/>
      <c r="D35" s="239"/>
      <c r="E35" s="239"/>
      <c r="F35" s="239"/>
      <c r="G35" s="65" t="s">
        <v>276</v>
      </c>
      <c r="H35" s="239" t="s">
        <v>231</v>
      </c>
      <c r="I35" s="239" t="s">
        <v>270</v>
      </c>
      <c r="J35" s="239" t="s">
        <v>232</v>
      </c>
      <c r="K35" s="239" t="s">
        <v>270</v>
      </c>
      <c r="L35" s="239" t="s">
        <v>233</v>
      </c>
      <c r="M35" s="239" t="s">
        <v>170</v>
      </c>
      <c r="N35" s="239"/>
      <c r="O35" s="239"/>
      <c r="P35" s="239"/>
      <c r="Q35" s="239"/>
      <c r="R35" s="239"/>
      <c r="S35" s="239"/>
    </row>
    <row r="36" spans="2:19" x14ac:dyDescent="0.35">
      <c r="B36" s="239"/>
      <c r="C36" s="239"/>
      <c r="D36" s="239"/>
      <c r="E36" s="239"/>
      <c r="F36" s="239"/>
      <c r="G36" s="244">
        <v>999.46</v>
      </c>
      <c r="H36" s="244">
        <v>1.8985274400000001</v>
      </c>
      <c r="I36" s="181">
        <v>4.6947263599999997E-4</v>
      </c>
      <c r="J36" s="181">
        <v>1.20588681E-3</v>
      </c>
      <c r="K36" s="181">
        <v>6.8934448700000005E-4</v>
      </c>
      <c r="L36" s="244">
        <f>H36-J36</f>
        <v>1.8973215531900001</v>
      </c>
      <c r="M36" s="239"/>
      <c r="N36" s="239"/>
      <c r="O36" s="239"/>
      <c r="P36" s="239"/>
      <c r="Q36" s="239"/>
      <c r="R36" s="239"/>
      <c r="S36" s="239"/>
    </row>
    <row r="37" spans="2:19" x14ac:dyDescent="0.35">
      <c r="B37" s="239"/>
      <c r="C37" s="239"/>
      <c r="D37" s="239"/>
      <c r="E37" s="239"/>
      <c r="F37" s="239"/>
      <c r="G37" s="244"/>
      <c r="H37" s="244">
        <v>1.9239182399999999</v>
      </c>
      <c r="I37" s="181">
        <v>1.8983356700000001E-3</v>
      </c>
      <c r="J37" s="181">
        <v>2.45566925E-3</v>
      </c>
      <c r="K37" s="181">
        <v>1.50997006E-5</v>
      </c>
      <c r="L37" s="244">
        <f>H37-J37</f>
        <v>1.9214625707499999</v>
      </c>
      <c r="M37" s="239"/>
      <c r="N37" s="239"/>
      <c r="O37" s="239"/>
      <c r="P37" s="239"/>
      <c r="Q37" s="239"/>
      <c r="R37" s="239"/>
      <c r="S37" s="239"/>
    </row>
    <row r="38" spans="2:19" x14ac:dyDescent="0.35">
      <c r="B38" s="239"/>
      <c r="C38" s="239"/>
      <c r="D38" s="239"/>
      <c r="E38" s="239"/>
      <c r="F38" s="239"/>
      <c r="G38" s="244"/>
      <c r="H38" s="244"/>
      <c r="I38" s="3"/>
      <c r="J38" s="3"/>
      <c r="K38" s="149" t="s">
        <v>234</v>
      </c>
      <c r="L38" s="244">
        <f>AVERAGE(L36:L37)</f>
        <v>1.90939206197</v>
      </c>
      <c r="M38" s="184" t="s">
        <v>272</v>
      </c>
      <c r="N38" s="239">
        <f>L38/1000</f>
        <v>1.9093920619700001E-3</v>
      </c>
      <c r="O38" s="239"/>
      <c r="P38" s="239"/>
      <c r="Q38" s="239"/>
      <c r="R38" s="239"/>
      <c r="S38" s="239"/>
    </row>
    <row r="39" spans="2:19" ht="18" customHeight="1" x14ac:dyDescent="0.35">
      <c r="B39" s="239"/>
      <c r="C39" s="239"/>
      <c r="D39" s="239"/>
      <c r="E39" s="239"/>
      <c r="F39" s="239"/>
      <c r="G39" s="244"/>
      <c r="H39" s="244"/>
      <c r="I39" s="244"/>
      <c r="J39" s="244"/>
      <c r="K39" s="244" t="s">
        <v>218</v>
      </c>
      <c r="L39" s="244">
        <f>L38/G36</f>
        <v>1.910423690763012E-3</v>
      </c>
      <c r="M39" s="184" t="s">
        <v>274</v>
      </c>
      <c r="N39" s="239">
        <f>N38/G36</f>
        <v>1.9104236907630121E-6</v>
      </c>
      <c r="O39" s="239"/>
      <c r="P39" s="239"/>
      <c r="Q39" s="239"/>
      <c r="R39" s="239"/>
      <c r="S39" s="239"/>
    </row>
    <row r="40" spans="2:19" ht="14.25" customHeight="1" x14ac:dyDescent="0.35">
      <c r="B40" s="239"/>
      <c r="C40" s="239"/>
      <c r="D40" s="239"/>
      <c r="E40" s="239"/>
      <c r="F40" s="239"/>
      <c r="G40" s="239"/>
      <c r="H40" s="239"/>
      <c r="I40" s="239"/>
      <c r="J40" s="239"/>
      <c r="K40" s="239" t="s">
        <v>277</v>
      </c>
      <c r="L40" s="239">
        <f>L39*1000</f>
        <v>1.9104236907630119</v>
      </c>
      <c r="M40" s="184" t="s">
        <v>275</v>
      </c>
      <c r="N40" s="239">
        <f>N39*1000</f>
        <v>1.910423690763012E-3</v>
      </c>
      <c r="O40" s="239"/>
      <c r="P40" s="239"/>
      <c r="Q40" s="239"/>
      <c r="R40" s="239"/>
      <c r="S40" s="239"/>
    </row>
    <row r="41" spans="2:19" ht="78.75" customHeight="1" x14ac:dyDescent="0.35">
      <c r="B41" s="239"/>
      <c r="C41" s="239"/>
      <c r="D41" s="239"/>
      <c r="E41" s="239"/>
      <c r="F41" s="239"/>
      <c r="G41" s="264" t="s">
        <v>219</v>
      </c>
      <c r="H41" s="244">
        <v>0.50700000000000001</v>
      </c>
      <c r="I41" s="244"/>
      <c r="J41" s="244"/>
      <c r="K41" s="149" t="s">
        <v>46</v>
      </c>
      <c r="L41" s="244">
        <f>L39/H41</f>
        <v>3.7680940646213253E-3</v>
      </c>
      <c r="M41" s="186" t="s">
        <v>278</v>
      </c>
      <c r="N41" s="266">
        <f>L41/D45</f>
        <v>665.89400119887136</v>
      </c>
      <c r="O41" s="239">
        <f>L41*D45</f>
        <v>2.1322512072899757E-8</v>
      </c>
      <c r="P41" s="239">
        <f>N39/H41</f>
        <v>3.7680940646213254E-6</v>
      </c>
      <c r="Q41" s="330" t="s">
        <v>279</v>
      </c>
      <c r="R41" s="330"/>
      <c r="S41" s="266">
        <f>P41/D45</f>
        <v>0.66589400119887143</v>
      </c>
    </row>
    <row r="42" spans="2:19" x14ac:dyDescent="0.35"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65" t="s">
        <v>280</v>
      </c>
      <c r="N42" s="266">
        <f>H41*D45</f>
        <v>2.8689606563859967E-6</v>
      </c>
      <c r="O42" s="239"/>
      <c r="P42" s="239">
        <f>N39/N42</f>
        <v>0.66589400119887154</v>
      </c>
      <c r="Q42" s="239"/>
      <c r="R42" s="239"/>
      <c r="S42" s="239"/>
    </row>
    <row r="43" spans="2:19" x14ac:dyDescent="0.35"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  <c r="M43" s="65" t="s">
        <v>281</v>
      </c>
      <c r="N43" s="1">
        <f>L38/N41</f>
        <v>2.867411417631549E-3</v>
      </c>
      <c r="O43" s="239" t="e">
        <f>N38/Q41</f>
        <v>#VALUE!</v>
      </c>
      <c r="P43" s="239"/>
      <c r="Q43" s="239"/>
      <c r="R43" s="239"/>
      <c r="S43" s="239"/>
    </row>
    <row r="45" spans="2:19" ht="18.5" x14ac:dyDescent="0.45">
      <c r="B45" s="240" t="s">
        <v>237</v>
      </c>
      <c r="C45" s="240"/>
      <c r="D45" s="240">
        <f>E24</f>
        <v>5.6586995194990076E-6</v>
      </c>
      <c r="E45" s="239"/>
      <c r="F45" s="239"/>
      <c r="G45" s="239"/>
      <c r="H45" s="239"/>
      <c r="I45" s="239"/>
      <c r="J45" s="239"/>
      <c r="K45" s="239"/>
      <c r="L45" s="239"/>
      <c r="M45" s="239" t="s">
        <v>282</v>
      </c>
      <c r="N45" s="239">
        <f>N42*L33/L38</f>
        <v>1.1921349733584744E-5</v>
      </c>
      <c r="O45" s="239"/>
      <c r="P45" s="239"/>
      <c r="Q45" s="239"/>
      <c r="R45" s="239"/>
      <c r="S45" s="239"/>
    </row>
    <row r="46" spans="2:19" x14ac:dyDescent="0.35"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 t="s">
        <v>283</v>
      </c>
      <c r="N46" s="239">
        <f>N45*G36</f>
        <v>1.1914912204728609E-2</v>
      </c>
      <c r="O46" s="239">
        <f>L33/N41</f>
        <v>1.1914912204728611E-2</v>
      </c>
      <c r="P46" s="239"/>
      <c r="Q46" s="239"/>
      <c r="R46" s="239"/>
      <c r="S46" s="239"/>
    </row>
    <row r="47" spans="2:19" x14ac:dyDescent="0.35"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187" t="s">
        <v>284</v>
      </c>
      <c r="N47" s="187">
        <f>N46*1000</f>
        <v>11.914912204728608</v>
      </c>
      <c r="O47" s="239">
        <f>O46*1000</f>
        <v>11.91491220472861</v>
      </c>
      <c r="P47" s="239"/>
      <c r="Q47" s="239"/>
      <c r="R47" s="239"/>
      <c r="S47" s="239"/>
    </row>
    <row r="48" spans="2:19" ht="29" x14ac:dyDescent="0.35"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188" t="s">
        <v>285</v>
      </c>
      <c r="N48" s="189">
        <f>N47/1.0021</f>
        <v>11.889943323748737</v>
      </c>
      <c r="O48" s="239"/>
      <c r="P48" s="239"/>
      <c r="Q48" s="239"/>
      <c r="R48" s="239">
        <f>(100/1000000)*10000</f>
        <v>1</v>
      </c>
      <c r="S48" s="239"/>
    </row>
    <row r="50" spans="2:19" ht="18.5" x14ac:dyDescent="0.45">
      <c r="B50" s="331" t="s">
        <v>286</v>
      </c>
      <c r="C50" s="331"/>
      <c r="D50" s="331"/>
      <c r="E50" s="331"/>
      <c r="F50" s="239"/>
      <c r="G50" s="239" t="s">
        <v>170</v>
      </c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</row>
    <row r="51" spans="2:19" ht="18.5" x14ac:dyDescent="0.45">
      <c r="B51" s="242" t="s">
        <v>252</v>
      </c>
      <c r="C51" s="324" t="s">
        <v>287</v>
      </c>
      <c r="D51" s="324"/>
      <c r="E51" s="324"/>
      <c r="F51" s="324"/>
      <c r="G51" s="324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</row>
    <row r="52" spans="2:19" x14ac:dyDescent="0.35">
      <c r="B52" s="326" t="s">
        <v>288</v>
      </c>
      <c r="C52" s="326"/>
      <c r="D52" s="326"/>
      <c r="E52" s="326"/>
      <c r="F52" s="326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  <c r="S52" s="239"/>
    </row>
    <row r="53" spans="2:19" x14ac:dyDescent="0.35">
      <c r="B53" s="326" t="s">
        <v>289</v>
      </c>
      <c r="C53" s="326"/>
      <c r="D53" s="326"/>
      <c r="E53" s="326"/>
      <c r="F53" s="326"/>
      <c r="G53" s="326"/>
      <c r="H53" s="326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</row>
    <row r="54" spans="2:19" x14ac:dyDescent="0.35">
      <c r="B54" s="326" t="s">
        <v>290</v>
      </c>
      <c r="C54" s="326"/>
      <c r="D54" s="326"/>
      <c r="E54" s="326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  <c r="R54" s="239"/>
      <c r="S54" s="239"/>
    </row>
    <row r="55" spans="2:19" x14ac:dyDescent="0.35">
      <c r="B55" s="239"/>
      <c r="C55" s="239"/>
      <c r="D55" s="239"/>
      <c r="E55" s="326" t="s">
        <v>291</v>
      </c>
      <c r="F55" s="326"/>
      <c r="G55" s="326"/>
      <c r="H55" s="239">
        <v>1</v>
      </c>
      <c r="I55" s="239" t="s">
        <v>292</v>
      </c>
      <c r="J55" s="239"/>
      <c r="K55" s="239"/>
      <c r="L55" s="239"/>
      <c r="M55" s="239"/>
      <c r="N55" s="239"/>
      <c r="O55" s="239"/>
      <c r="P55" s="239"/>
      <c r="Q55" s="239"/>
      <c r="R55" s="239"/>
      <c r="S55" s="239"/>
    </row>
    <row r="56" spans="2:19" x14ac:dyDescent="0.35">
      <c r="B56" s="239"/>
      <c r="C56" s="239"/>
      <c r="D56" s="239"/>
      <c r="E56" s="326" t="s">
        <v>293</v>
      </c>
      <c r="F56" s="326"/>
      <c r="G56" s="326"/>
      <c r="H56" s="239"/>
      <c r="I56" s="239" t="s">
        <v>294</v>
      </c>
      <c r="J56" s="239"/>
      <c r="K56" s="239"/>
      <c r="L56" s="239"/>
      <c r="M56" s="239"/>
      <c r="N56" s="239"/>
      <c r="O56" s="239"/>
      <c r="P56" s="239"/>
      <c r="Q56" s="239"/>
      <c r="R56" s="239"/>
      <c r="S56" s="239"/>
    </row>
    <row r="58" spans="2:19" ht="64.5" customHeight="1" x14ac:dyDescent="0.35">
      <c r="B58" s="180" t="s">
        <v>255</v>
      </c>
      <c r="C58" s="273" t="s">
        <v>295</v>
      </c>
      <c r="D58" s="273"/>
      <c r="E58" s="273"/>
      <c r="F58" s="273"/>
      <c r="G58" s="273"/>
      <c r="H58" s="273"/>
      <c r="I58" s="332" t="s">
        <v>296</v>
      </c>
      <c r="J58" s="332"/>
      <c r="K58" s="332"/>
      <c r="L58" s="267" t="s">
        <v>297</v>
      </c>
      <c r="M58" s="65"/>
      <c r="N58" s="239"/>
      <c r="O58" s="239"/>
      <c r="P58" s="239"/>
      <c r="Q58" s="239"/>
      <c r="R58" s="239"/>
      <c r="S58" s="239"/>
    </row>
    <row r="59" spans="2:19" ht="45.75" customHeight="1" x14ac:dyDescent="0.35">
      <c r="B59" s="180" t="s">
        <v>298</v>
      </c>
      <c r="C59" s="332" t="s">
        <v>299</v>
      </c>
      <c r="D59" s="332"/>
      <c r="E59" s="332"/>
      <c r="F59" s="332"/>
      <c r="G59" s="332"/>
      <c r="H59" s="332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39"/>
    </row>
    <row r="61" spans="2:19" ht="15" thickBot="1" x14ac:dyDescent="0.4">
      <c r="B61" s="239" t="s">
        <v>170</v>
      </c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  <c r="Q61" s="239"/>
      <c r="R61" s="239"/>
      <c r="S61" s="239">
        <f>23500/5</f>
        <v>4700</v>
      </c>
    </row>
    <row r="62" spans="2:19" x14ac:dyDescent="0.35">
      <c r="B62" s="239"/>
      <c r="C62" s="239"/>
      <c r="D62" s="239"/>
      <c r="E62" s="239"/>
      <c r="F62" s="239"/>
      <c r="G62" s="159" t="s">
        <v>300</v>
      </c>
      <c r="H62" s="160"/>
      <c r="I62" s="160"/>
      <c r="J62" s="160"/>
      <c r="K62" s="160"/>
      <c r="L62" s="161"/>
      <c r="M62" s="239"/>
      <c r="N62" s="239"/>
      <c r="O62" s="239"/>
      <c r="P62" s="239"/>
      <c r="Q62" s="239"/>
      <c r="R62" s="239"/>
      <c r="S62" s="239"/>
    </row>
    <row r="63" spans="2:19" x14ac:dyDescent="0.35">
      <c r="B63" s="241" t="s">
        <v>301</v>
      </c>
      <c r="C63" s="239"/>
      <c r="D63" s="239"/>
      <c r="E63" s="239"/>
      <c r="F63" s="239"/>
      <c r="G63" s="162" t="s">
        <v>302</v>
      </c>
      <c r="H63" s="72" t="s">
        <v>212</v>
      </c>
      <c r="I63" s="72" t="s">
        <v>303</v>
      </c>
      <c r="J63" s="72" t="s">
        <v>214</v>
      </c>
      <c r="K63" s="72" t="s">
        <v>303</v>
      </c>
      <c r="L63" s="163" t="s">
        <v>215</v>
      </c>
      <c r="M63" s="239"/>
      <c r="N63" s="239"/>
      <c r="O63" s="239"/>
      <c r="P63" s="239"/>
      <c r="Q63" s="239"/>
      <c r="R63" s="239"/>
      <c r="S63" s="239"/>
    </row>
    <row r="64" spans="2:19" x14ac:dyDescent="0.35">
      <c r="B64" s="239" t="s">
        <v>304</v>
      </c>
      <c r="C64" s="239" t="s">
        <v>305</v>
      </c>
      <c r="D64" s="239"/>
      <c r="E64" s="239"/>
      <c r="F64" s="239"/>
      <c r="G64" s="162"/>
      <c r="H64" s="72">
        <v>175.75515999999999</v>
      </c>
      <c r="I64" s="72">
        <v>1.1419999999999999</v>
      </c>
      <c r="J64" s="72"/>
      <c r="K64" s="72"/>
      <c r="L64" s="163">
        <f>H64-J64</f>
        <v>175.75515999999999</v>
      </c>
      <c r="M64" s="239"/>
      <c r="N64" s="239"/>
      <c r="O64" s="239"/>
      <c r="P64" s="239"/>
      <c r="Q64" s="239"/>
      <c r="R64" s="239"/>
      <c r="S64" s="239"/>
    </row>
    <row r="65" spans="1:19" x14ac:dyDescent="0.35">
      <c r="A65" s="239" t="s">
        <v>170</v>
      </c>
      <c r="B65" s="239" t="s">
        <v>306</v>
      </c>
      <c r="C65" s="239" t="s">
        <v>307</v>
      </c>
      <c r="D65" s="239"/>
      <c r="E65" s="239"/>
      <c r="F65" s="239"/>
      <c r="G65" s="162"/>
      <c r="H65" s="72">
        <v>175.05547999999999</v>
      </c>
      <c r="I65" s="72">
        <v>0.60980000000000001</v>
      </c>
      <c r="J65" s="72"/>
      <c r="K65" s="72"/>
      <c r="L65" s="163">
        <f t="shared" ref="L65:L67" si="1">H65-J65</f>
        <v>175.05547999999999</v>
      </c>
      <c r="M65" s="239"/>
      <c r="N65" s="239"/>
      <c r="O65" s="239"/>
      <c r="P65" s="239"/>
      <c r="Q65" s="239"/>
      <c r="R65" s="239"/>
      <c r="S65" s="239"/>
    </row>
    <row r="66" spans="1:19" x14ac:dyDescent="0.35">
      <c r="A66" s="239"/>
      <c r="B66" s="239" t="s">
        <v>308</v>
      </c>
      <c r="C66" s="239"/>
      <c r="D66" s="239"/>
      <c r="E66" s="239"/>
      <c r="F66" s="239"/>
      <c r="G66" s="162"/>
      <c r="H66" s="72">
        <v>174.99254999999999</v>
      </c>
      <c r="I66" s="72">
        <v>8.6690000000000003E-2</v>
      </c>
      <c r="J66" s="72"/>
      <c r="K66" s="72"/>
      <c r="L66" s="163">
        <f t="shared" si="1"/>
        <v>174.99254999999999</v>
      </c>
      <c r="M66" s="184" t="s">
        <v>309</v>
      </c>
      <c r="N66" s="239">
        <v>20000</v>
      </c>
      <c r="O66" s="328" t="s">
        <v>310</v>
      </c>
      <c r="P66" s="328"/>
      <c r="Q66" s="239"/>
      <c r="R66" s="239"/>
      <c r="S66" s="239"/>
    </row>
    <row r="67" spans="1:19" x14ac:dyDescent="0.35">
      <c r="A67" s="239"/>
      <c r="B67" s="239" t="s">
        <v>311</v>
      </c>
      <c r="C67" s="239" t="s">
        <v>312</v>
      </c>
      <c r="D67" s="239"/>
      <c r="E67" s="239"/>
      <c r="F67" s="239"/>
      <c r="G67" s="162"/>
      <c r="H67" s="169"/>
      <c r="I67" s="169"/>
      <c r="J67" s="72"/>
      <c r="K67" s="72"/>
      <c r="L67" s="163">
        <f t="shared" si="1"/>
        <v>0</v>
      </c>
      <c r="M67" s="184" t="s">
        <v>313</v>
      </c>
      <c r="N67" s="239">
        <f>AVERAGE(L68,L90,L112,L134,L156,S157,S134,S112,S88)</f>
        <v>176.55440005555553</v>
      </c>
      <c r="O67" s="239"/>
      <c r="P67" s="239"/>
      <c r="Q67" s="239"/>
      <c r="R67" s="239"/>
      <c r="S67" s="239"/>
    </row>
    <row r="68" spans="1:19" x14ac:dyDescent="0.35">
      <c r="A68" s="239"/>
      <c r="B68" s="239" t="s">
        <v>11</v>
      </c>
      <c r="C68" s="239" t="s">
        <v>35</v>
      </c>
      <c r="D68" s="239"/>
      <c r="E68" s="239"/>
      <c r="F68" s="239"/>
      <c r="G68" s="162"/>
      <c r="H68" s="72"/>
      <c r="I68" s="72"/>
      <c r="J68" s="72"/>
      <c r="K68" s="72" t="s">
        <v>216</v>
      </c>
      <c r="L68" s="163">
        <f>AVERAGE(L64:L65)</f>
        <v>175.40531999999999</v>
      </c>
      <c r="M68" s="184" t="s">
        <v>314</v>
      </c>
      <c r="N68" s="239">
        <f>(N67/1000)/N66</f>
        <v>8.8277200027777767E-6</v>
      </c>
      <c r="O68" s="239"/>
      <c r="P68" s="239"/>
      <c r="Q68" s="239"/>
      <c r="R68" s="239"/>
      <c r="S68" s="239"/>
    </row>
    <row r="69" spans="1:19" x14ac:dyDescent="0.35">
      <c r="A69" s="239"/>
      <c r="B69" s="239"/>
      <c r="C69" s="239"/>
      <c r="D69" s="239"/>
      <c r="E69" s="239"/>
      <c r="F69" s="239"/>
      <c r="G69" s="162"/>
      <c r="H69" s="72"/>
      <c r="I69" s="72"/>
      <c r="J69" s="72"/>
      <c r="K69" s="72"/>
      <c r="L69" s="163"/>
      <c r="M69" s="184" t="s">
        <v>315</v>
      </c>
      <c r="N69" s="239">
        <f>N68/N34</f>
        <v>1.1142443979374843E-3</v>
      </c>
      <c r="O69" s="239"/>
      <c r="P69" s="239"/>
      <c r="Q69" s="239"/>
      <c r="R69" s="239"/>
      <c r="S69" s="239"/>
    </row>
    <row r="70" spans="1:19" x14ac:dyDescent="0.35">
      <c r="A70" s="239"/>
      <c r="B70" s="239"/>
      <c r="C70" s="239"/>
      <c r="D70" s="239"/>
      <c r="E70" s="239"/>
      <c r="F70" s="239"/>
      <c r="G70" s="162"/>
      <c r="H70" s="72"/>
      <c r="I70" s="72"/>
      <c r="J70" s="72"/>
      <c r="K70" s="72"/>
      <c r="L70" s="163"/>
      <c r="M70" s="239"/>
      <c r="N70" s="326" t="s">
        <v>316</v>
      </c>
      <c r="O70" s="326"/>
      <c r="P70" s="326"/>
      <c r="Q70" s="326"/>
      <c r="R70" s="326"/>
      <c r="S70" s="103">
        <v>6.9999999999999999E-4</v>
      </c>
    </row>
    <row r="71" spans="1:19" x14ac:dyDescent="0.35">
      <c r="A71" s="239"/>
      <c r="B71" s="239"/>
      <c r="C71" s="239"/>
      <c r="D71" s="239"/>
      <c r="E71" s="239"/>
      <c r="F71" s="239"/>
      <c r="G71" s="162"/>
      <c r="H71" s="72"/>
      <c r="I71" s="72"/>
      <c r="J71" s="72"/>
      <c r="K71" s="72"/>
      <c r="L71" s="163" t="s">
        <v>170</v>
      </c>
      <c r="M71" s="239"/>
      <c r="N71" s="239"/>
      <c r="O71" s="239"/>
      <c r="P71" s="239"/>
      <c r="Q71" s="239"/>
      <c r="R71" s="239"/>
      <c r="S71" s="239"/>
    </row>
    <row r="72" spans="1:19" ht="37.5" customHeight="1" x14ac:dyDescent="0.35">
      <c r="A72" s="239"/>
      <c r="B72" s="239"/>
      <c r="C72" s="239"/>
      <c r="D72" s="239"/>
      <c r="E72" s="239"/>
      <c r="F72" s="239"/>
      <c r="G72" s="173" t="s">
        <v>317</v>
      </c>
      <c r="H72" s="72"/>
      <c r="I72" s="72"/>
      <c r="J72" s="72"/>
      <c r="K72" s="72"/>
      <c r="L72" s="163"/>
      <c r="M72" s="239" t="s">
        <v>170</v>
      </c>
      <c r="N72" s="239"/>
      <c r="O72" s="239"/>
      <c r="P72" s="239"/>
      <c r="Q72" s="239"/>
      <c r="R72" s="239"/>
      <c r="S72" s="239"/>
    </row>
    <row r="73" spans="1:19" x14ac:dyDescent="0.35">
      <c r="A73" s="239"/>
      <c r="B73" s="239"/>
      <c r="C73" s="239"/>
      <c r="D73" s="239"/>
      <c r="E73" s="239"/>
      <c r="F73" s="239"/>
      <c r="G73" s="162" t="s">
        <v>318</v>
      </c>
      <c r="H73" s="72" t="s">
        <v>212</v>
      </c>
      <c r="I73" s="72" t="s">
        <v>303</v>
      </c>
      <c r="J73" s="72" t="s">
        <v>214</v>
      </c>
      <c r="K73" s="72" t="s">
        <v>303</v>
      </c>
      <c r="L73" s="163" t="s">
        <v>215</v>
      </c>
      <c r="M73" s="239"/>
      <c r="N73" s="239"/>
      <c r="O73" s="239"/>
      <c r="P73" s="239"/>
      <c r="Q73" s="239"/>
      <c r="R73" s="239"/>
      <c r="S73" s="239"/>
    </row>
    <row r="74" spans="1:19" x14ac:dyDescent="0.35">
      <c r="A74" s="239"/>
      <c r="B74" s="239"/>
      <c r="C74" s="239"/>
      <c r="D74" s="239"/>
      <c r="E74" s="239"/>
      <c r="F74" s="239"/>
      <c r="G74" s="162"/>
      <c r="H74" s="72">
        <v>539.45731000000001</v>
      </c>
      <c r="I74" s="72">
        <v>0.1118</v>
      </c>
      <c r="J74" s="72"/>
      <c r="K74" s="72"/>
      <c r="L74" s="163">
        <f>H74-J74</f>
        <v>539.45731000000001</v>
      </c>
      <c r="M74" s="239"/>
      <c r="N74" s="239"/>
      <c r="O74" s="239"/>
      <c r="P74" s="239"/>
      <c r="Q74" s="239"/>
      <c r="R74" s="239"/>
      <c r="S74" s="239"/>
    </row>
    <row r="75" spans="1:19" x14ac:dyDescent="0.35">
      <c r="A75" s="239"/>
      <c r="B75" s="239"/>
      <c r="C75" s="239"/>
      <c r="D75" s="239"/>
      <c r="E75" s="239"/>
      <c r="F75" s="239"/>
      <c r="G75" s="162"/>
      <c r="H75" s="72">
        <v>539.43948</v>
      </c>
      <c r="I75" s="72">
        <v>0.75170000000000003</v>
      </c>
      <c r="J75" s="72"/>
      <c r="K75" s="72"/>
      <c r="L75" s="163">
        <f t="shared" ref="L75:L77" si="2">H75-J75</f>
        <v>539.43948</v>
      </c>
      <c r="M75" s="239"/>
      <c r="N75" s="239"/>
      <c r="O75" s="239"/>
      <c r="P75" s="239"/>
      <c r="Q75" s="239"/>
      <c r="R75" s="239"/>
      <c r="S75" s="239"/>
    </row>
    <row r="76" spans="1:19" x14ac:dyDescent="0.35">
      <c r="A76" s="239"/>
      <c r="B76" s="239"/>
      <c r="C76" s="239"/>
      <c r="D76" s="239"/>
      <c r="E76" s="239"/>
      <c r="F76" s="239"/>
      <c r="G76" s="162"/>
      <c r="H76" s="72">
        <v>537.69869000000006</v>
      </c>
      <c r="I76" s="72">
        <v>0.88729999999999998</v>
      </c>
      <c r="J76" s="72"/>
      <c r="K76" s="72"/>
      <c r="L76" s="163">
        <f t="shared" si="2"/>
        <v>537.69869000000006</v>
      </c>
      <c r="M76" s="239"/>
      <c r="N76" s="239"/>
      <c r="O76" s="239"/>
      <c r="P76" s="239"/>
      <c r="Q76" s="239"/>
      <c r="R76" s="239"/>
      <c r="S76" s="239"/>
    </row>
    <row r="77" spans="1:19" x14ac:dyDescent="0.35">
      <c r="A77" s="239"/>
      <c r="B77" s="239"/>
      <c r="C77" s="239"/>
      <c r="D77" s="239"/>
      <c r="E77" s="239"/>
      <c r="F77" s="239"/>
      <c r="G77" s="162"/>
      <c r="H77" s="169"/>
      <c r="I77" s="72"/>
      <c r="J77" s="72"/>
      <c r="K77" s="72"/>
      <c r="L77" s="163">
        <f t="shared" si="2"/>
        <v>0</v>
      </c>
      <c r="M77" s="239"/>
      <c r="N77" s="239"/>
      <c r="O77" s="239"/>
      <c r="P77" s="239"/>
      <c r="Q77" s="239"/>
      <c r="R77" s="239"/>
      <c r="S77" s="239"/>
    </row>
    <row r="78" spans="1:19" x14ac:dyDescent="0.35">
      <c r="A78" s="239"/>
      <c r="B78" s="239"/>
      <c r="C78" s="239"/>
      <c r="D78" s="239"/>
      <c r="E78" s="239"/>
      <c r="F78" s="239"/>
      <c r="G78" s="162"/>
      <c r="H78" s="72"/>
      <c r="I78" s="72"/>
      <c r="J78" s="72"/>
      <c r="K78" s="72" t="s">
        <v>216</v>
      </c>
      <c r="L78" s="163">
        <f>AVERAGE(L74:L76)</f>
        <v>538.86515999999995</v>
      </c>
      <c r="M78" s="239"/>
      <c r="N78" s="239"/>
      <c r="O78" s="239"/>
      <c r="P78" s="239"/>
      <c r="Q78" s="239"/>
      <c r="R78" s="239"/>
      <c r="S78" s="239"/>
    </row>
    <row r="79" spans="1:19" x14ac:dyDescent="0.35">
      <c r="A79" s="239"/>
      <c r="B79" s="239"/>
      <c r="C79" s="239"/>
      <c r="D79" s="239"/>
      <c r="E79" s="239"/>
      <c r="F79" s="239"/>
      <c r="G79" s="162"/>
      <c r="H79" s="72"/>
      <c r="I79" s="72"/>
      <c r="J79" s="72"/>
      <c r="K79" s="72"/>
      <c r="L79" s="163"/>
      <c r="M79" s="239"/>
      <c r="N79" s="239"/>
      <c r="O79" s="239"/>
      <c r="P79" s="239"/>
      <c r="Q79" s="239"/>
      <c r="R79" s="239"/>
      <c r="S79" s="239"/>
    </row>
    <row r="80" spans="1:19" x14ac:dyDescent="0.35">
      <c r="A80" s="239"/>
      <c r="B80" s="239"/>
      <c r="C80" s="239"/>
      <c r="D80" s="239"/>
      <c r="E80" s="239"/>
      <c r="F80" s="239"/>
      <c r="G80" s="162"/>
      <c r="H80" s="72"/>
      <c r="I80" s="72" t="s">
        <v>319</v>
      </c>
      <c r="J80" s="72"/>
      <c r="K80" s="72"/>
      <c r="L80" s="163"/>
      <c r="M80" s="239"/>
      <c r="N80" s="239"/>
      <c r="O80" s="239"/>
      <c r="P80" s="239"/>
      <c r="Q80" s="239"/>
      <c r="R80" s="239"/>
      <c r="S80" s="239"/>
    </row>
    <row r="81" spans="7:21" ht="44" thickBot="1" x14ac:dyDescent="0.4">
      <c r="G81" s="165" t="s">
        <v>320</v>
      </c>
      <c r="H81" s="170">
        <f>(L78/L68)*N47</f>
        <v>36.603970002660319</v>
      </c>
      <c r="I81" s="170">
        <f>(L78/L68)*N48</f>
        <v>36.527262750883466</v>
      </c>
      <c r="J81" s="166"/>
      <c r="K81" s="175" t="s">
        <v>321</v>
      </c>
      <c r="L81" s="176">
        <f>L68/N47</f>
        <v>14.721494962454512</v>
      </c>
      <c r="M81" s="185" t="s">
        <v>322</v>
      </c>
      <c r="N81" s="186">
        <f>((H81-I81)/H81)*100</f>
        <v>0.20955992415925812</v>
      </c>
      <c r="O81" s="329" t="s">
        <v>323</v>
      </c>
      <c r="P81" s="329"/>
      <c r="Q81" s="329"/>
      <c r="R81" s="329"/>
      <c r="S81" s="329"/>
      <c r="T81" s="329"/>
      <c r="U81" s="329"/>
    </row>
    <row r="83" spans="7:21" ht="15" thickBot="1" x14ac:dyDescent="0.4">
      <c r="G83" s="239"/>
      <c r="H83" s="239"/>
      <c r="I83" s="239"/>
      <c r="J83" s="239"/>
      <c r="K83" s="239"/>
      <c r="L83" s="239"/>
      <c r="M83" s="239"/>
      <c r="N83" s="239"/>
      <c r="O83" s="239"/>
      <c r="P83" s="239"/>
      <c r="Q83" s="239"/>
      <c r="R83" s="239"/>
      <c r="S83" s="239"/>
      <c r="T83" s="239"/>
      <c r="U83" s="239"/>
    </row>
    <row r="84" spans="7:21" ht="15" thickBot="1" x14ac:dyDescent="0.4">
      <c r="G84" s="159" t="s">
        <v>300</v>
      </c>
      <c r="H84" s="160"/>
      <c r="I84" s="160"/>
      <c r="J84" s="160"/>
      <c r="K84" s="160"/>
      <c r="L84" s="161"/>
      <c r="M84" s="239"/>
      <c r="N84" s="241" t="s">
        <v>324</v>
      </c>
      <c r="O84" s="239"/>
      <c r="P84" s="239"/>
      <c r="Q84" s="239"/>
      <c r="R84" s="239"/>
      <c r="S84" s="239"/>
      <c r="T84" s="239"/>
      <c r="U84" s="239"/>
    </row>
    <row r="85" spans="7:21" x14ac:dyDescent="0.35">
      <c r="G85" s="162" t="s">
        <v>302</v>
      </c>
      <c r="H85" s="72" t="s">
        <v>212</v>
      </c>
      <c r="I85" s="72" t="s">
        <v>303</v>
      </c>
      <c r="J85" s="72" t="s">
        <v>214</v>
      </c>
      <c r="K85" s="72" t="s">
        <v>213</v>
      </c>
      <c r="L85" s="163" t="s">
        <v>215</v>
      </c>
      <c r="M85" s="239"/>
      <c r="N85" s="159" t="s">
        <v>300</v>
      </c>
      <c r="O85" s="160"/>
      <c r="P85" s="160"/>
      <c r="Q85" s="160"/>
      <c r="R85" s="160"/>
      <c r="S85" s="161"/>
      <c r="T85" s="239"/>
      <c r="U85" s="239"/>
    </row>
    <row r="86" spans="7:21" x14ac:dyDescent="0.35">
      <c r="G86" s="162"/>
      <c r="H86" s="72">
        <v>177.66130000000001</v>
      </c>
      <c r="I86" s="72">
        <v>0.6512</v>
      </c>
      <c r="J86" s="72"/>
      <c r="K86" s="72"/>
      <c r="L86" s="163">
        <f>H86-J86</f>
        <v>177.66130000000001</v>
      </c>
      <c r="M86" s="239"/>
      <c r="N86" s="162" t="s">
        <v>302</v>
      </c>
      <c r="O86" s="72" t="s">
        <v>212</v>
      </c>
      <c r="P86" s="72" t="s">
        <v>303</v>
      </c>
      <c r="Q86" s="72" t="s">
        <v>214</v>
      </c>
      <c r="R86" s="72" t="s">
        <v>303</v>
      </c>
      <c r="S86" s="163" t="s">
        <v>215</v>
      </c>
      <c r="T86" s="239"/>
      <c r="U86" s="239"/>
    </row>
    <row r="87" spans="7:21" x14ac:dyDescent="0.35">
      <c r="G87" s="162"/>
      <c r="H87" s="72">
        <v>176.62644</v>
      </c>
      <c r="I87" s="72">
        <v>0.7006</v>
      </c>
      <c r="J87" s="72"/>
      <c r="K87" s="72"/>
      <c r="L87" s="163">
        <f t="shared" ref="L87:L89" si="3">H87-J87</f>
        <v>176.62644</v>
      </c>
      <c r="M87" s="239"/>
      <c r="N87" s="162"/>
      <c r="O87" s="169">
        <v>175.40626</v>
      </c>
      <c r="P87" s="169">
        <v>1.62</v>
      </c>
      <c r="Q87" s="72"/>
      <c r="R87" s="72"/>
      <c r="S87" s="163">
        <f>O87-Q87</f>
        <v>175.40626</v>
      </c>
      <c r="T87" s="239"/>
      <c r="U87" s="239"/>
    </row>
    <row r="88" spans="7:21" x14ac:dyDescent="0.35">
      <c r="G88" s="162"/>
      <c r="H88" s="72">
        <v>176.04432199999999</v>
      </c>
      <c r="I88" s="72">
        <v>0.7591</v>
      </c>
      <c r="J88" s="72"/>
      <c r="K88" s="72"/>
      <c r="L88" s="163">
        <f t="shared" si="3"/>
        <v>176.04432199999999</v>
      </c>
      <c r="M88" s="239"/>
      <c r="N88" s="162"/>
      <c r="O88" s="72"/>
      <c r="P88" s="72"/>
      <c r="Q88" s="72"/>
      <c r="R88" s="72" t="s">
        <v>216</v>
      </c>
      <c r="S88" s="163">
        <f>AVERAGE(S87:S87)</f>
        <v>175.40626</v>
      </c>
      <c r="T88" s="239"/>
      <c r="U88" s="239"/>
    </row>
    <row r="89" spans="7:21" x14ac:dyDescent="0.35">
      <c r="G89" s="162"/>
      <c r="H89" s="169">
        <v>175.40626</v>
      </c>
      <c r="I89" s="169">
        <v>1.62</v>
      </c>
      <c r="J89" s="72"/>
      <c r="K89" s="72"/>
      <c r="L89" s="163">
        <f t="shared" si="3"/>
        <v>175.40626</v>
      </c>
      <c r="M89" s="239"/>
      <c r="N89" s="162"/>
      <c r="O89" s="72"/>
      <c r="P89" s="72"/>
      <c r="Q89" s="72"/>
      <c r="R89" s="72"/>
      <c r="S89" s="163" t="s">
        <v>170</v>
      </c>
      <c r="T89" s="239"/>
      <c r="U89" s="239"/>
    </row>
    <row r="90" spans="7:21" x14ac:dyDescent="0.35">
      <c r="G90" s="162"/>
      <c r="H90" s="72"/>
      <c r="I90" s="72"/>
      <c r="J90" s="72"/>
      <c r="K90" s="72" t="s">
        <v>216</v>
      </c>
      <c r="L90" s="163">
        <f>AVERAGE(L86:L89)</f>
        <v>176.43458049999998</v>
      </c>
      <c r="M90" s="239"/>
      <c r="N90" s="164" t="s">
        <v>317</v>
      </c>
      <c r="O90" s="72"/>
      <c r="P90" s="72"/>
      <c r="Q90" s="72"/>
      <c r="R90" s="72"/>
      <c r="S90" s="163"/>
      <c r="T90" s="239"/>
      <c r="U90" s="239"/>
    </row>
    <row r="91" spans="7:21" x14ac:dyDescent="0.35">
      <c r="G91" s="162"/>
      <c r="H91" s="72"/>
      <c r="I91" s="72"/>
      <c r="J91" s="72"/>
      <c r="K91" s="72"/>
      <c r="L91" s="163"/>
      <c r="M91" s="239"/>
      <c r="N91" s="162" t="s">
        <v>318</v>
      </c>
      <c r="O91" s="72" t="s">
        <v>212</v>
      </c>
      <c r="P91" s="72" t="s">
        <v>303</v>
      </c>
      <c r="Q91" s="72" t="s">
        <v>214</v>
      </c>
      <c r="R91" s="72" t="s">
        <v>303</v>
      </c>
      <c r="S91" s="163" t="s">
        <v>215</v>
      </c>
      <c r="T91" s="239"/>
      <c r="U91" s="239"/>
    </row>
    <row r="92" spans="7:21" x14ac:dyDescent="0.35">
      <c r="G92" s="162"/>
      <c r="H92" s="72"/>
      <c r="I92" s="72"/>
      <c r="J92" s="72"/>
      <c r="K92" s="72"/>
      <c r="L92" s="163"/>
      <c r="M92" s="239"/>
      <c r="N92" s="162"/>
      <c r="O92" s="72">
        <v>543.48161000000005</v>
      </c>
      <c r="P92" s="72">
        <v>1.161</v>
      </c>
      <c r="Q92" s="72"/>
      <c r="R92" s="72"/>
      <c r="S92" s="163">
        <f>O92-Q92</f>
        <v>543.48161000000005</v>
      </c>
      <c r="T92" s="239"/>
      <c r="U92" s="239"/>
    </row>
    <row r="93" spans="7:21" x14ac:dyDescent="0.35">
      <c r="G93" s="162"/>
      <c r="H93" s="72"/>
      <c r="I93" s="72"/>
      <c r="J93" s="72"/>
      <c r="K93" s="72"/>
      <c r="L93" s="163" t="s">
        <v>170</v>
      </c>
      <c r="M93" s="239"/>
      <c r="N93" s="162"/>
      <c r="O93" s="72"/>
      <c r="P93" s="72"/>
      <c r="Q93" s="72"/>
      <c r="R93" s="72" t="s">
        <v>216</v>
      </c>
      <c r="S93" s="163">
        <f>AVERAGE(S92:S92)</f>
        <v>543.48161000000005</v>
      </c>
      <c r="T93" s="239"/>
      <c r="U93" s="239"/>
    </row>
    <row r="94" spans="7:21" ht="18.5" x14ac:dyDescent="0.35">
      <c r="G94" s="173" t="s">
        <v>325</v>
      </c>
      <c r="H94" s="72"/>
      <c r="I94" s="72"/>
      <c r="J94" s="72"/>
      <c r="K94" s="72"/>
      <c r="L94" s="163"/>
      <c r="M94" s="239"/>
      <c r="N94" s="162"/>
      <c r="O94" s="72"/>
      <c r="P94" s="72"/>
      <c r="Q94" s="72"/>
      <c r="R94" s="72"/>
      <c r="S94" s="163"/>
      <c r="T94" s="239"/>
      <c r="U94" s="239"/>
    </row>
    <row r="95" spans="7:21" ht="58.5" thickBot="1" x14ac:dyDescent="0.4">
      <c r="G95" s="162" t="s">
        <v>326</v>
      </c>
      <c r="H95" s="72" t="s">
        <v>212</v>
      </c>
      <c r="I95" s="72" t="s">
        <v>303</v>
      </c>
      <c r="J95" s="72" t="s">
        <v>214</v>
      </c>
      <c r="K95" s="72" t="s">
        <v>213</v>
      </c>
      <c r="L95" s="163" t="s">
        <v>215</v>
      </c>
      <c r="M95" s="239"/>
      <c r="N95" s="165" t="s">
        <v>320</v>
      </c>
      <c r="O95" s="170">
        <f>(S93/S88)*N47</f>
        <v>36.917357841359561</v>
      </c>
      <c r="P95" s="166" t="s">
        <v>170</v>
      </c>
      <c r="Q95" s="166"/>
      <c r="R95" s="166"/>
      <c r="S95" s="167"/>
      <c r="T95" s="239"/>
      <c r="U95" s="239"/>
    </row>
    <row r="96" spans="7:21" x14ac:dyDescent="0.35">
      <c r="G96" s="162"/>
      <c r="H96" s="72">
        <v>493.60126000000002</v>
      </c>
      <c r="I96" s="72">
        <v>1.3740000000000001</v>
      </c>
      <c r="J96" s="72"/>
      <c r="K96" s="72"/>
      <c r="L96" s="163">
        <f>H96-J96</f>
        <v>493.60126000000002</v>
      </c>
      <c r="M96" s="239"/>
      <c r="N96" s="239"/>
      <c r="O96" s="239"/>
      <c r="P96" s="239"/>
      <c r="Q96" s="239"/>
      <c r="R96" s="239"/>
      <c r="S96" s="239"/>
      <c r="T96" s="239"/>
      <c r="U96" s="239"/>
    </row>
    <row r="97" spans="7:19" x14ac:dyDescent="0.35">
      <c r="G97" s="162"/>
      <c r="H97" s="72">
        <v>497.86236000000002</v>
      </c>
      <c r="I97" s="72">
        <v>0.86429999999999996</v>
      </c>
      <c r="J97" s="72"/>
      <c r="K97" s="72"/>
      <c r="L97" s="163">
        <f t="shared" ref="L97:L99" si="4">H97-J97</f>
        <v>497.86236000000002</v>
      </c>
      <c r="M97" s="239"/>
      <c r="N97" s="239"/>
      <c r="O97" s="239"/>
      <c r="P97" s="239"/>
      <c r="Q97" s="239"/>
      <c r="R97" s="239"/>
      <c r="S97" s="239"/>
    </row>
    <row r="98" spans="7:19" x14ac:dyDescent="0.35">
      <c r="G98" s="162"/>
      <c r="H98" s="72">
        <v>495.44251000000003</v>
      </c>
      <c r="I98" s="72">
        <v>1.6910000000000001</v>
      </c>
      <c r="J98" s="72"/>
      <c r="K98" s="72"/>
      <c r="L98" s="163">
        <f t="shared" si="4"/>
        <v>495.44251000000003</v>
      </c>
      <c r="M98" s="239"/>
      <c r="N98" s="239"/>
      <c r="O98" s="239"/>
      <c r="P98" s="239"/>
      <c r="Q98" s="239"/>
      <c r="R98" s="239"/>
      <c r="S98" s="239"/>
    </row>
    <row r="99" spans="7:19" x14ac:dyDescent="0.35">
      <c r="G99" s="162"/>
      <c r="H99" s="169">
        <v>495.83186999999998</v>
      </c>
      <c r="I99" s="169">
        <v>1.0049999999999999</v>
      </c>
      <c r="J99" s="72"/>
      <c r="K99" s="72"/>
      <c r="L99" s="163">
        <f t="shared" si="4"/>
        <v>495.83186999999998</v>
      </c>
      <c r="M99" s="239"/>
      <c r="N99" s="239"/>
      <c r="O99" s="239"/>
      <c r="P99" s="239"/>
      <c r="Q99" s="239"/>
      <c r="R99" s="239"/>
      <c r="S99" s="239"/>
    </row>
    <row r="100" spans="7:19" x14ac:dyDescent="0.35">
      <c r="G100" s="162"/>
      <c r="H100" s="72"/>
      <c r="I100" s="72"/>
      <c r="J100" s="72"/>
      <c r="K100" s="72" t="s">
        <v>216</v>
      </c>
      <c r="L100" s="163">
        <f>AVERAGE(L96:L99)</f>
        <v>495.68450000000001</v>
      </c>
      <c r="M100" s="239"/>
      <c r="N100" s="239"/>
      <c r="O100" s="239"/>
      <c r="P100" s="239"/>
      <c r="Q100" s="239"/>
      <c r="R100" s="239"/>
      <c r="S100" s="239"/>
    </row>
    <row r="101" spans="7:19" x14ac:dyDescent="0.35">
      <c r="G101" s="162"/>
      <c r="H101" s="72"/>
      <c r="I101" s="72"/>
      <c r="J101" s="72"/>
      <c r="K101" s="72"/>
      <c r="L101" s="163"/>
      <c r="M101" s="239"/>
      <c r="N101" s="239"/>
      <c r="O101" s="239"/>
      <c r="P101" s="239"/>
      <c r="Q101" s="239"/>
      <c r="R101" s="239"/>
      <c r="S101" s="239"/>
    </row>
    <row r="102" spans="7:19" x14ac:dyDescent="0.35">
      <c r="G102" s="162"/>
      <c r="H102" s="72"/>
      <c r="I102" s="72"/>
      <c r="J102" s="72"/>
      <c r="K102" s="72"/>
      <c r="L102" s="163"/>
      <c r="M102" s="239"/>
      <c r="N102" s="239"/>
      <c r="O102" s="239"/>
      <c r="P102" s="239"/>
      <c r="Q102" s="239"/>
      <c r="R102" s="239"/>
      <c r="S102" s="239"/>
    </row>
    <row r="103" spans="7:19" ht="44" thickBot="1" x14ac:dyDescent="0.4">
      <c r="G103" s="168" t="s">
        <v>327</v>
      </c>
      <c r="H103" s="170">
        <f>(L100/L90)*N47</f>
        <v>33.47437493266689</v>
      </c>
      <c r="I103" s="166" t="s">
        <v>170</v>
      </c>
      <c r="J103" s="166"/>
      <c r="K103" s="175" t="s">
        <v>321</v>
      </c>
      <c r="L103" s="176">
        <f>L90/N47</f>
        <v>14.80787919108454</v>
      </c>
      <c r="M103" s="239"/>
      <c r="N103" s="239"/>
      <c r="O103" s="239"/>
      <c r="P103" s="239"/>
      <c r="Q103" s="239"/>
      <c r="R103" s="239"/>
      <c r="S103" s="239"/>
    </row>
    <row r="105" spans="7:19" ht="15" thickBot="1" x14ac:dyDescent="0.4">
      <c r="G105" s="239"/>
      <c r="H105" s="239"/>
      <c r="I105" s="239"/>
      <c r="J105" s="239"/>
      <c r="K105" s="239"/>
      <c r="L105" s="239"/>
      <c r="M105" s="239"/>
      <c r="N105" s="239"/>
      <c r="O105" s="239"/>
      <c r="P105" s="239"/>
      <c r="Q105" s="239"/>
      <c r="R105" s="239"/>
      <c r="S105" s="239"/>
    </row>
    <row r="106" spans="7:19" x14ac:dyDescent="0.35">
      <c r="G106" s="159" t="s">
        <v>300</v>
      </c>
      <c r="H106" s="160"/>
      <c r="I106" s="160"/>
      <c r="J106" s="160"/>
      <c r="K106" s="160"/>
      <c r="L106" s="161"/>
      <c r="M106" s="239"/>
      <c r="N106" s="239"/>
      <c r="O106" s="239"/>
      <c r="P106" s="239"/>
      <c r="Q106" s="239"/>
      <c r="R106" s="239"/>
      <c r="S106" s="239"/>
    </row>
    <row r="107" spans="7:19" x14ac:dyDescent="0.35">
      <c r="G107" s="162" t="s">
        <v>328</v>
      </c>
      <c r="H107" s="72" t="s">
        <v>212</v>
      </c>
      <c r="I107" s="72" t="s">
        <v>303</v>
      </c>
      <c r="J107" s="72" t="s">
        <v>214</v>
      </c>
      <c r="K107" s="72" t="s">
        <v>213</v>
      </c>
      <c r="L107" s="163" t="s">
        <v>215</v>
      </c>
      <c r="M107" s="239"/>
      <c r="N107" s="239"/>
      <c r="O107" s="239"/>
      <c r="P107" s="239"/>
      <c r="Q107" s="239"/>
      <c r="R107" s="239"/>
      <c r="S107" s="239"/>
    </row>
    <row r="108" spans="7:19" ht="15" thickBot="1" x14ac:dyDescent="0.4">
      <c r="G108" s="162"/>
      <c r="H108" s="72">
        <v>179.28211999999999</v>
      </c>
      <c r="I108" s="72">
        <v>1.3640000000000001</v>
      </c>
      <c r="J108" s="72"/>
      <c r="K108" s="72"/>
      <c r="L108" s="163">
        <f>H108-J108</f>
        <v>179.28211999999999</v>
      </c>
      <c r="M108" s="239"/>
      <c r="N108" s="241" t="s">
        <v>324</v>
      </c>
      <c r="O108" s="239"/>
      <c r="P108" s="239"/>
      <c r="Q108" s="239"/>
      <c r="R108" s="239"/>
      <c r="S108" s="239"/>
    </row>
    <row r="109" spans="7:19" x14ac:dyDescent="0.35">
      <c r="G109" s="162"/>
      <c r="H109" s="72">
        <v>177.05797000000001</v>
      </c>
      <c r="I109" s="72">
        <v>1.915</v>
      </c>
      <c r="J109" s="72"/>
      <c r="K109" s="72"/>
      <c r="L109" s="163">
        <f t="shared" ref="L109:L111" si="5">H109-J109</f>
        <v>177.05797000000001</v>
      </c>
      <c r="M109" s="239"/>
      <c r="N109" s="159" t="s">
        <v>300</v>
      </c>
      <c r="O109" s="160"/>
      <c r="P109" s="160"/>
      <c r="Q109" s="160"/>
      <c r="R109" s="160"/>
      <c r="S109" s="161"/>
    </row>
    <row r="110" spans="7:19" x14ac:dyDescent="0.35">
      <c r="G110" s="162"/>
      <c r="H110" s="72">
        <v>176.19817</v>
      </c>
      <c r="I110" s="72">
        <v>1.054</v>
      </c>
      <c r="J110" s="72"/>
      <c r="K110" s="72"/>
      <c r="L110" s="163">
        <f t="shared" si="5"/>
        <v>176.19817</v>
      </c>
      <c r="M110" s="239"/>
      <c r="N110" s="162" t="s">
        <v>328</v>
      </c>
      <c r="O110" s="72" t="s">
        <v>212</v>
      </c>
      <c r="P110" s="72" t="s">
        <v>303</v>
      </c>
      <c r="Q110" s="72" t="s">
        <v>214</v>
      </c>
      <c r="R110" s="72" t="s">
        <v>303</v>
      </c>
      <c r="S110" s="163" t="s">
        <v>215</v>
      </c>
    </row>
    <row r="111" spans="7:19" x14ac:dyDescent="0.35">
      <c r="G111" s="162"/>
      <c r="H111" s="169">
        <v>175.33413999999999</v>
      </c>
      <c r="I111" s="169">
        <v>0.91690000000000005</v>
      </c>
      <c r="J111" s="72"/>
      <c r="K111" s="72"/>
      <c r="L111" s="163">
        <f t="shared" si="5"/>
        <v>175.33413999999999</v>
      </c>
      <c r="M111" s="239"/>
      <c r="N111" s="162"/>
      <c r="O111" s="169">
        <v>177.05797000000001</v>
      </c>
      <c r="P111" s="169">
        <v>1.915</v>
      </c>
      <c r="Q111" s="72"/>
      <c r="R111" s="72"/>
      <c r="S111" s="163">
        <f>O111-Q111</f>
        <v>177.05797000000001</v>
      </c>
    </row>
    <row r="112" spans="7:19" x14ac:dyDescent="0.35">
      <c r="G112" s="162"/>
      <c r="H112" s="72"/>
      <c r="I112" s="72"/>
      <c r="J112" s="72"/>
      <c r="K112" s="72" t="s">
        <v>216</v>
      </c>
      <c r="L112" s="163">
        <f>AVERAGE(L108:L111)</f>
        <v>176.96809999999999</v>
      </c>
      <c r="M112" s="239"/>
      <c r="N112" s="162"/>
      <c r="O112" s="72"/>
      <c r="P112" s="72"/>
      <c r="Q112" s="72"/>
      <c r="R112" s="72" t="s">
        <v>216</v>
      </c>
      <c r="S112" s="163">
        <f>AVERAGE(S111:S111)</f>
        <v>177.05797000000001</v>
      </c>
    </row>
    <row r="113" spans="7:19" x14ac:dyDescent="0.35">
      <c r="G113" s="162"/>
      <c r="H113" s="72"/>
      <c r="I113" s="72"/>
      <c r="J113" s="72"/>
      <c r="K113" s="72"/>
      <c r="L113" s="163"/>
      <c r="M113" s="239"/>
      <c r="N113" s="162"/>
      <c r="O113" s="72"/>
      <c r="P113" s="72"/>
      <c r="Q113" s="72"/>
      <c r="R113" s="72"/>
      <c r="S113" s="163" t="s">
        <v>170</v>
      </c>
    </row>
    <row r="114" spans="7:19" x14ac:dyDescent="0.35">
      <c r="G114" s="162"/>
      <c r="H114" s="72"/>
      <c r="I114" s="72"/>
      <c r="J114" s="72"/>
      <c r="K114" s="72"/>
      <c r="L114" s="163"/>
      <c r="M114" s="239"/>
      <c r="N114" s="164" t="s">
        <v>317</v>
      </c>
      <c r="O114" s="72"/>
      <c r="P114" s="72"/>
      <c r="Q114" s="72"/>
      <c r="R114" s="72"/>
      <c r="S114" s="163"/>
    </row>
    <row r="115" spans="7:19" x14ac:dyDescent="0.35">
      <c r="G115" s="162"/>
      <c r="H115" s="72"/>
      <c r="I115" s="72"/>
      <c r="J115" s="72"/>
      <c r="K115" s="72"/>
      <c r="L115" s="163" t="s">
        <v>170</v>
      </c>
      <c r="M115" s="239"/>
      <c r="N115" s="162" t="s">
        <v>329</v>
      </c>
      <c r="O115" s="72" t="s">
        <v>212</v>
      </c>
      <c r="P115" s="72" t="s">
        <v>303</v>
      </c>
      <c r="Q115" s="72" t="s">
        <v>214</v>
      </c>
      <c r="R115" s="72" t="s">
        <v>303</v>
      </c>
      <c r="S115" s="163" t="s">
        <v>215</v>
      </c>
    </row>
    <row r="116" spans="7:19" ht="48.75" customHeight="1" x14ac:dyDescent="0.35">
      <c r="G116" s="172" t="s">
        <v>330</v>
      </c>
      <c r="H116" s="72"/>
      <c r="I116" s="72"/>
      <c r="J116" s="72"/>
      <c r="K116" s="72"/>
      <c r="L116" s="163"/>
      <c r="M116" s="239"/>
      <c r="N116" s="162"/>
      <c r="O116" s="72">
        <v>543.87243999999998</v>
      </c>
      <c r="P116" s="72">
        <v>1.496</v>
      </c>
      <c r="Q116" s="72"/>
      <c r="R116" s="72"/>
      <c r="S116" s="163">
        <f>O116-Q116</f>
        <v>543.87243999999998</v>
      </c>
    </row>
    <row r="117" spans="7:19" x14ac:dyDescent="0.35">
      <c r="G117" s="162" t="s">
        <v>331</v>
      </c>
      <c r="H117" s="72" t="s">
        <v>212</v>
      </c>
      <c r="I117" s="72" t="s">
        <v>303</v>
      </c>
      <c r="J117" s="72" t="s">
        <v>214</v>
      </c>
      <c r="K117" s="72" t="s">
        <v>213</v>
      </c>
      <c r="L117" s="163" t="s">
        <v>215</v>
      </c>
      <c r="M117" s="239"/>
      <c r="N117" s="162"/>
      <c r="O117" s="72"/>
      <c r="P117" s="72"/>
      <c r="Q117" s="72"/>
      <c r="R117" s="72" t="s">
        <v>216</v>
      </c>
      <c r="S117" s="163">
        <f>AVERAGE(S116:S116)</f>
        <v>543.87243999999998</v>
      </c>
    </row>
    <row r="118" spans="7:19" x14ac:dyDescent="0.35">
      <c r="G118" s="162"/>
      <c r="H118" s="8">
        <v>428.83449000000002</v>
      </c>
      <c r="I118" s="8">
        <v>1.0680000000000001</v>
      </c>
      <c r="J118" s="8"/>
      <c r="K118" s="8"/>
      <c r="L118" s="171">
        <f>H118-J118</f>
        <v>428.83449000000002</v>
      </c>
      <c r="M118" s="239"/>
      <c r="N118" s="162"/>
      <c r="O118" s="72"/>
      <c r="P118" s="72"/>
      <c r="Q118" s="72"/>
      <c r="R118" s="72"/>
      <c r="S118" s="163"/>
    </row>
    <row r="119" spans="7:19" ht="58.5" thickBot="1" x14ac:dyDescent="0.4">
      <c r="G119" s="162"/>
      <c r="H119" s="72">
        <v>431.34823</v>
      </c>
      <c r="I119" s="72">
        <v>0.82299999999999995</v>
      </c>
      <c r="J119" s="72"/>
      <c r="K119" s="72"/>
      <c r="L119" s="171">
        <f t="shared" ref="L119:L121" si="6">H119-J119</f>
        <v>431.34823</v>
      </c>
      <c r="M119" s="239"/>
      <c r="N119" s="165" t="s">
        <v>320</v>
      </c>
      <c r="O119" s="170">
        <f>(S117/S112)*N47</f>
        <v>36.599269567879531</v>
      </c>
      <c r="P119" s="166" t="s">
        <v>170</v>
      </c>
      <c r="Q119" s="166"/>
      <c r="R119" s="166"/>
      <c r="S119" s="167"/>
    </row>
    <row r="120" spans="7:19" x14ac:dyDescent="0.35">
      <c r="G120" s="162"/>
      <c r="H120" s="72">
        <v>429.13202000000001</v>
      </c>
      <c r="I120" s="72">
        <v>1.228</v>
      </c>
      <c r="J120" s="72"/>
      <c r="K120" s="72"/>
      <c r="L120" s="171">
        <f t="shared" si="6"/>
        <v>429.13202000000001</v>
      </c>
      <c r="M120" s="239"/>
      <c r="N120" s="239"/>
      <c r="O120" s="239"/>
      <c r="P120" s="239"/>
      <c r="Q120" s="239"/>
      <c r="R120" s="239"/>
      <c r="S120" s="239"/>
    </row>
    <row r="121" spans="7:19" x14ac:dyDescent="0.35">
      <c r="G121" s="162"/>
      <c r="H121" s="169">
        <v>419.60019999999997</v>
      </c>
      <c r="I121" s="169">
        <v>1.4490000000000001</v>
      </c>
      <c r="J121" s="72"/>
      <c r="K121" s="72"/>
      <c r="L121" s="171">
        <f t="shared" si="6"/>
        <v>419.60019999999997</v>
      </c>
      <c r="M121" s="239"/>
      <c r="N121" s="239"/>
      <c r="O121" s="239"/>
      <c r="P121" s="239"/>
      <c r="Q121" s="239"/>
      <c r="R121" s="239"/>
      <c r="S121" s="239"/>
    </row>
    <row r="122" spans="7:19" x14ac:dyDescent="0.35">
      <c r="G122" s="162"/>
      <c r="H122" s="72"/>
      <c r="I122" s="72"/>
      <c r="J122" s="72"/>
      <c r="K122" s="72" t="s">
        <v>216</v>
      </c>
      <c r="L122" s="163">
        <f>AVERAGE(L118:L121)</f>
        <v>427.22873500000003</v>
      </c>
      <c r="M122" s="239"/>
      <c r="N122" s="239"/>
      <c r="O122" s="239"/>
      <c r="P122" s="239"/>
      <c r="Q122" s="239"/>
      <c r="R122" s="239"/>
      <c r="S122" s="239"/>
    </row>
    <row r="123" spans="7:19" x14ac:dyDescent="0.35">
      <c r="G123" s="162"/>
      <c r="H123" s="72"/>
      <c r="I123" s="72"/>
      <c r="J123" s="72"/>
      <c r="K123" s="72"/>
      <c r="L123" s="163"/>
      <c r="M123" s="239"/>
      <c r="N123" s="239"/>
      <c r="O123" s="239"/>
      <c r="P123" s="239"/>
      <c r="Q123" s="239"/>
      <c r="R123" s="239"/>
      <c r="S123" s="239"/>
    </row>
    <row r="124" spans="7:19" x14ac:dyDescent="0.35">
      <c r="G124" s="162"/>
      <c r="H124" s="72"/>
      <c r="I124" s="72"/>
      <c r="J124" s="72"/>
      <c r="K124" s="72"/>
      <c r="L124" s="163"/>
      <c r="M124" s="239"/>
      <c r="N124" s="239"/>
      <c r="O124" s="239"/>
      <c r="P124" s="239"/>
      <c r="Q124" s="239"/>
      <c r="R124" s="239"/>
      <c r="S124" s="239"/>
    </row>
    <row r="125" spans="7:19" ht="44" thickBot="1" x14ac:dyDescent="0.4">
      <c r="G125" s="168" t="s">
        <v>332</v>
      </c>
      <c r="H125" s="170">
        <f>(L122/L112)*N47</f>
        <v>28.764465849281677</v>
      </c>
      <c r="I125" s="166" t="s">
        <v>170</v>
      </c>
      <c r="J125" s="166"/>
      <c r="K125" s="175" t="s">
        <v>321</v>
      </c>
      <c r="L125" s="176">
        <f>L112/N47</f>
        <v>14.852656650694211</v>
      </c>
      <c r="M125" s="239"/>
      <c r="N125" s="239"/>
      <c r="O125" s="239"/>
      <c r="P125" s="239"/>
      <c r="Q125" s="239"/>
      <c r="R125" s="239"/>
      <c r="S125" s="239"/>
    </row>
    <row r="127" spans="7:19" ht="15" thickBot="1" x14ac:dyDescent="0.4">
      <c r="G127" s="239"/>
      <c r="H127" s="239"/>
      <c r="I127" s="239"/>
      <c r="J127" s="239"/>
      <c r="K127" s="239"/>
      <c r="L127" s="239"/>
      <c r="M127" s="239"/>
      <c r="N127" s="239"/>
      <c r="O127" s="239"/>
      <c r="P127" s="239"/>
      <c r="Q127" s="239"/>
      <c r="R127" s="239"/>
      <c r="S127" s="239"/>
    </row>
    <row r="128" spans="7:19" x14ac:dyDescent="0.35">
      <c r="G128" s="159" t="s">
        <v>300</v>
      </c>
      <c r="H128" s="160"/>
      <c r="I128" s="160"/>
      <c r="J128" s="160"/>
      <c r="K128" s="160"/>
      <c r="L128" s="161"/>
      <c r="M128" s="239"/>
      <c r="N128" s="239"/>
      <c r="O128" s="239"/>
      <c r="P128" s="239"/>
      <c r="Q128" s="239"/>
      <c r="R128" s="239"/>
      <c r="S128" s="239"/>
    </row>
    <row r="129" spans="7:19" x14ac:dyDescent="0.35">
      <c r="G129" s="162" t="s">
        <v>302</v>
      </c>
      <c r="H129" s="72" t="s">
        <v>212</v>
      </c>
      <c r="I129" s="72" t="s">
        <v>303</v>
      </c>
      <c r="J129" s="72" t="s">
        <v>214</v>
      </c>
      <c r="K129" s="72" t="s">
        <v>213</v>
      </c>
      <c r="L129" s="163" t="s">
        <v>215</v>
      </c>
      <c r="M129" s="239"/>
      <c r="N129" s="239"/>
      <c r="O129" s="239"/>
      <c r="P129" s="239"/>
      <c r="Q129" s="239"/>
      <c r="R129" s="239"/>
      <c r="S129" s="239"/>
    </row>
    <row r="130" spans="7:19" ht="15" thickBot="1" x14ac:dyDescent="0.4">
      <c r="G130" s="162"/>
      <c r="H130" s="72">
        <v>177.82783000000001</v>
      </c>
      <c r="I130" s="72">
        <v>0.9365</v>
      </c>
      <c r="J130" s="72"/>
      <c r="K130" s="72"/>
      <c r="L130" s="163">
        <f>H130-J130</f>
        <v>177.82783000000001</v>
      </c>
      <c r="M130" s="239"/>
      <c r="N130" s="241" t="s">
        <v>324</v>
      </c>
      <c r="O130" s="239"/>
      <c r="P130" s="239"/>
      <c r="Q130" s="239"/>
      <c r="R130" s="239"/>
      <c r="S130" s="239"/>
    </row>
    <row r="131" spans="7:19" x14ac:dyDescent="0.35">
      <c r="G131" s="162"/>
      <c r="H131" s="72">
        <v>177.3314</v>
      </c>
      <c r="I131" s="72">
        <v>1.006</v>
      </c>
      <c r="J131" s="72"/>
      <c r="K131" s="72"/>
      <c r="L131" s="163">
        <f t="shared" ref="L131:L133" si="7">H131-J131</f>
        <v>177.3314</v>
      </c>
      <c r="M131" s="239"/>
      <c r="N131" s="159" t="s">
        <v>300</v>
      </c>
      <c r="O131" s="160"/>
      <c r="P131" s="160"/>
      <c r="Q131" s="160"/>
      <c r="R131" s="160"/>
      <c r="S131" s="161"/>
    </row>
    <row r="132" spans="7:19" x14ac:dyDescent="0.35">
      <c r="G132" s="162"/>
      <c r="H132" s="72">
        <v>175.6491</v>
      </c>
      <c r="I132" s="72">
        <v>0.88819999999999999</v>
      </c>
      <c r="J132" s="72"/>
      <c r="K132" s="72"/>
      <c r="L132" s="163">
        <f t="shared" si="7"/>
        <v>175.6491</v>
      </c>
      <c r="M132" s="239"/>
      <c r="N132" s="162" t="s">
        <v>302</v>
      </c>
      <c r="O132" s="72" t="s">
        <v>212</v>
      </c>
      <c r="P132" s="72" t="s">
        <v>303</v>
      </c>
      <c r="Q132" s="72" t="s">
        <v>214</v>
      </c>
      <c r="R132" s="72" t="s">
        <v>303</v>
      </c>
      <c r="S132" s="163" t="s">
        <v>215</v>
      </c>
    </row>
    <row r="133" spans="7:19" x14ac:dyDescent="0.35">
      <c r="G133" s="162"/>
      <c r="H133" s="169">
        <v>176.14203000000001</v>
      </c>
      <c r="I133" s="169">
        <v>0.65139999999999998</v>
      </c>
      <c r="J133" s="72"/>
      <c r="K133" s="72"/>
      <c r="L133" s="163">
        <f t="shared" si="7"/>
        <v>176.14203000000001</v>
      </c>
      <c r="M133" s="239"/>
      <c r="N133" s="162"/>
      <c r="O133" s="72">
        <v>177.3314</v>
      </c>
      <c r="P133" s="72">
        <v>1.006</v>
      </c>
      <c r="Q133" s="72"/>
      <c r="R133" s="72"/>
      <c r="S133" s="163">
        <f>O133-Q133</f>
        <v>177.3314</v>
      </c>
    </row>
    <row r="134" spans="7:19" x14ac:dyDescent="0.35">
      <c r="G134" s="162"/>
      <c r="H134" s="72"/>
      <c r="I134" s="72"/>
      <c r="J134" s="72"/>
      <c r="K134" s="72" t="s">
        <v>216</v>
      </c>
      <c r="L134" s="163">
        <f>AVERAGE(L130:L133)</f>
        <v>176.73758999999998</v>
      </c>
      <c r="M134" s="239"/>
      <c r="N134" s="162"/>
      <c r="O134" s="72"/>
      <c r="P134" s="72"/>
      <c r="Q134" s="72"/>
      <c r="R134" s="72" t="s">
        <v>216</v>
      </c>
      <c r="S134" s="163">
        <f>AVERAGE(S133:S133)</f>
        <v>177.3314</v>
      </c>
    </row>
    <row r="135" spans="7:19" x14ac:dyDescent="0.35">
      <c r="G135" s="162"/>
      <c r="H135" s="72"/>
      <c r="I135" s="72"/>
      <c r="J135" s="72"/>
      <c r="K135" s="72"/>
      <c r="L135" s="163"/>
      <c r="M135" s="239"/>
      <c r="N135" s="162"/>
      <c r="O135" s="72" t="s">
        <v>170</v>
      </c>
      <c r="P135" s="72"/>
      <c r="Q135" s="72"/>
      <c r="R135" s="72"/>
      <c r="S135" s="163" t="s">
        <v>170</v>
      </c>
    </row>
    <row r="136" spans="7:19" x14ac:dyDescent="0.35">
      <c r="G136" s="162"/>
      <c r="H136" s="72"/>
      <c r="I136" s="72"/>
      <c r="J136" s="72"/>
      <c r="K136" s="72"/>
      <c r="L136" s="163"/>
      <c r="M136" s="239"/>
      <c r="N136" s="164" t="s">
        <v>317</v>
      </c>
      <c r="O136" s="72"/>
      <c r="P136" s="72"/>
      <c r="Q136" s="72"/>
      <c r="R136" s="72"/>
      <c r="S136" s="163"/>
    </row>
    <row r="137" spans="7:19" x14ac:dyDescent="0.35">
      <c r="G137" s="162"/>
      <c r="H137" s="72"/>
      <c r="I137" s="72"/>
      <c r="J137" s="72"/>
      <c r="K137" s="72"/>
      <c r="L137" s="163" t="s">
        <v>170</v>
      </c>
      <c r="M137" s="239"/>
      <c r="N137" s="162" t="s">
        <v>333</v>
      </c>
      <c r="O137" s="72" t="s">
        <v>212</v>
      </c>
      <c r="P137" s="72" t="s">
        <v>303</v>
      </c>
      <c r="Q137" s="72" t="s">
        <v>214</v>
      </c>
      <c r="R137" s="72" t="s">
        <v>303</v>
      </c>
      <c r="S137" s="163" t="s">
        <v>215</v>
      </c>
    </row>
    <row r="138" spans="7:19" ht="18.5" x14ac:dyDescent="0.35">
      <c r="G138" s="172" t="s">
        <v>334</v>
      </c>
      <c r="H138" s="72"/>
      <c r="I138" s="72"/>
      <c r="J138" s="72"/>
      <c r="K138" s="72"/>
      <c r="L138" s="163"/>
      <c r="M138" s="239"/>
      <c r="N138" s="162"/>
      <c r="O138" s="72">
        <v>545.19588999999996</v>
      </c>
      <c r="P138" s="72">
        <v>1.4390000000000001</v>
      </c>
      <c r="Q138" s="72"/>
      <c r="R138" s="72"/>
      <c r="S138" s="163">
        <f>O138-Q138</f>
        <v>545.19588999999996</v>
      </c>
    </row>
    <row r="139" spans="7:19" x14ac:dyDescent="0.35">
      <c r="G139" s="162" t="s">
        <v>335</v>
      </c>
      <c r="H139" s="72" t="s">
        <v>212</v>
      </c>
      <c r="I139" s="72" t="s">
        <v>303</v>
      </c>
      <c r="J139" s="72" t="s">
        <v>214</v>
      </c>
      <c r="K139" s="72" t="s">
        <v>213</v>
      </c>
      <c r="L139" s="163" t="s">
        <v>215</v>
      </c>
      <c r="M139" s="239"/>
      <c r="N139" s="162"/>
      <c r="O139" s="72"/>
      <c r="P139" s="72"/>
      <c r="Q139" s="72"/>
      <c r="R139" s="72" t="s">
        <v>216</v>
      </c>
      <c r="S139" s="163">
        <f>AVERAGE(S138:S138)</f>
        <v>545.19588999999996</v>
      </c>
    </row>
    <row r="140" spans="7:19" x14ac:dyDescent="0.35">
      <c r="G140" s="162"/>
      <c r="H140" s="8">
        <v>503.03689000000003</v>
      </c>
      <c r="I140" s="8">
        <v>1.92</v>
      </c>
      <c r="J140" s="8"/>
      <c r="K140" s="8"/>
      <c r="L140" s="171">
        <f>H140-J140</f>
        <v>503.03689000000003</v>
      </c>
      <c r="M140" s="239"/>
      <c r="N140" s="162"/>
      <c r="O140" s="72"/>
      <c r="P140" s="72"/>
      <c r="Q140" s="72"/>
      <c r="R140" s="72"/>
      <c r="S140" s="163"/>
    </row>
    <row r="141" spans="7:19" ht="58.5" thickBot="1" x14ac:dyDescent="0.4">
      <c r="G141" s="162"/>
      <c r="H141" s="72">
        <v>504.48012</v>
      </c>
      <c r="I141" s="72">
        <v>1.087</v>
      </c>
      <c r="J141" s="72"/>
      <c r="K141" s="72"/>
      <c r="L141" s="171">
        <f t="shared" ref="L141:L143" si="8">H141-J141</f>
        <v>504.48012</v>
      </c>
      <c r="M141" s="239"/>
      <c r="N141" s="165" t="s">
        <v>320</v>
      </c>
      <c r="O141" s="170">
        <f>(S139/S134)*N47</f>
        <v>36.631759314644079</v>
      </c>
      <c r="P141" s="166" t="s">
        <v>170</v>
      </c>
      <c r="Q141" s="166"/>
      <c r="R141" s="166"/>
      <c r="S141" s="167"/>
    </row>
    <row r="142" spans="7:19" x14ac:dyDescent="0.35">
      <c r="G142" s="162"/>
      <c r="H142" s="72">
        <v>503.76733000000002</v>
      </c>
      <c r="I142" s="72">
        <v>1.3160000000000001</v>
      </c>
      <c r="J142" s="72"/>
      <c r="K142" s="72"/>
      <c r="L142" s="171">
        <f t="shared" si="8"/>
        <v>503.76733000000002</v>
      </c>
      <c r="M142" s="239"/>
      <c r="N142" s="239"/>
      <c r="O142" s="239"/>
      <c r="P142" s="239"/>
      <c r="Q142" s="239"/>
      <c r="R142" s="239"/>
      <c r="S142" s="239"/>
    </row>
    <row r="143" spans="7:19" x14ac:dyDescent="0.35">
      <c r="G143" s="162"/>
      <c r="H143" s="169">
        <v>503.02062999999998</v>
      </c>
      <c r="I143" s="169">
        <v>1.169</v>
      </c>
      <c r="J143" s="72"/>
      <c r="K143" s="72"/>
      <c r="L143" s="171">
        <f t="shared" si="8"/>
        <v>503.02062999999998</v>
      </c>
      <c r="M143" s="239"/>
      <c r="N143" s="239"/>
      <c r="O143" s="239"/>
      <c r="P143" s="239"/>
      <c r="Q143" s="239"/>
      <c r="R143" s="239"/>
      <c r="S143" s="239"/>
    </row>
    <row r="144" spans="7:19" x14ac:dyDescent="0.35">
      <c r="G144" s="162"/>
      <c r="H144" s="72"/>
      <c r="I144" s="72"/>
      <c r="J144" s="72"/>
      <c r="K144" s="72" t="s">
        <v>216</v>
      </c>
      <c r="L144" s="163">
        <f>AVERAGE(L140:L143)</f>
        <v>503.57624250000003</v>
      </c>
      <c r="M144" s="239"/>
      <c r="N144" s="239"/>
      <c r="O144" s="239"/>
      <c r="P144" s="239"/>
      <c r="Q144" s="239"/>
      <c r="R144" s="239"/>
      <c r="S144" s="239"/>
    </row>
    <row r="145" spans="7:19" x14ac:dyDescent="0.35">
      <c r="G145" s="162"/>
      <c r="H145" s="72"/>
      <c r="I145" s="72"/>
      <c r="J145" s="72"/>
      <c r="K145" s="72"/>
      <c r="L145" s="163"/>
      <c r="M145" s="239" t="s">
        <v>170</v>
      </c>
      <c r="N145" s="239"/>
      <c r="O145" s="239"/>
      <c r="P145" s="239"/>
      <c r="Q145" s="239"/>
      <c r="R145" s="239"/>
      <c r="S145" s="239"/>
    </row>
    <row r="146" spans="7:19" x14ac:dyDescent="0.35">
      <c r="G146" s="162"/>
      <c r="H146" s="72"/>
      <c r="I146" s="72"/>
      <c r="J146" s="72"/>
      <c r="K146" s="72"/>
      <c r="L146" s="163"/>
      <c r="M146" s="239"/>
      <c r="N146" s="239"/>
      <c r="O146" s="239"/>
      <c r="P146" s="239"/>
      <c r="Q146" s="239"/>
      <c r="R146" s="239"/>
      <c r="S146" s="239"/>
    </row>
    <row r="147" spans="7:19" ht="44" thickBot="1" x14ac:dyDescent="0.4">
      <c r="G147" s="168" t="s">
        <v>336</v>
      </c>
      <c r="H147" s="170">
        <f>(L144/L134)*N47</f>
        <v>33.949012871424948</v>
      </c>
      <c r="I147" s="166" t="s">
        <v>170</v>
      </c>
      <c r="J147" s="166"/>
      <c r="K147" s="175" t="s">
        <v>321</v>
      </c>
      <c r="L147" s="176">
        <f>L134/N47</f>
        <v>14.833310305875276</v>
      </c>
      <c r="M147" s="239"/>
      <c r="N147" s="239"/>
      <c r="O147" s="239"/>
      <c r="P147" s="239"/>
      <c r="Q147" s="239"/>
      <c r="R147" s="239"/>
      <c r="S147" s="239"/>
    </row>
    <row r="149" spans="7:19" ht="15" thickBot="1" x14ac:dyDescent="0.4">
      <c r="G149" s="239"/>
      <c r="H149" s="239"/>
      <c r="I149" s="239"/>
      <c r="J149" s="239"/>
      <c r="K149" s="239"/>
      <c r="L149" s="239"/>
      <c r="M149" s="239"/>
      <c r="N149" s="239"/>
      <c r="O149" s="239"/>
      <c r="P149" s="239"/>
      <c r="Q149" s="239"/>
      <c r="R149" s="239"/>
      <c r="S149" s="239"/>
    </row>
    <row r="150" spans="7:19" x14ac:dyDescent="0.35">
      <c r="G150" s="159" t="s">
        <v>300</v>
      </c>
      <c r="H150" s="160"/>
      <c r="I150" s="160"/>
      <c r="J150" s="160"/>
      <c r="K150" s="160"/>
      <c r="L150" s="161"/>
      <c r="M150" s="239"/>
      <c r="N150" s="239"/>
      <c r="O150" s="239"/>
      <c r="P150" s="239"/>
      <c r="Q150" s="239"/>
      <c r="R150" s="239"/>
      <c r="S150" s="239"/>
    </row>
    <row r="151" spans="7:19" x14ac:dyDescent="0.35">
      <c r="G151" s="162" t="s">
        <v>337</v>
      </c>
      <c r="H151" s="72" t="s">
        <v>212</v>
      </c>
      <c r="I151" s="72" t="s">
        <v>303</v>
      </c>
      <c r="J151" s="72" t="s">
        <v>214</v>
      </c>
      <c r="K151" s="72" t="s">
        <v>213</v>
      </c>
      <c r="L151" s="163" t="s">
        <v>215</v>
      </c>
      <c r="M151" s="239"/>
      <c r="N151" s="239"/>
      <c r="O151" s="239"/>
      <c r="P151" s="239"/>
      <c r="Q151" s="239"/>
      <c r="R151" s="239"/>
      <c r="S151" s="239"/>
    </row>
    <row r="152" spans="7:19" x14ac:dyDescent="0.35">
      <c r="G152" s="162"/>
      <c r="H152" s="72">
        <v>178.70475999999999</v>
      </c>
      <c r="I152" s="72">
        <v>0.94040000000000001</v>
      </c>
      <c r="J152" s="72"/>
      <c r="K152" s="72"/>
      <c r="L152" s="163">
        <f>H152-J152</f>
        <v>178.70475999999999</v>
      </c>
      <c r="M152" s="239"/>
      <c r="N152" s="239"/>
      <c r="O152" s="239"/>
      <c r="P152" s="239"/>
      <c r="Q152" s="239"/>
      <c r="R152" s="239"/>
      <c r="S152" s="239"/>
    </row>
    <row r="153" spans="7:19" ht="15" thickBot="1" x14ac:dyDescent="0.4">
      <c r="G153" s="162"/>
      <c r="H153" s="72">
        <v>176.82946999999999</v>
      </c>
      <c r="I153" s="72">
        <v>1.218</v>
      </c>
      <c r="J153" s="72"/>
      <c r="K153" s="72"/>
      <c r="L153" s="163">
        <f t="shared" ref="L153:L155" si="9">H153-J153</f>
        <v>176.82946999999999</v>
      </c>
      <c r="M153" s="239"/>
      <c r="N153" s="241" t="s">
        <v>324</v>
      </c>
      <c r="O153" s="239"/>
      <c r="P153" s="239"/>
      <c r="Q153" s="239"/>
      <c r="R153" s="239"/>
      <c r="S153" s="239"/>
    </row>
    <row r="154" spans="7:19" x14ac:dyDescent="0.35">
      <c r="G154" s="162"/>
      <c r="H154" s="72">
        <v>176.34879000000001</v>
      </c>
      <c r="I154" s="72">
        <v>0.71409999999999996</v>
      </c>
      <c r="J154" s="72"/>
      <c r="K154" s="72"/>
      <c r="L154" s="163">
        <f t="shared" si="9"/>
        <v>176.34879000000001</v>
      </c>
      <c r="M154" s="239"/>
      <c r="N154" s="159" t="s">
        <v>300</v>
      </c>
      <c r="O154" s="160"/>
      <c r="P154" s="160"/>
      <c r="Q154" s="160"/>
      <c r="R154" s="160"/>
      <c r="S154" s="161"/>
    </row>
    <row r="155" spans="7:19" x14ac:dyDescent="0.35">
      <c r="G155" s="162"/>
      <c r="H155" s="169">
        <v>175.39261999999999</v>
      </c>
      <c r="I155" s="169">
        <v>1.5269999999999999</v>
      </c>
      <c r="J155" s="72"/>
      <c r="K155" s="72"/>
      <c r="L155" s="163">
        <f t="shared" si="9"/>
        <v>175.39261999999999</v>
      </c>
      <c r="M155" s="239"/>
      <c r="N155" s="162" t="s">
        <v>337</v>
      </c>
      <c r="O155" s="72" t="s">
        <v>212</v>
      </c>
      <c r="P155" s="72" t="s">
        <v>303</v>
      </c>
      <c r="Q155" s="72" t="s">
        <v>214</v>
      </c>
      <c r="R155" s="72" t="s">
        <v>303</v>
      </c>
      <c r="S155" s="163" t="s">
        <v>215</v>
      </c>
    </row>
    <row r="156" spans="7:19" x14ac:dyDescent="0.35">
      <c r="G156" s="162"/>
      <c r="H156" s="72"/>
      <c r="I156" s="72"/>
      <c r="J156" s="72"/>
      <c r="K156" s="72" t="s">
        <v>216</v>
      </c>
      <c r="L156" s="163">
        <f>AVERAGE(L152:L155)</f>
        <v>176.81890999999999</v>
      </c>
      <c r="M156" s="239"/>
      <c r="N156" s="162"/>
      <c r="O156" s="72">
        <v>176.82946999999999</v>
      </c>
      <c r="P156" s="72">
        <v>1.218</v>
      </c>
      <c r="Q156" s="72"/>
      <c r="R156" s="72"/>
      <c r="S156" s="163">
        <f>O156-Q156</f>
        <v>176.82946999999999</v>
      </c>
    </row>
    <row r="157" spans="7:19" x14ac:dyDescent="0.35">
      <c r="G157" s="162"/>
      <c r="H157" s="72"/>
      <c r="I157" s="72"/>
      <c r="J157" s="72"/>
      <c r="K157" s="72"/>
      <c r="L157" s="163"/>
      <c r="M157" s="239"/>
      <c r="N157" s="162"/>
      <c r="O157" s="72"/>
      <c r="P157" s="72"/>
      <c r="Q157" s="72"/>
      <c r="R157" s="72" t="s">
        <v>216</v>
      </c>
      <c r="S157" s="163">
        <f>AVERAGE(S156:S156)</f>
        <v>176.82946999999999</v>
      </c>
    </row>
    <row r="158" spans="7:19" x14ac:dyDescent="0.35">
      <c r="G158" s="162"/>
      <c r="H158" s="72"/>
      <c r="I158" s="72"/>
      <c r="J158" s="72"/>
      <c r="K158" s="72"/>
      <c r="L158" s="163"/>
      <c r="M158" s="239"/>
      <c r="N158" s="162"/>
      <c r="O158" s="72" t="s">
        <v>170</v>
      </c>
      <c r="P158" s="72"/>
      <c r="Q158" s="72"/>
      <c r="R158" s="72"/>
      <c r="S158" s="163" t="s">
        <v>170</v>
      </c>
    </row>
    <row r="159" spans="7:19" x14ac:dyDescent="0.35">
      <c r="G159" s="162"/>
      <c r="H159" s="72"/>
      <c r="I159" s="72"/>
      <c r="J159" s="72"/>
      <c r="K159" s="72"/>
      <c r="L159" s="163" t="s">
        <v>170</v>
      </c>
      <c r="M159" s="239"/>
      <c r="N159" s="164" t="s">
        <v>317</v>
      </c>
      <c r="O159" s="72"/>
      <c r="P159" s="72"/>
      <c r="Q159" s="72"/>
      <c r="R159" s="72"/>
      <c r="S159" s="163"/>
    </row>
    <row r="160" spans="7:19" ht="18.5" x14ac:dyDescent="0.35">
      <c r="G160" s="172" t="s">
        <v>338</v>
      </c>
      <c r="H160" s="72"/>
      <c r="I160" s="72"/>
      <c r="J160" s="72"/>
      <c r="K160" s="72"/>
      <c r="L160" s="163"/>
      <c r="M160" s="239"/>
      <c r="N160" s="162" t="s">
        <v>339</v>
      </c>
      <c r="O160" s="72" t="s">
        <v>212</v>
      </c>
      <c r="P160" s="72" t="s">
        <v>303</v>
      </c>
      <c r="Q160" s="72" t="s">
        <v>214</v>
      </c>
      <c r="R160" s="72" t="s">
        <v>303</v>
      </c>
      <c r="S160" s="163" t="s">
        <v>215</v>
      </c>
    </row>
    <row r="161" spans="7:19" x14ac:dyDescent="0.35">
      <c r="G161" s="162" t="s">
        <v>340</v>
      </c>
      <c r="H161" s="72" t="s">
        <v>212</v>
      </c>
      <c r="I161" s="72" t="s">
        <v>303</v>
      </c>
      <c r="J161" s="72" t="s">
        <v>214</v>
      </c>
      <c r="K161" s="72" t="s">
        <v>213</v>
      </c>
      <c r="L161" s="163" t="s">
        <v>215</v>
      </c>
      <c r="M161" s="239"/>
      <c r="N161" s="162"/>
      <c r="O161" s="72">
        <v>545.89858000000004</v>
      </c>
      <c r="P161" s="72">
        <v>1.0049999999999999</v>
      </c>
      <c r="Q161" s="72"/>
      <c r="R161" s="72"/>
      <c r="S161" s="163">
        <f>O161-Q161</f>
        <v>545.89858000000004</v>
      </c>
    </row>
    <row r="162" spans="7:19" x14ac:dyDescent="0.35">
      <c r="G162" s="162"/>
      <c r="H162" s="8">
        <v>541.58972000000006</v>
      </c>
      <c r="I162" s="8">
        <v>1.788</v>
      </c>
      <c r="J162" s="8"/>
      <c r="K162" s="8"/>
      <c r="L162" s="171">
        <f>H162-J162</f>
        <v>541.58972000000006</v>
      </c>
      <c r="M162" s="239"/>
      <c r="N162" s="162"/>
      <c r="O162" s="72"/>
      <c r="P162" s="72"/>
      <c r="Q162" s="72"/>
      <c r="R162" s="72" t="s">
        <v>216</v>
      </c>
      <c r="S162" s="163">
        <f>AVERAGE(S161:S161)</f>
        <v>545.89858000000004</v>
      </c>
    </row>
    <row r="163" spans="7:19" x14ac:dyDescent="0.35">
      <c r="G163" s="162"/>
      <c r="H163" s="72">
        <v>532.81578000000002</v>
      </c>
      <c r="I163" s="72">
        <v>1.821</v>
      </c>
      <c r="J163" s="72"/>
      <c r="K163" s="72"/>
      <c r="L163" s="171">
        <f t="shared" ref="L163:L165" si="10">H163-J163</f>
        <v>532.81578000000002</v>
      </c>
      <c r="M163" s="239"/>
      <c r="N163" s="162"/>
      <c r="O163" s="72"/>
      <c r="P163" s="72"/>
      <c r="Q163" s="72"/>
      <c r="R163" s="72"/>
      <c r="S163" s="163"/>
    </row>
    <row r="164" spans="7:19" ht="58.5" thickBot="1" x14ac:dyDescent="0.4">
      <c r="G164" s="162"/>
      <c r="H164" s="72">
        <v>520.91489999999999</v>
      </c>
      <c r="I164" s="72">
        <v>0.97289999999999999</v>
      </c>
      <c r="J164" s="72"/>
      <c r="K164" s="72"/>
      <c r="L164" s="171">
        <f t="shared" si="10"/>
        <v>520.91489999999999</v>
      </c>
      <c r="M164" s="239"/>
      <c r="N164" s="165" t="s">
        <v>320</v>
      </c>
      <c r="O164" s="170">
        <f>(S162/S157)*N47</f>
        <v>36.783086288648704</v>
      </c>
      <c r="P164" s="166" t="s">
        <v>170</v>
      </c>
      <c r="Q164" s="166"/>
      <c r="R164" s="166"/>
      <c r="S164" s="167"/>
    </row>
    <row r="165" spans="7:19" x14ac:dyDescent="0.35">
      <c r="G165" s="162"/>
      <c r="H165" s="169">
        <v>521.16669000000002</v>
      </c>
      <c r="I165" s="169">
        <v>1.3839999999999999</v>
      </c>
      <c r="J165" s="72"/>
      <c r="K165" s="72"/>
      <c r="L165" s="171">
        <f t="shared" si="10"/>
        <v>521.16669000000002</v>
      </c>
      <c r="M165" s="239"/>
      <c r="N165" s="239"/>
      <c r="O165" s="239"/>
      <c r="P165" s="239"/>
      <c r="Q165" s="239"/>
      <c r="R165" s="239"/>
      <c r="S165" s="239"/>
    </row>
    <row r="166" spans="7:19" x14ac:dyDescent="0.35">
      <c r="G166" s="162"/>
      <c r="H166" s="72"/>
      <c r="I166" s="72"/>
      <c r="J166" s="72"/>
      <c r="K166" s="72" t="s">
        <v>216</v>
      </c>
      <c r="L166" s="163">
        <f>AVERAGE(L162:L165)</f>
        <v>529.12177250000002</v>
      </c>
      <c r="M166" s="239"/>
      <c r="N166" s="239"/>
      <c r="O166" s="239"/>
      <c r="P166" s="239"/>
      <c r="Q166" s="239"/>
      <c r="R166" s="239"/>
      <c r="S166" s="239"/>
    </row>
    <row r="167" spans="7:19" x14ac:dyDescent="0.35">
      <c r="G167" s="162"/>
      <c r="H167" s="72"/>
      <c r="I167" s="72"/>
      <c r="J167" s="72"/>
      <c r="K167" s="72"/>
      <c r="L167" s="163"/>
      <c r="M167" s="239" t="s">
        <v>170</v>
      </c>
      <c r="N167" s="239"/>
      <c r="O167" s="239"/>
      <c r="P167" s="239"/>
      <c r="Q167" s="239"/>
      <c r="R167" s="239"/>
      <c r="S167" s="239"/>
    </row>
    <row r="168" spans="7:19" x14ac:dyDescent="0.35">
      <c r="G168" s="162"/>
      <c r="H168" s="72"/>
      <c r="I168" s="72"/>
      <c r="J168" s="72"/>
      <c r="K168" s="72"/>
      <c r="L168" s="163"/>
      <c r="M168" s="239"/>
      <c r="N168" s="239"/>
      <c r="O168" s="239"/>
      <c r="P168" s="239"/>
      <c r="Q168" s="239"/>
      <c r="R168" s="239"/>
      <c r="S168" s="239"/>
    </row>
    <row r="169" spans="7:19" ht="44" thickBot="1" x14ac:dyDescent="0.4">
      <c r="G169" s="168" t="s">
        <v>341</v>
      </c>
      <c r="H169" s="170">
        <f>(L166/L156)*N47</f>
        <v>35.654780729888479</v>
      </c>
      <c r="I169" s="166" t="s">
        <v>170</v>
      </c>
      <c r="J169" s="166"/>
      <c r="K169" s="175" t="s">
        <v>321</v>
      </c>
      <c r="L169" s="176">
        <f>L156/N47</f>
        <v>14.840135366656483</v>
      </c>
      <c r="M169" s="239"/>
      <c r="N169" s="239"/>
      <c r="O169" s="239"/>
      <c r="P169" s="239"/>
      <c r="Q169" s="239"/>
      <c r="R169" s="239"/>
      <c r="S169" s="239"/>
    </row>
    <row r="174" spans="7:19" ht="29" x14ac:dyDescent="0.35">
      <c r="G174" s="239"/>
      <c r="H174" s="239"/>
      <c r="I174" s="239"/>
      <c r="J174" s="239"/>
      <c r="K174" s="239"/>
      <c r="L174" s="239"/>
      <c r="M174" s="174" t="s">
        <v>342</v>
      </c>
      <c r="N174" s="239"/>
      <c r="O174" s="239"/>
      <c r="P174" s="239"/>
      <c r="Q174" s="239"/>
      <c r="R174" s="239"/>
      <c r="S174" s="239"/>
    </row>
    <row r="175" spans="7:19" x14ac:dyDescent="0.35">
      <c r="G175" s="239"/>
      <c r="H175" s="239"/>
      <c r="I175" s="239"/>
      <c r="J175" s="239"/>
      <c r="K175" s="239"/>
      <c r="L175" s="239"/>
      <c r="M175" s="265" t="s">
        <v>343</v>
      </c>
      <c r="N175" s="51">
        <f>H81</f>
        <v>36.603970002660319</v>
      </c>
      <c r="O175" s="239"/>
      <c r="P175" s="239"/>
      <c r="Q175" s="239"/>
      <c r="R175" s="239"/>
      <c r="S175" s="239"/>
    </row>
    <row r="176" spans="7:19" x14ac:dyDescent="0.35">
      <c r="G176" s="239"/>
      <c r="H176" s="239"/>
      <c r="I176" s="239"/>
      <c r="J176" s="239"/>
      <c r="K176" s="239"/>
      <c r="L176" s="239"/>
      <c r="M176" s="265" t="s">
        <v>344</v>
      </c>
      <c r="N176" s="51">
        <f>H169</f>
        <v>35.654780729888479</v>
      </c>
      <c r="O176" s="239"/>
      <c r="P176" s="239"/>
      <c r="Q176" s="239"/>
      <c r="R176" s="239"/>
      <c r="S176" s="239"/>
    </row>
    <row r="177" spans="13:14" x14ac:dyDescent="0.35">
      <c r="M177" s="265" t="s">
        <v>345</v>
      </c>
      <c r="N177" s="51">
        <f>H103</f>
        <v>33.47437493266689</v>
      </c>
    </row>
    <row r="178" spans="13:14" x14ac:dyDescent="0.35">
      <c r="M178" s="265" t="s">
        <v>346</v>
      </c>
      <c r="N178" s="51">
        <f>H125</f>
        <v>28.764465849281677</v>
      </c>
    </row>
    <row r="179" spans="13:14" x14ac:dyDescent="0.35">
      <c r="M179" s="265" t="s">
        <v>347</v>
      </c>
      <c r="N179" s="51">
        <f>H147</f>
        <v>33.949012871424948</v>
      </c>
    </row>
    <row r="180" spans="13:14" x14ac:dyDescent="0.35">
      <c r="M180" s="265" t="s">
        <v>348</v>
      </c>
      <c r="N180" s="265" t="s">
        <v>349</v>
      </c>
    </row>
    <row r="182" spans="13:14" x14ac:dyDescent="0.35">
      <c r="M182" s="177" t="s">
        <v>350</v>
      </c>
      <c r="N182" s="244">
        <f>AVERAGE(L169,L147,L125,L103,L81)</f>
        <v>14.811095295353004</v>
      </c>
    </row>
    <row r="189" spans="13:14" x14ac:dyDescent="0.35">
      <c r="M189" s="239" t="s">
        <v>170</v>
      </c>
      <c r="N189" s="239"/>
    </row>
  </sheetData>
  <mergeCells count="20">
    <mergeCell ref="O66:P66"/>
    <mergeCell ref="N70:R70"/>
    <mergeCell ref="O81:U81"/>
    <mergeCell ref="Q41:R41"/>
    <mergeCell ref="C58:H58"/>
    <mergeCell ref="B54:E54"/>
    <mergeCell ref="B50:E50"/>
    <mergeCell ref="C59:H59"/>
    <mergeCell ref="E55:G55"/>
    <mergeCell ref="E56:G56"/>
    <mergeCell ref="C51:G51"/>
    <mergeCell ref="I58:K58"/>
    <mergeCell ref="B52:F52"/>
    <mergeCell ref="B53:H53"/>
    <mergeCell ref="G29:J29"/>
    <mergeCell ref="B2:G2"/>
    <mergeCell ref="C3:G3"/>
    <mergeCell ref="C8:G8"/>
    <mergeCell ref="C5:G5"/>
    <mergeCell ref="I27:L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C2EC7730FFA14386CA2BFA946C6B6D" ma:contentTypeVersion="16" ma:contentTypeDescription="Create a new document." ma:contentTypeScope="" ma:versionID="cb224a3c322877fa7fd84aa2321eab64">
  <xsd:schema xmlns:xsd="http://www.w3.org/2001/XMLSchema" xmlns:xs="http://www.w3.org/2001/XMLSchema" xmlns:p="http://schemas.microsoft.com/office/2006/metadata/properties" xmlns:ns2="fa26c5a3-a88d-4b32-866a-f49592dbdacd" xmlns:ns3="b3bb28de-e8e2-475d-a59f-f896f40b632f" targetNamespace="http://schemas.microsoft.com/office/2006/metadata/properties" ma:root="true" ma:fieldsID="6e7ae0302d891ce0d39886dc0127cd76" ns2:_="" ns3:_="">
    <xsd:import namespace="fa26c5a3-a88d-4b32-866a-f49592dbdacd"/>
    <xsd:import namespace="b3bb28de-e8e2-475d-a59f-f896f40b6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6c5a3-a88d-4b32-866a-f49592dbd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a08de8c-21c0-4d44-a8d6-d49cbc5eaf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b28de-e8e2-475d-a59f-f896f40b63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2f064c5-fb15-41b1-b8fd-6a0c06d53c97}" ma:internalName="TaxCatchAll" ma:showField="CatchAllData" ma:web="b3bb28de-e8e2-475d-a59f-f896f40b6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3bb28de-e8e2-475d-a59f-f896f40b632f">
      <UserInfo>
        <DisplayName>Rheinhardt Sieberhagen</DisplayName>
        <AccountId>14</AccountId>
        <AccountType/>
      </UserInfo>
    </SharedWithUsers>
    <lcf76f155ced4ddcb4097134ff3c332f xmlns="fa26c5a3-a88d-4b32-866a-f49592dbdacd">
      <Terms xmlns="http://schemas.microsoft.com/office/infopath/2007/PartnerControls"/>
    </lcf76f155ced4ddcb4097134ff3c332f>
    <TaxCatchAll xmlns="b3bb28de-e8e2-475d-a59f-f896f40b632f" xsi:nil="true"/>
  </documentManagement>
</p:properties>
</file>

<file path=customXml/itemProps1.xml><?xml version="1.0" encoding="utf-8"?>
<ds:datastoreItem xmlns:ds="http://schemas.openxmlformats.org/officeDocument/2006/customXml" ds:itemID="{1E4655DF-4E85-42A1-970E-E1208CBB239E}"/>
</file>

<file path=customXml/itemProps2.xml><?xml version="1.0" encoding="utf-8"?>
<ds:datastoreItem xmlns:ds="http://schemas.openxmlformats.org/officeDocument/2006/customXml" ds:itemID="{BA0602B3-D55B-413B-B531-2E9B3C4EAD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5C4561-E75A-4640-80C0-07FABBD2FD0A}">
  <ds:schemaRefs>
    <ds:schemaRef ds:uri="http://schemas.microsoft.com/office/2006/metadata/properties"/>
    <ds:schemaRef ds:uri="http://schemas.microsoft.com/office/infopath/2007/PartnerControls"/>
    <ds:schemaRef ds:uri="b3bb28de-e8e2-475d-a59f-f896f40b63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5 Sep</vt:lpstr>
      <vt:lpstr>6 Sep</vt:lpstr>
      <vt:lpstr>7 Sep</vt:lpstr>
      <vt:lpstr>10 Sep</vt:lpstr>
      <vt:lpstr>13 Sep</vt:lpstr>
      <vt:lpstr>14 Sep</vt:lpstr>
      <vt:lpstr>22 Nov</vt:lpstr>
      <vt:lpstr>7 Jan 2019</vt:lpstr>
      <vt:lpstr>16 - 21 Jan 2019</vt:lpstr>
      <vt:lpstr>Averaged data</vt:lpstr>
      <vt:lpstr>13 Dec</vt:lpstr>
      <vt:lpstr>Sheet3</vt:lpstr>
      <vt:lpstr>'6 Sep'!Print_Area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Irma Rabe</dc:creator>
  <cp:keywords/>
  <dc:description/>
  <cp:lastModifiedBy>Irma Rabe</cp:lastModifiedBy>
  <cp:revision/>
  <dcterms:created xsi:type="dcterms:W3CDTF">2018-09-05T12:02:16Z</dcterms:created>
  <dcterms:modified xsi:type="dcterms:W3CDTF">2021-08-24T19:27:34Z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0x01010059C2EC7730FFA14386CA2BFA946C6B6D</vt:lpwstr>
  </property>
  <property fmtid="{D5CDD505-2E9C-101B-9397-08002B2CF9AE}" pid="3" name="AuthorIds_UIVersion_5632">
    <vt:lpwstr>47</vt:lpwstr>
  </property>
</Properties>
</file>