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nmisaorg.sharepoint.com/sites/pr/Shared Documents/PROJECT PLANNING/Maintenance of NMS for RA SR/Spectral response/Wavelength calibrations/200 - 450 nm/"/>
    </mc:Choice>
  </mc:AlternateContent>
  <xr:revisionPtr revIDLastSave="441" documentId="6_{4D8920D1-53E3-4612-9DDF-31C4A150AD0A}" xr6:coauthVersionLast="47" xr6:coauthVersionMax="47" xr10:uidLastSave="{81729603-144C-4576-8B14-8A88BA861937}"/>
  <bookViews>
    <workbookView xWindow="28680" yWindow="-120" windowWidth="29040" windowHeight="15840" activeTab="1" xr2:uid="{00000000-000D-0000-FFFF-FFFF00000000}"/>
  </bookViews>
  <sheets>
    <sheet name="Calibration Eq" sheetId="14" r:id="rId1"/>
    <sheet name="new cal eq" sheetId="20" r:id="rId2"/>
  </sheets>
  <definedNames>
    <definedName name="_xlnm.Print_Area" localSheetId="1">'new cal eq'!$A$1:$E$18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41" i="20" l="1"/>
  <c r="N40" i="20"/>
  <c r="M34" i="20"/>
  <c r="M36" i="20"/>
  <c r="E35" i="20"/>
  <c r="E34" i="20"/>
  <c r="F34" i="20"/>
  <c r="T40" i="20"/>
  <c r="Q40" i="20"/>
  <c r="I52" i="20" l="1"/>
  <c r="I51" i="20"/>
  <c r="M37" i="20" l="1"/>
  <c r="S34" i="20"/>
  <c r="S35" i="20"/>
  <c r="S36" i="20"/>
  <c r="P37" i="20"/>
  <c r="P34" i="20"/>
  <c r="P35" i="20"/>
  <c r="J37" i="20"/>
  <c r="H36" i="20"/>
  <c r="I36" i="20" s="1"/>
  <c r="H37" i="20"/>
  <c r="I37" i="20" s="1"/>
  <c r="G35" i="20" l="1"/>
  <c r="F35" i="20"/>
  <c r="G34" i="20"/>
  <c r="I44" i="20" l="1"/>
  <c r="I43" i="20"/>
  <c r="I48" i="20"/>
  <c r="I47" i="20"/>
  <c r="T41" i="20"/>
  <c r="I60" i="20"/>
  <c r="I59" i="20"/>
  <c r="I64" i="20"/>
  <c r="I63" i="20"/>
  <c r="Q41" i="20"/>
  <c r="I55" i="20"/>
  <c r="I56" i="20"/>
  <c r="H34" i="20"/>
  <c r="I34" i="20" s="1"/>
  <c r="H35" i="20"/>
  <c r="I35" i="20" s="1"/>
  <c r="J35" i="20" l="1"/>
  <c r="J36" i="20" l="1"/>
  <c r="K41" i="20" s="1"/>
  <c r="K40" i="20" l="1"/>
  <c r="D25" i="14"/>
  <c r="G25" i="14" s="1"/>
  <c r="D26" i="14"/>
  <c r="G26" i="14" s="1"/>
  <c r="D27" i="14"/>
  <c r="J27" i="14" s="1"/>
  <c r="D28" i="14"/>
  <c r="G28" i="14" s="1"/>
  <c r="D29" i="14"/>
  <c r="G29" i="14" s="1"/>
  <c r="D30" i="14"/>
  <c r="G30" i="14" s="1"/>
  <c r="D31" i="14"/>
  <c r="J31" i="14" s="1"/>
  <c r="D32" i="14"/>
  <c r="G32" i="14" s="1"/>
  <c r="D33" i="14"/>
  <c r="G33" i="14" s="1"/>
  <c r="D34" i="14"/>
  <c r="G34" i="14" s="1"/>
  <c r="D24" i="14"/>
  <c r="L24" i="14" s="1"/>
  <c r="M24" i="14" s="1"/>
  <c r="E32" i="14" l="1"/>
  <c r="E30" i="14"/>
  <c r="E25" i="14"/>
  <c r="J29" i="14"/>
  <c r="E26" i="14"/>
  <c r="J30" i="14"/>
  <c r="E34" i="14"/>
  <c r="E29" i="14"/>
  <c r="J34" i="14"/>
  <c r="J26" i="14"/>
  <c r="K26" i="14" s="1"/>
  <c r="E33" i="14"/>
  <c r="E28" i="14"/>
  <c r="J33" i="14"/>
  <c r="J25" i="14"/>
  <c r="K25" i="14" s="1"/>
  <c r="H33" i="14"/>
  <c r="F33" i="14"/>
  <c r="H29" i="14"/>
  <c r="F29" i="14"/>
  <c r="H25" i="14"/>
  <c r="F25" i="14"/>
  <c r="F34" i="14"/>
  <c r="H34" i="14"/>
  <c r="H30" i="14"/>
  <c r="F30" i="14"/>
  <c r="H26" i="14"/>
  <c r="F26" i="14"/>
  <c r="F32" i="14"/>
  <c r="H32" i="14"/>
  <c r="F28" i="14"/>
  <c r="H28" i="14"/>
  <c r="K31" i="14"/>
  <c r="I31" i="14"/>
  <c r="K27" i="14"/>
  <c r="I27" i="14"/>
  <c r="G31" i="14"/>
  <c r="G27" i="14"/>
  <c r="J32" i="14"/>
  <c r="J28" i="14"/>
  <c r="G24" i="14"/>
  <c r="E24" i="14"/>
  <c r="M25" i="14" s="1"/>
  <c r="E31" i="14"/>
  <c r="E27" i="14"/>
  <c r="J24" i="14"/>
  <c r="A17" i="14"/>
  <c r="D19" i="14"/>
  <c r="A18" i="14"/>
  <c r="B19" i="14" s="1"/>
  <c r="I25" i="14" l="1"/>
  <c r="I26" i="14"/>
  <c r="I34" i="14"/>
  <c r="K34" i="14"/>
  <c r="I29" i="14"/>
  <c r="K29" i="14"/>
  <c r="I33" i="14"/>
  <c r="K33" i="14"/>
  <c r="I30" i="14"/>
  <c r="K30" i="14"/>
  <c r="K24" i="14"/>
  <c r="I24" i="14"/>
  <c r="H27" i="14"/>
  <c r="F27" i="14"/>
  <c r="K28" i="14"/>
  <c r="I28" i="14"/>
  <c r="H31" i="14"/>
  <c r="F31" i="14"/>
  <c r="H24" i="14"/>
  <c r="F24" i="14"/>
  <c r="I32" i="14"/>
  <c r="K32" i="14"/>
  <c r="A16" i="14"/>
  <c r="D16" i="14"/>
  <c r="M4" i="14"/>
  <c r="M5" i="14"/>
  <c r="K4" i="14"/>
  <c r="K5" i="14"/>
  <c r="K3" i="14"/>
  <c r="E3" i="14" l="1"/>
</calcChain>
</file>

<file path=xl/sharedStrings.xml><?xml version="1.0" encoding="utf-8"?>
<sst xmlns="http://schemas.openxmlformats.org/spreadsheetml/2006/main" count="68" uniqueCount="40">
  <si>
    <t xml:space="preserve"> #Scan Step</t>
  </si>
  <si>
    <t xml:space="preserve"> #Wavelength</t>
  </si>
  <si>
    <t>Peak</t>
  </si>
  <si>
    <t xml:space="preserve"> #Wavelength
(actual on monochromator)
[Å]</t>
  </si>
  <si>
    <t>True wavelength in vacuum
[Å]</t>
  </si>
  <si>
    <t>True wavelength; corrected
[Å]</t>
  </si>
  <si>
    <t>From text file</t>
  </si>
  <si>
    <t xml:space="preserve"> #Wavelength
(on monochromator counter)
[nm]</t>
  </si>
  <si>
    <t xml:space="preserve"> #Wavelength
(on monochromator counter)
[Å]</t>
  </si>
  <si>
    <t>m</t>
  </si>
  <si>
    <t>Wavelength (x)</t>
  </si>
  <si>
    <t>Steps (y)</t>
  </si>
  <si>
    <t>c</t>
  </si>
  <si>
    <t>Diff in wavelength
[Å]</t>
  </si>
  <si>
    <t>Ar Lines</t>
  </si>
  <si>
    <t>Actual lines in vacuum [nm]</t>
  </si>
  <si>
    <r>
      <t>Actual lines in vacuum [</t>
    </r>
    <r>
      <rPr>
        <sz val="11"/>
        <color theme="1"/>
        <rFont val="Calibri"/>
        <family val="2"/>
      </rPr>
      <t>Å</t>
    </r>
    <r>
      <rPr>
        <sz val="11"/>
        <color theme="1"/>
        <rFont val="Calibri"/>
        <family val="2"/>
        <scheme val="minor"/>
      </rPr>
      <t>]</t>
    </r>
  </si>
  <si>
    <t>Steps</t>
  </si>
  <si>
    <t>5 nm down</t>
  </si>
  <si>
    <t>5 nm up</t>
  </si>
  <si>
    <t>Step size</t>
  </si>
  <si>
    <t>Wavelength in lab air
(24 °C, 50 %RH and 86 kPa)
[Å]</t>
  </si>
  <si>
    <t>435 nm &amp; 546 nm</t>
  </si>
  <si>
    <t>296, 435 &amp; 546 nm</t>
  </si>
  <si>
    <t>Wavelength in lab air
(26 °C, 65 %RH and 88 kPa)
[Å]</t>
  </si>
  <si>
    <t>Wavelength in lab air
(22 °C, 35 %RH and 84 kPa)
[Å]</t>
  </si>
  <si>
    <t>New origin at 435,86 nm</t>
  </si>
  <si>
    <t>Refractive index @ 300 nm [1]</t>
  </si>
  <si>
    <t>True wavelength 
in vacuum
[Å]</t>
  </si>
  <si>
    <t>Difference in 
wavelength 
[Å]</t>
  </si>
  <si>
    <t>Difference in 
wavelength 
[nm]</t>
  </si>
  <si>
    <t>New origin at 546,10 nm</t>
  </si>
  <si>
    <t>253, 296, 435 &amp; 546 nm</t>
  </si>
  <si>
    <t>New origin at 296,7 nm</t>
  </si>
  <si>
    <t>New origin at 253,7 nm</t>
  </si>
  <si>
    <t xml:space="preserve">253, 296, 435 </t>
  </si>
  <si>
    <t>253, 296, 435</t>
  </si>
  <si>
    <t xml:space="preserve">296, 435 nm </t>
  </si>
  <si>
    <t>253, 296 nm</t>
  </si>
  <si>
    <t xml:space="preserve"> #Wavelength
[nm]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</si>
</sst>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#,##0.0000"/>
    <numFmt numFmtId="165" formatCode="#,##0.000"/>
    <numFmt numFmtId="166" formatCode="0.0000000000"/>
    <numFmt numFmtId="167" formatCode="0.000"/>
    <numFmt numFmtId="168" formatCode="0.0"/>
    <numFmt numFmtId="169" formatCode="0.0000"/>
    <numFmt numFmtId="170" formatCode="0.00000"/>
  </numFmts>
  <fonts count="7" x14ac:knownFonts="1"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1"/>
      <color theme="9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rgb="FF92D050"/>
        <bgColor indexed="64"/>
      </patternFill>
    </fill>
    <fill>
      <patternFill patternType="solid">
        <fgColor rgb="FFF2F2F2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2" borderId="0" applyNumberFormat="0" applyBorder="0" applyAlignment="0" applyProtection="0"/>
    <xf numFmtId="0" fontId="3" fillId="4" borderId="5" applyNumberFormat="0" applyAlignment="0" applyProtection="0"/>
    <xf numFmtId="0" fontId="5" fillId="5" borderId="0" applyNumberFormat="0" applyBorder="0" applyAlignment="0" applyProtection="0"/>
  </cellStyleXfs>
  <cellXfs count="87">
    <xf numFmtId="0" fontId="0" fillId="0" borderId="0" xfId="0"/>
    <xf numFmtId="1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164" fontId="0" fillId="0" borderId="0" xfId="0" applyNumberFormat="1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0" fontId="1" fillId="2" borderId="3" xfId="1" applyBorder="1" applyAlignment="1">
      <alignment horizontal="center" vertical="center" wrapText="1"/>
    </xf>
    <xf numFmtId="0" fontId="1" fillId="2" borderId="4" xfId="1" applyBorder="1" applyAlignment="1">
      <alignment horizontal="center" vertical="center" wrapText="1"/>
    </xf>
    <xf numFmtId="0" fontId="1" fillId="2" borderId="0" xfId="1" applyAlignment="1">
      <alignment horizontal="center" vertical="center"/>
    </xf>
    <xf numFmtId="166" fontId="0" fillId="0" borderId="0" xfId="0" applyNumberForma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167" fontId="0" fillId="0" borderId="0" xfId="0" applyNumberFormat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" fontId="3" fillId="4" borderId="5" xfId="2" applyNumberFormat="1" applyAlignment="1">
      <alignment horizontal="center" vertical="center"/>
    </xf>
    <xf numFmtId="0" fontId="1" fillId="2" borderId="0" xfId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0" fontId="2" fillId="0" borderId="0" xfId="1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168" fontId="0" fillId="0" borderId="0" xfId="0" applyNumberFormat="1" applyAlignment="1">
      <alignment horizontal="center" vertical="center"/>
    </xf>
    <xf numFmtId="0" fontId="5" fillId="5" borderId="0" xfId="3" applyAlignment="1">
      <alignment horizontal="center" vertical="center"/>
    </xf>
    <xf numFmtId="167" fontId="0" fillId="0" borderId="2" xfId="0" applyNumberFormat="1" applyBorder="1" applyAlignment="1">
      <alignment horizontal="center" vertical="center"/>
    </xf>
    <xf numFmtId="3" fontId="0" fillId="0" borderId="4" xfId="0" applyNumberFormat="1" applyBorder="1" applyAlignment="1">
      <alignment horizontal="center" vertical="center"/>
    </xf>
    <xf numFmtId="167" fontId="2" fillId="0" borderId="0" xfId="1" applyNumberFormat="1" applyFont="1" applyFill="1" applyAlignment="1">
      <alignment horizontal="center" vertical="center"/>
    </xf>
    <xf numFmtId="0" fontId="0" fillId="0" borderId="0" xfId="0" applyAlignment="1">
      <alignment vertical="center"/>
    </xf>
    <xf numFmtId="0" fontId="2" fillId="6" borderId="0" xfId="1" applyFont="1" applyFill="1" applyAlignment="1">
      <alignment horizontal="center" vertical="center"/>
    </xf>
    <xf numFmtId="169" fontId="2" fillId="6" borderId="0" xfId="1" applyNumberFormat="1" applyFont="1" applyFill="1" applyAlignment="1">
      <alignment horizontal="center" vertical="center"/>
    </xf>
    <xf numFmtId="170" fontId="0" fillId="0" borderId="0" xfId="0" applyNumberFormat="1" applyAlignment="1">
      <alignment horizontal="center" vertical="center"/>
    </xf>
    <xf numFmtId="169" fontId="0" fillId="0" borderId="0" xfId="0" applyNumberFormat="1" applyAlignment="1">
      <alignment horizontal="center" vertical="center"/>
    </xf>
    <xf numFmtId="0" fontId="0" fillId="0" borderId="0" xfId="0" applyAlignment="1">
      <alignment vertical="center" wrapText="1"/>
    </xf>
    <xf numFmtId="0" fontId="5" fillId="0" borderId="0" xfId="3" applyFill="1" applyAlignment="1">
      <alignment horizontal="center" vertical="center" wrapText="1"/>
    </xf>
    <xf numFmtId="0" fontId="5" fillId="0" borderId="0" xfId="3" applyFill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67" fontId="6" fillId="0" borderId="2" xfId="0" applyNumberFormat="1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3" fontId="6" fillId="0" borderId="4" xfId="0" applyNumberFormat="1" applyFon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67" fontId="0" fillId="3" borderId="2" xfId="0" applyNumberFormat="1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3" fontId="0" fillId="3" borderId="4" xfId="0" applyNumberFormat="1" applyFill="1" applyBorder="1" applyAlignment="1">
      <alignment horizontal="center" vertical="center"/>
    </xf>
    <xf numFmtId="0" fontId="0" fillId="3" borderId="10" xfId="0" applyFill="1" applyBorder="1" applyAlignment="1">
      <alignment horizontal="center" vertical="center"/>
    </xf>
    <xf numFmtId="167" fontId="0" fillId="3" borderId="10" xfId="0" applyNumberFormat="1" applyFill="1" applyBorder="1" applyAlignment="1">
      <alignment horizontal="center" vertical="center"/>
    </xf>
    <xf numFmtId="3" fontId="0" fillId="3" borderId="10" xfId="0" applyNumberFormat="1" applyFill="1" applyBorder="1" applyAlignment="1">
      <alignment horizontal="center" vertical="center"/>
    </xf>
    <xf numFmtId="0" fontId="5" fillId="3" borderId="0" xfId="3" applyFill="1" applyAlignment="1">
      <alignment horizontal="center" vertical="center" wrapText="1"/>
    </xf>
    <xf numFmtId="0" fontId="5" fillId="3" borderId="0" xfId="3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167" fontId="0" fillId="0" borderId="2" xfId="0" applyNumberFormat="1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3" fontId="0" fillId="0" borderId="4" xfId="0" applyNumberFormat="1" applyFill="1" applyBorder="1" applyAlignment="1">
      <alignment horizontal="center" vertical="center"/>
    </xf>
    <xf numFmtId="0" fontId="0" fillId="6" borderId="0" xfId="0" applyFill="1" applyAlignment="1">
      <alignment horizontal="center" vertical="center"/>
    </xf>
    <xf numFmtId="0" fontId="0" fillId="0" borderId="0" xfId="0" applyAlignment="1"/>
    <xf numFmtId="0" fontId="0" fillId="0" borderId="0" xfId="0" applyAlignment="1">
      <alignment horizontal="center" vertical="center"/>
    </xf>
    <xf numFmtId="0" fontId="1" fillId="2" borderId="1" xfId="1" applyBorder="1" applyAlignment="1">
      <alignment horizontal="center" vertical="center"/>
    </xf>
    <xf numFmtId="0" fontId="1" fillId="2" borderId="2" xfId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8" xfId="0" applyBorder="1" applyAlignment="1">
      <alignment horizontal="right" vertical="center"/>
    </xf>
    <xf numFmtId="0" fontId="0" fillId="0" borderId="0" xfId="0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1" xfId="0" applyFill="1" applyBorder="1" applyAlignment="1">
      <alignment horizontal="center" vertical="center"/>
    </xf>
    <xf numFmtId="0" fontId="0" fillId="0" borderId="12" xfId="0" applyFill="1" applyBorder="1" applyAlignment="1">
      <alignment horizontal="center" vertical="center"/>
    </xf>
    <xf numFmtId="0" fontId="0" fillId="0" borderId="0" xfId="3" applyFont="1" applyFill="1" applyAlignment="1">
      <alignment horizontal="center" vertical="center" wrapText="1"/>
    </xf>
    <xf numFmtId="0" fontId="5" fillId="0" borderId="9" xfId="3" applyFill="1" applyBorder="1" applyAlignment="1">
      <alignment horizontal="center" vertical="center" wrapText="1"/>
    </xf>
    <xf numFmtId="0" fontId="2" fillId="6" borderId="0" xfId="1" applyFont="1" applyFill="1" applyAlignment="1">
      <alignment horizontal="center" vertical="center" wrapText="1"/>
    </xf>
    <xf numFmtId="0" fontId="2" fillId="6" borderId="9" xfId="1" applyFont="1" applyFill="1" applyBorder="1" applyAlignment="1">
      <alignment horizontal="center" vertical="center" wrapText="1"/>
    </xf>
    <xf numFmtId="0" fontId="5" fillId="5" borderId="0" xfId="3" applyAlignment="1">
      <alignment horizontal="center" vertical="center"/>
    </xf>
    <xf numFmtId="0" fontId="5" fillId="5" borderId="9" xfId="3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6" borderId="0" xfId="0" applyFill="1" applyAlignment="1">
      <alignment horizontal="center" vertical="center" wrapText="1"/>
    </xf>
    <xf numFmtId="0" fontId="0" fillId="6" borderId="9" xfId="0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0" fillId="3" borderId="0" xfId="3" applyFont="1" applyFill="1" applyAlignment="1">
      <alignment horizontal="center" vertical="center" wrapText="1"/>
    </xf>
    <xf numFmtId="0" fontId="5" fillId="3" borderId="9" xfId="3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/>
    </xf>
    <xf numFmtId="0" fontId="0" fillId="3" borderId="12" xfId="0" applyFill="1" applyBorder="1" applyAlignment="1">
      <alignment horizontal="center" vertical="center"/>
    </xf>
  </cellXfs>
  <cellStyles count="4">
    <cellStyle name="20% - Accent3" xfId="3" builtinId="38"/>
    <cellStyle name="Bad" xfId="1" builtinId="27"/>
    <cellStyle name="Calculation" xfId="2" builtinId="2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8.6690373380746769E-3"/>
                  <c:y val="-2.5301087947384244E-2"/>
                </c:manualLayout>
              </c:layout>
              <c:numFmt formatCode="#,##0.00000000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'Calibration Eq'!$J$3:$J$5</c:f>
              <c:numCache>
                <c:formatCode>General</c:formatCode>
                <c:ptCount val="3"/>
                <c:pt idx="0">
                  <c:v>8819.4955800000007</c:v>
                </c:pt>
                <c:pt idx="1">
                  <c:v>9799.7910699999993</c:v>
                </c:pt>
                <c:pt idx="2">
                  <c:v>9923.2937700000002</c:v>
                </c:pt>
              </c:numCache>
            </c:numRef>
          </c:xVal>
          <c:yVal>
            <c:numRef>
              <c:f>'Calibration Eq'!$M$3:$M$5</c:f>
              <c:numCache>
                <c:formatCode>General</c:formatCode>
                <c:ptCount val="3"/>
                <c:pt idx="0">
                  <c:v>0</c:v>
                </c:pt>
                <c:pt idx="1">
                  <c:v>141408</c:v>
                </c:pt>
                <c:pt idx="2">
                  <c:v>159264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5A7-48B2-9C5F-B99D327E57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1306368"/>
        <c:axId val="101307904"/>
      </c:scatterChart>
      <c:valAx>
        <c:axId val="101306368"/>
        <c:scaling>
          <c:orientation val="minMax"/>
          <c:max val="10000"/>
          <c:min val="88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307904"/>
        <c:crosses val="autoZero"/>
        <c:crossBetween val="midCat"/>
      </c:valAx>
      <c:valAx>
        <c:axId val="101307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30636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7421226851851851"/>
          <c:y val="4.3610802469135804E-2"/>
          <c:w val="0.77696990740740746"/>
          <c:h val="0.90415493827160498"/>
        </c:manualLayout>
      </c:layout>
      <c:scatterChart>
        <c:scatterStyle val="lineMarker"/>
        <c:varyColors val="0"/>
        <c:ser>
          <c:idx val="0"/>
          <c:order val="0"/>
          <c:tx>
            <c:v>Monochromator steps corresponding to spectral line peaks</c:v>
          </c:tx>
          <c:spPr>
            <a:ln w="28575" cap="rnd">
              <a:noFill/>
              <a:round/>
            </a:ln>
            <a:effectLst/>
          </c:spPr>
          <c:marker>
            <c:symbol val="diamond"/>
            <c:size val="6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trendline>
            <c:spPr>
              <a:ln w="15875" cap="rnd">
                <a:solidFill>
                  <a:schemeClr val="tx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14703217592592593"/>
                  <c:y val="-0.10539629629629629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8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y = 288,047x - 855 187</a:t>
                    </a:r>
                    <a:br>
                      <a:rPr lang="en-US" baseline="0"/>
                    </a:br>
                    <a:r>
                      <a:rPr lang="en-US" baseline="0"/>
                      <a:t>R² = 1,00</a:t>
                    </a:r>
                    <a:endParaRPr lang="en-US"/>
                  </a:p>
                </c:rich>
              </c:tx>
              <c:numFmt formatCode="#,##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</c:trendlineLbl>
          </c:trendline>
          <c:xVal>
            <c:numRef>
              <c:f>'new cal eq'!$E$34:$E$36</c:f>
              <c:numCache>
                <c:formatCode>General</c:formatCode>
                <c:ptCount val="3"/>
                <c:pt idx="0">
                  <c:v>2536.6755828849759</c:v>
                </c:pt>
                <c:pt idx="1">
                  <c:v>2967.4384349969864</c:v>
                </c:pt>
                <c:pt idx="2" formatCode="0.0000">
                  <c:v>4358.55411</c:v>
                </c:pt>
              </c:numCache>
            </c:numRef>
          </c:xVal>
          <c:yVal>
            <c:numRef>
              <c:f>'new cal eq'!$M$34:$M$36</c:f>
              <c:numCache>
                <c:formatCode>General</c:formatCode>
                <c:ptCount val="3"/>
                <c:pt idx="0">
                  <c:v>-124832</c:v>
                </c:pt>
                <c:pt idx="1">
                  <c:v>0</c:v>
                </c:pt>
                <c:pt idx="2">
                  <c:v>400179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51C-4A53-AACB-D1D8E9445C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53290792"/>
        <c:axId val="653291120"/>
      </c:scatterChart>
      <c:valAx>
        <c:axId val="65329079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Wavelength [Å]</a:t>
                </a:r>
              </a:p>
            </c:rich>
          </c:tx>
          <c:layout>
            <c:manualLayout>
              <c:xMode val="edge"/>
              <c:yMode val="edge"/>
              <c:x val="0.45470888221048311"/>
              <c:y val="0.9370633333333333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53291120"/>
        <c:crosses val="autoZero"/>
        <c:crossBetween val="midCat"/>
      </c:valAx>
      <c:valAx>
        <c:axId val="65329112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Monochromator steps</a:t>
                </a:r>
              </a:p>
            </c:rich>
          </c:tx>
          <c:layout>
            <c:manualLayout>
              <c:xMode val="edge"/>
              <c:yMode val="edge"/>
              <c:x val="1.5269907407407407E-2"/>
              <c:y val="0.3470879629629629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5329079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8496689814814815"/>
          <c:y val="4.193364197530864E-2"/>
          <c:w val="0.45616527777777771"/>
          <c:h val="0.26349388888888892"/>
        </c:manualLayout>
      </c:layout>
      <c:overlay val="0"/>
      <c:spPr>
        <a:noFill/>
        <a:ln w="12700"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  <c:extLst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206148</xdr:colOff>
      <xdr:row>1</xdr:row>
      <xdr:rowOff>353786</xdr:rowOff>
    </xdr:from>
    <xdr:to>
      <xdr:col>26</xdr:col>
      <xdr:colOff>15648</xdr:colOff>
      <xdr:row>17</xdr:row>
      <xdr:rowOff>60552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3804B6A-220A-4309-B4C1-B8AECD75F70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51397</xdr:colOff>
      <xdr:row>0</xdr:row>
      <xdr:rowOff>17253</xdr:rowOff>
    </xdr:from>
    <xdr:to>
      <xdr:col>4</xdr:col>
      <xdr:colOff>1438416</xdr:colOff>
      <xdr:row>17</xdr:row>
      <xdr:rowOff>177623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474B86F-3797-400C-A8EB-6499E30752A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M34"/>
  <sheetViews>
    <sheetView topLeftCell="C16" zoomScaleNormal="100" workbookViewId="0">
      <selection activeCell="M25" sqref="M25"/>
    </sheetView>
  </sheetViews>
  <sheetFormatPr defaultColWidth="9.08984375" defaultRowHeight="14.5" x14ac:dyDescent="0.35"/>
  <cols>
    <col min="1" max="1" width="12.6328125" style="2" customWidth="1"/>
    <col min="2" max="2" width="15.26953125" style="2" customWidth="1"/>
    <col min="3" max="3" width="20.26953125" style="2" customWidth="1"/>
    <col min="4" max="4" width="22.26953125" style="2" bestFit="1" customWidth="1"/>
    <col min="5" max="5" width="20.6328125" style="2" bestFit="1" customWidth="1"/>
    <col min="6" max="6" width="20.6328125" style="2" customWidth="1"/>
    <col min="7" max="9" width="23" style="2" customWidth="1"/>
    <col min="10" max="10" width="21.26953125" style="2" customWidth="1"/>
    <col min="11" max="11" width="17.08984375" style="2" customWidth="1"/>
    <col min="12" max="12" width="13.36328125" style="2" customWidth="1"/>
    <col min="13" max="13" width="18.08984375" style="2" customWidth="1"/>
    <col min="14" max="16384" width="9.08984375" style="2"/>
  </cols>
  <sheetData>
    <row r="1" spans="1:13" x14ac:dyDescent="0.35">
      <c r="D1" s="59" t="s">
        <v>6</v>
      </c>
      <c r="E1" s="60"/>
      <c r="F1" s="8"/>
    </row>
    <row r="2" spans="1:13" ht="58" x14ac:dyDescent="0.35">
      <c r="A2" s="2" t="s">
        <v>2</v>
      </c>
      <c r="B2" s="2" t="s">
        <v>0</v>
      </c>
      <c r="C2" s="3" t="s">
        <v>7</v>
      </c>
      <c r="D2" s="6" t="s">
        <v>8</v>
      </c>
      <c r="E2" s="7" t="s">
        <v>3</v>
      </c>
      <c r="F2" s="21"/>
      <c r="G2" s="3" t="s">
        <v>4</v>
      </c>
      <c r="H2" s="3"/>
      <c r="I2" s="3"/>
      <c r="J2" s="3" t="s">
        <v>5</v>
      </c>
      <c r="K2" s="3" t="s">
        <v>13</v>
      </c>
    </row>
    <row r="3" spans="1:13" x14ac:dyDescent="0.35">
      <c r="A3" s="2">
        <v>1</v>
      </c>
      <c r="B3" s="2">
        <v>321264</v>
      </c>
      <c r="C3" s="2">
        <v>441</v>
      </c>
      <c r="D3" s="8">
        <v>4085.15</v>
      </c>
      <c r="E3" s="8">
        <f t="shared" ref="E3" si="0">D3*2</f>
        <v>8170.3</v>
      </c>
      <c r="F3" s="8"/>
      <c r="G3" s="4">
        <v>8821.8323999999993</v>
      </c>
      <c r="H3" s="4"/>
      <c r="I3" s="4"/>
      <c r="J3" s="2">
        <v>8819.4955800000007</v>
      </c>
      <c r="K3" s="5">
        <f>G3-J3</f>
        <v>2.3368199999986246</v>
      </c>
      <c r="L3" s="2">
        <v>321264</v>
      </c>
      <c r="M3" s="2">
        <v>0</v>
      </c>
    </row>
    <row r="4" spans="1:13" x14ac:dyDescent="0.35">
      <c r="A4" s="2">
        <v>2</v>
      </c>
      <c r="B4" s="2">
        <v>462672</v>
      </c>
      <c r="C4" s="2">
        <v>490</v>
      </c>
      <c r="D4" s="8">
        <v>4576.7299999999996</v>
      </c>
      <c r="E4" s="8">
        <v>9153.4599999999991</v>
      </c>
      <c r="F4" s="8"/>
      <c r="G4" s="5">
        <v>9802.384</v>
      </c>
      <c r="H4" s="5"/>
      <c r="I4" s="5"/>
      <c r="J4" s="2">
        <v>9799.7910699999993</v>
      </c>
      <c r="K4" s="5">
        <f t="shared" ref="K4:K5" si="1">G4-J4</f>
        <v>2.5929300000007061</v>
      </c>
      <c r="L4" s="2">
        <v>462672</v>
      </c>
      <c r="M4" s="2">
        <f>L4-L3</f>
        <v>141408</v>
      </c>
    </row>
    <row r="5" spans="1:13" x14ac:dyDescent="0.35">
      <c r="A5" s="2">
        <v>3</v>
      </c>
      <c r="B5" s="2">
        <v>480528</v>
      </c>
      <c r="C5" s="2">
        <v>496</v>
      </c>
      <c r="D5" s="8">
        <v>4638.8100000000004</v>
      </c>
      <c r="E5" s="8">
        <v>9277.6200000000008</v>
      </c>
      <c r="F5" s="8"/>
      <c r="G5" s="5">
        <v>9925.9189999999999</v>
      </c>
      <c r="H5" s="5"/>
      <c r="I5" s="5"/>
      <c r="J5" s="2">
        <v>9923.2937700000002</v>
      </c>
      <c r="K5" s="5">
        <f t="shared" si="1"/>
        <v>2.6252299999996467</v>
      </c>
      <c r="L5" s="2">
        <v>480528</v>
      </c>
      <c r="M5" s="2">
        <f>L5-L3</f>
        <v>159264</v>
      </c>
    </row>
    <row r="6" spans="1:13" x14ac:dyDescent="0.35">
      <c r="A6" s="2">
        <v>4</v>
      </c>
      <c r="C6" s="2">
        <v>587</v>
      </c>
      <c r="D6" s="8"/>
      <c r="E6" s="8"/>
      <c r="F6" s="8"/>
      <c r="G6" s="5">
        <v>11745.45</v>
      </c>
      <c r="H6" s="5"/>
      <c r="I6" s="5"/>
      <c r="K6" s="4"/>
    </row>
    <row r="7" spans="1:13" x14ac:dyDescent="0.35">
      <c r="D7" s="8"/>
      <c r="E7" s="8"/>
      <c r="F7" s="8"/>
    </row>
    <row r="11" spans="1:13" x14ac:dyDescent="0.35">
      <c r="A11" s="2" t="s">
        <v>11</v>
      </c>
      <c r="B11" s="2" t="s">
        <v>9</v>
      </c>
      <c r="C11" s="2" t="s">
        <v>10</v>
      </c>
      <c r="D11" s="2" t="s">
        <v>12</v>
      </c>
    </row>
    <row r="12" spans="1:13" x14ac:dyDescent="0.35">
      <c r="B12" s="11">
        <v>144.2731374299</v>
      </c>
      <c r="D12" s="12">
        <v>1272418.54251257</v>
      </c>
    </row>
    <row r="13" spans="1:13" x14ac:dyDescent="0.35">
      <c r="B13" s="9"/>
    </row>
    <row r="16" spans="1:13" x14ac:dyDescent="0.35">
      <c r="A16" s="1">
        <f>($B$12*C16)-$D$12</f>
        <v>-276933.89424626005</v>
      </c>
      <c r="C16" s="2">
        <v>6900</v>
      </c>
      <c r="D16" s="2">
        <f>C16*B12</f>
        <v>995484.64826630999</v>
      </c>
    </row>
    <row r="17" spans="1:13" x14ac:dyDescent="0.35">
      <c r="A17" s="1">
        <f>($B$12*C17)-$D$12</f>
        <v>155885.51804344007</v>
      </c>
      <c r="C17" s="2">
        <v>9900</v>
      </c>
    </row>
    <row r="18" spans="1:13" x14ac:dyDescent="0.35">
      <c r="A18" s="1">
        <f>($B$12*C18)-$D$12</f>
        <v>157328.24941773899</v>
      </c>
      <c r="C18" s="2">
        <v>9910</v>
      </c>
    </row>
    <row r="19" spans="1:13" x14ac:dyDescent="0.35">
      <c r="A19" s="10"/>
      <c r="B19" s="1">
        <f>A18-A17</f>
        <v>1442.7313742989209</v>
      </c>
      <c r="D19" s="10">
        <f>C18-C17</f>
        <v>10</v>
      </c>
    </row>
    <row r="22" spans="1:13" x14ac:dyDescent="0.35">
      <c r="A22" s="2" t="s">
        <v>14</v>
      </c>
      <c r="G22" s="61"/>
      <c r="H22" s="61"/>
      <c r="I22" s="61"/>
      <c r="J22" s="62"/>
    </row>
    <row r="23" spans="1:13" ht="29" x14ac:dyDescent="0.35">
      <c r="A23" s="2" t="s">
        <v>0</v>
      </c>
      <c r="B23" s="2" t="s">
        <v>1</v>
      </c>
      <c r="C23" s="3" t="s">
        <v>15</v>
      </c>
      <c r="D23" s="19" t="s">
        <v>16</v>
      </c>
      <c r="E23" s="14" t="s">
        <v>17</v>
      </c>
      <c r="F23" s="22"/>
      <c r="G23" s="13" t="s">
        <v>19</v>
      </c>
      <c r="H23" s="14" t="s">
        <v>17</v>
      </c>
      <c r="I23" s="22"/>
      <c r="J23" s="13" t="s">
        <v>18</v>
      </c>
      <c r="K23" s="14" t="s">
        <v>17</v>
      </c>
      <c r="L23" s="63" t="s">
        <v>20</v>
      </c>
      <c r="M23" s="62"/>
    </row>
    <row r="24" spans="1:13" x14ac:dyDescent="0.35">
      <c r="A24" s="2">
        <v>-266833</v>
      </c>
      <c r="B24" s="2">
        <v>6970.02</v>
      </c>
      <c r="C24" s="2">
        <v>696.73519999999996</v>
      </c>
      <c r="D24" s="15">
        <f>C24*10</f>
        <v>6967.3519999999999</v>
      </c>
      <c r="E24" s="16">
        <f>$B$12*D24-$D$12</f>
        <v>-267216.80989408144</v>
      </c>
      <c r="F24" s="2">
        <f>G24/2</f>
        <v>3508.6759999999999</v>
      </c>
      <c r="G24" s="15">
        <f>D24+50</f>
        <v>7017.3519999999999</v>
      </c>
      <c r="H24" s="20">
        <f>G24*$B$12-$D$12</f>
        <v>-260003.15302258637</v>
      </c>
      <c r="I24" s="2">
        <f>J24/2</f>
        <v>3458.6759999999999</v>
      </c>
      <c r="J24" s="15">
        <f>D24-50</f>
        <v>6917.3519999999999</v>
      </c>
      <c r="K24" s="20">
        <f>J24*$B$12-$D$12</f>
        <v>-274430.46676557639</v>
      </c>
      <c r="L24" s="2">
        <f>D24+1</f>
        <v>6968.3519999999999</v>
      </c>
      <c r="M24" s="2">
        <f>L24*B12-D12</f>
        <v>-267072.53675665148</v>
      </c>
    </row>
    <row r="25" spans="1:13" x14ac:dyDescent="0.35">
      <c r="A25" s="2">
        <v>-252403</v>
      </c>
      <c r="B25" s="2">
        <v>7070.04</v>
      </c>
      <c r="C25" s="2">
        <v>706.91669999999999</v>
      </c>
      <c r="D25" s="15">
        <f t="shared" ref="D25:D34" si="2">C25*10</f>
        <v>7069.1669999999995</v>
      </c>
      <c r="E25" s="16">
        <f t="shared" ref="E25:E34" si="3">$B$12*D25-$D$12</f>
        <v>-252527.6404066562</v>
      </c>
      <c r="F25" s="2">
        <f t="shared" ref="F25:F34" si="4">G25/2</f>
        <v>3559.5834999999997</v>
      </c>
      <c r="G25" s="15">
        <f t="shared" ref="G25:G34" si="5">D25+50</f>
        <v>7119.1669999999995</v>
      </c>
      <c r="H25" s="20">
        <f t="shared" ref="H25:H33" si="6">G25*$B$12-$D$12</f>
        <v>-245313.98353516124</v>
      </c>
      <c r="I25" s="2">
        <f t="shared" ref="I25:I34" si="7">J25/2</f>
        <v>3509.5834999999997</v>
      </c>
      <c r="J25" s="15">
        <f t="shared" ref="J25:J34" si="8">D25-50</f>
        <v>7019.1669999999995</v>
      </c>
      <c r="K25" s="20">
        <f>J25*$B$12-$D$12</f>
        <v>-259741.29727815115</v>
      </c>
      <c r="M25" s="20">
        <f>E24-M24</f>
        <v>-144.27313742996193</v>
      </c>
    </row>
    <row r="26" spans="1:13" x14ac:dyDescent="0.35">
      <c r="A26" s="2">
        <v>-223543</v>
      </c>
      <c r="B26" s="2">
        <v>7270.08</v>
      </c>
      <c r="C26" s="2">
        <v>727.49400000000003</v>
      </c>
      <c r="D26" s="15">
        <f t="shared" si="2"/>
        <v>7274.9400000000005</v>
      </c>
      <c r="E26" s="16">
        <f t="shared" si="3"/>
        <v>-222840.12409829325</v>
      </c>
      <c r="F26" s="2">
        <f t="shared" si="4"/>
        <v>3662.4700000000003</v>
      </c>
      <c r="G26" s="15">
        <f t="shared" si="5"/>
        <v>7324.9400000000005</v>
      </c>
      <c r="H26" s="20">
        <f t="shared" si="6"/>
        <v>-215626.46722679818</v>
      </c>
      <c r="I26" s="2">
        <f t="shared" si="7"/>
        <v>3612.4700000000003</v>
      </c>
      <c r="J26" s="15">
        <f t="shared" si="8"/>
        <v>7224.9400000000005</v>
      </c>
      <c r="K26" s="20">
        <f t="shared" ref="K26:K34" si="9">J26*$B$12-$D$12</f>
        <v>-230053.7809697882</v>
      </c>
    </row>
    <row r="27" spans="1:13" x14ac:dyDescent="0.35">
      <c r="A27" s="2">
        <v>-206227</v>
      </c>
      <c r="B27" s="2">
        <v>7390.1</v>
      </c>
      <c r="C27" s="2">
        <v>738.60140000000001</v>
      </c>
      <c r="D27" s="15">
        <f t="shared" si="2"/>
        <v>7386.0140000000001</v>
      </c>
      <c r="E27" s="16">
        <f t="shared" si="3"/>
        <v>-206815.12963140453</v>
      </c>
      <c r="F27" s="2">
        <f t="shared" si="4"/>
        <v>3718.0070000000001</v>
      </c>
      <c r="G27" s="15">
        <f t="shared" si="5"/>
        <v>7436.0140000000001</v>
      </c>
      <c r="H27" s="20">
        <f t="shared" si="6"/>
        <v>-199601.47275990946</v>
      </c>
      <c r="I27" s="2">
        <f t="shared" si="7"/>
        <v>3668.0070000000001</v>
      </c>
      <c r="J27" s="15">
        <f t="shared" si="8"/>
        <v>7336.0140000000001</v>
      </c>
      <c r="K27" s="20">
        <f t="shared" si="9"/>
        <v>-214028.7865028996</v>
      </c>
    </row>
    <row r="28" spans="1:13" x14ac:dyDescent="0.35">
      <c r="A28" s="2">
        <v>-170152</v>
      </c>
      <c r="B28" s="2">
        <v>7640.15</v>
      </c>
      <c r="C28" s="2">
        <v>763.72080000000005</v>
      </c>
      <c r="D28" s="15">
        <f t="shared" si="2"/>
        <v>7637.2080000000005</v>
      </c>
      <c r="E28" s="16">
        <f t="shared" si="3"/>
        <v>-170574.58314783825</v>
      </c>
      <c r="F28" s="2">
        <f t="shared" si="4"/>
        <v>3843.6040000000003</v>
      </c>
      <c r="G28" s="15">
        <f t="shared" si="5"/>
        <v>7687.2080000000005</v>
      </c>
      <c r="H28" s="20">
        <f t="shared" si="6"/>
        <v>-163360.92627634318</v>
      </c>
      <c r="I28" s="2">
        <f t="shared" si="7"/>
        <v>3793.6040000000003</v>
      </c>
      <c r="J28" s="15">
        <f t="shared" si="8"/>
        <v>7587.2080000000005</v>
      </c>
      <c r="K28" s="20">
        <f>J28*$B$12-$D$12</f>
        <v>-177788.24001933332</v>
      </c>
    </row>
    <row r="29" spans="1:13" x14ac:dyDescent="0.35">
      <c r="A29" s="2">
        <v>-79243</v>
      </c>
      <c r="B29" s="2">
        <v>8270.27</v>
      </c>
      <c r="C29" s="2">
        <v>826.67939999999999</v>
      </c>
      <c r="D29" s="15">
        <f t="shared" si="2"/>
        <v>8266.7939999999999</v>
      </c>
      <c r="E29" s="16">
        <f t="shared" si="3"/>
        <v>-79742.235645897221</v>
      </c>
      <c r="F29" s="2">
        <f t="shared" si="4"/>
        <v>4158.3969999999999</v>
      </c>
      <c r="G29" s="15">
        <f t="shared" si="5"/>
        <v>8316.7939999999999</v>
      </c>
      <c r="H29" s="20">
        <f t="shared" si="6"/>
        <v>-72528.578774402384</v>
      </c>
      <c r="I29" s="2">
        <f t="shared" si="7"/>
        <v>4108.3969999999999</v>
      </c>
      <c r="J29" s="15">
        <f t="shared" si="8"/>
        <v>8216.7939999999999</v>
      </c>
      <c r="K29" s="20">
        <f t="shared" si="9"/>
        <v>-86955.892517392291</v>
      </c>
    </row>
    <row r="30" spans="1:13" x14ac:dyDescent="0.35">
      <c r="A30" s="2">
        <v>-43168</v>
      </c>
      <c r="B30" s="2">
        <v>8520.31</v>
      </c>
      <c r="C30" s="2">
        <v>852.37829999999997</v>
      </c>
      <c r="D30" s="15">
        <f t="shared" si="2"/>
        <v>8523.7829999999994</v>
      </c>
      <c r="E30" s="16">
        <f t="shared" si="3"/>
        <v>-42665.626330924686</v>
      </c>
      <c r="F30" s="2">
        <f t="shared" si="4"/>
        <v>4286.8914999999997</v>
      </c>
      <c r="G30" s="15">
        <f t="shared" si="5"/>
        <v>8573.7829999999994</v>
      </c>
      <c r="H30" s="20">
        <f t="shared" si="6"/>
        <v>-35451.969459429849</v>
      </c>
      <c r="I30" s="2">
        <f t="shared" si="7"/>
        <v>4236.8914999999997</v>
      </c>
      <c r="J30" s="15">
        <f t="shared" si="8"/>
        <v>8473.7829999999994</v>
      </c>
      <c r="K30" s="20">
        <f t="shared" si="9"/>
        <v>-49879.283202419756</v>
      </c>
    </row>
    <row r="31" spans="1:13" x14ac:dyDescent="0.35">
      <c r="A31" s="2">
        <v>43412</v>
      </c>
      <c r="B31" s="2">
        <v>9120.42</v>
      </c>
      <c r="C31" s="2">
        <v>912.5471</v>
      </c>
      <c r="D31" s="15">
        <f t="shared" si="2"/>
        <v>9125.4709999999995</v>
      </c>
      <c r="E31" s="16">
        <f t="shared" si="3"/>
        <v>44141.789182996843</v>
      </c>
      <c r="F31" s="2">
        <f t="shared" si="4"/>
        <v>4587.7354999999998</v>
      </c>
      <c r="G31" s="15">
        <f t="shared" si="5"/>
        <v>9175.4709999999995</v>
      </c>
      <c r="H31" s="20">
        <f t="shared" si="6"/>
        <v>51355.446054491913</v>
      </c>
      <c r="I31" s="2">
        <f t="shared" si="7"/>
        <v>4537.7354999999998</v>
      </c>
      <c r="J31" s="15">
        <f t="shared" si="8"/>
        <v>9075.4709999999995</v>
      </c>
      <c r="K31" s="20">
        <f t="shared" si="9"/>
        <v>36928.132311502006</v>
      </c>
    </row>
    <row r="32" spans="1:13" x14ac:dyDescent="0.35">
      <c r="A32" s="2">
        <v>57842</v>
      </c>
      <c r="B32" s="2">
        <v>9220.44</v>
      </c>
      <c r="C32" s="2">
        <v>922.70299999999997</v>
      </c>
      <c r="D32" s="15">
        <f t="shared" si="2"/>
        <v>9227.0299999999988</v>
      </c>
      <c r="E32" s="16">
        <f t="shared" si="3"/>
        <v>58794.024747240124</v>
      </c>
      <c r="F32" s="2">
        <f t="shared" si="4"/>
        <v>4638.5149999999994</v>
      </c>
      <c r="G32" s="15">
        <f t="shared" si="5"/>
        <v>9277.0299999999988</v>
      </c>
      <c r="H32" s="20">
        <f t="shared" si="6"/>
        <v>66007.681618734961</v>
      </c>
      <c r="I32" s="2">
        <f t="shared" si="7"/>
        <v>4588.5149999999994</v>
      </c>
      <c r="J32" s="15">
        <f t="shared" si="8"/>
        <v>9177.0299999999988</v>
      </c>
      <c r="K32" s="20">
        <f t="shared" si="9"/>
        <v>51580.367875745054</v>
      </c>
    </row>
    <row r="33" spans="1:11" x14ac:dyDescent="0.35">
      <c r="A33" s="2">
        <v>121334</v>
      </c>
      <c r="B33" s="2">
        <v>9660.5300000000007</v>
      </c>
      <c r="C33" s="2">
        <v>966.04349999999999</v>
      </c>
      <c r="D33" s="15">
        <f t="shared" si="2"/>
        <v>9660.4349999999995</v>
      </c>
      <c r="E33" s="16">
        <f t="shared" si="3"/>
        <v>121322.72387504601</v>
      </c>
      <c r="F33" s="2">
        <f t="shared" si="4"/>
        <v>4855.2174999999997</v>
      </c>
      <c r="G33" s="15">
        <f t="shared" si="5"/>
        <v>9710.4349999999995</v>
      </c>
      <c r="H33" s="20">
        <f t="shared" si="6"/>
        <v>128536.38074654085</v>
      </c>
      <c r="I33" s="2">
        <f t="shared" si="7"/>
        <v>4805.2174999999997</v>
      </c>
      <c r="J33" s="15">
        <f t="shared" si="8"/>
        <v>9610.4349999999995</v>
      </c>
      <c r="K33" s="20">
        <f t="shared" si="9"/>
        <v>114109.06700355094</v>
      </c>
    </row>
    <row r="34" spans="1:11" x14ac:dyDescent="0.35">
      <c r="A34" s="2">
        <v>138650</v>
      </c>
      <c r="B34" s="2">
        <v>9780.5499999999993</v>
      </c>
      <c r="C34" s="2">
        <v>978.71860000000004</v>
      </c>
      <c r="D34" s="17">
        <f t="shared" si="2"/>
        <v>9787.1859999999997</v>
      </c>
      <c r="E34" s="18">
        <f t="shared" si="3"/>
        <v>139609.48831742327</v>
      </c>
      <c r="F34" s="2">
        <f t="shared" si="4"/>
        <v>4918.5929999999998</v>
      </c>
      <c r="G34" s="15">
        <f t="shared" si="5"/>
        <v>9837.1859999999997</v>
      </c>
      <c r="H34" s="20">
        <f>G34*$B$12-$D$12</f>
        <v>146823.1451889181</v>
      </c>
      <c r="I34" s="2">
        <f t="shared" si="7"/>
        <v>4868.5929999999998</v>
      </c>
      <c r="J34" s="15">
        <f t="shared" si="8"/>
        <v>9737.1859999999997</v>
      </c>
      <c r="K34" s="20">
        <f t="shared" si="9"/>
        <v>132395.8314459282</v>
      </c>
    </row>
  </sheetData>
  <mergeCells count="3">
    <mergeCell ref="D1:E1"/>
    <mergeCell ref="G22:J22"/>
    <mergeCell ref="L23:M23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11B77E-0718-4242-B11B-0A92C2710726}">
  <dimension ref="A1:T73"/>
  <sheetViews>
    <sheetView tabSelected="1" zoomScale="140" zoomScaleNormal="140" workbookViewId="0">
      <selection activeCell="G16" sqref="G16"/>
    </sheetView>
  </sheetViews>
  <sheetFormatPr defaultColWidth="9.08984375" defaultRowHeight="14.5" x14ac:dyDescent="0.35"/>
  <cols>
    <col min="1" max="1" width="4.7265625" style="2" bestFit="1" customWidth="1"/>
    <col min="2" max="2" width="10.08984375" style="2" bestFit="1" customWidth="1"/>
    <col min="3" max="3" width="12.08984375" style="2" bestFit="1" customWidth="1"/>
    <col min="4" max="4" width="15.453125" style="2" customWidth="1"/>
    <col min="5" max="5" width="21.26953125" style="2" customWidth="1"/>
    <col min="6" max="7" width="23.08984375" style="2" customWidth="1"/>
    <col min="8" max="9" width="11.36328125" style="2" bestFit="1" customWidth="1"/>
    <col min="10" max="10" width="9.6328125" style="2" customWidth="1"/>
    <col min="11" max="11" width="11.08984375" style="2" customWidth="1"/>
    <col min="12" max="12" width="2.36328125" style="2" customWidth="1"/>
    <col min="13" max="13" width="9.6328125" style="2" customWidth="1"/>
    <col min="14" max="14" width="11.08984375" style="2" customWidth="1"/>
    <col min="15" max="15" width="2.453125" style="2" customWidth="1"/>
    <col min="16" max="16" width="9.6328125" style="2" customWidth="1"/>
    <col min="17" max="17" width="11.08984375" style="2" customWidth="1"/>
    <col min="18" max="18" width="2.08984375" style="2" customWidth="1"/>
    <col min="19" max="19" width="11.08984375" style="2" customWidth="1"/>
    <col min="20" max="20" width="12.90625" style="2" customWidth="1"/>
    <col min="21" max="16384" width="9.08984375" style="2"/>
  </cols>
  <sheetData>
    <row r="1" s="58" customFormat="1" x14ac:dyDescent="0.35"/>
    <row r="2" s="58" customFormat="1" x14ac:dyDescent="0.35"/>
    <row r="3" s="58" customFormat="1" x14ac:dyDescent="0.35"/>
    <row r="4" s="58" customFormat="1" x14ac:dyDescent="0.35"/>
    <row r="5" s="58" customFormat="1" x14ac:dyDescent="0.35"/>
    <row r="6" s="58" customFormat="1" x14ac:dyDescent="0.35"/>
    <row r="7" s="58" customFormat="1" x14ac:dyDescent="0.35"/>
    <row r="8" s="58" customFormat="1" x14ac:dyDescent="0.35"/>
    <row r="9" s="58" customFormat="1" x14ac:dyDescent="0.35"/>
    <row r="10" s="58" customFormat="1" x14ac:dyDescent="0.35"/>
    <row r="11" s="58" customFormat="1" x14ac:dyDescent="0.35"/>
    <row r="12" s="58" customFormat="1" x14ac:dyDescent="0.35"/>
    <row r="13" s="58" customFormat="1" x14ac:dyDescent="0.35"/>
    <row r="14" s="58" customFormat="1" x14ac:dyDescent="0.35"/>
    <row r="15" s="58" customFormat="1" x14ac:dyDescent="0.35"/>
    <row r="16" s="58" customFormat="1" x14ac:dyDescent="0.35"/>
    <row r="17" spans="1:19" s="58" customFormat="1" x14ac:dyDescent="0.35"/>
    <row r="18" spans="1:19" s="58" customFormat="1" x14ac:dyDescent="0.35"/>
    <row r="19" spans="1:19" s="58" customFormat="1" x14ac:dyDescent="0.35"/>
    <row r="20" spans="1:19" s="58" customFormat="1" x14ac:dyDescent="0.35"/>
    <row r="21" spans="1:19" s="58" customFormat="1" x14ac:dyDescent="0.35"/>
    <row r="22" spans="1:19" s="58" customFormat="1" x14ac:dyDescent="0.35"/>
    <row r="23" spans="1:19" s="58" customFormat="1" x14ac:dyDescent="0.35"/>
    <row r="24" spans="1:19" s="58" customFormat="1" x14ac:dyDescent="0.35"/>
    <row r="25" spans="1:19" s="58" customFormat="1" x14ac:dyDescent="0.35"/>
    <row r="26" spans="1:19" s="58" customFormat="1" x14ac:dyDescent="0.35"/>
    <row r="27" spans="1:19" s="58" customFormat="1" x14ac:dyDescent="0.35"/>
    <row r="28" spans="1:19" s="58" customFormat="1" x14ac:dyDescent="0.35"/>
    <row r="29" spans="1:19" s="58" customFormat="1" x14ac:dyDescent="0.35"/>
    <row r="30" spans="1:19" s="58" customFormat="1" x14ac:dyDescent="0.35"/>
    <row r="31" spans="1:19" ht="29.25" customHeight="1" x14ac:dyDescent="0.35">
      <c r="A31" s="62" t="s">
        <v>2</v>
      </c>
      <c r="B31" s="73" t="s">
        <v>0</v>
      </c>
      <c r="C31" s="71" t="s">
        <v>39</v>
      </c>
      <c r="D31" s="65" t="s">
        <v>28</v>
      </c>
      <c r="E31" s="76" t="s">
        <v>21</v>
      </c>
      <c r="F31" s="65" t="s">
        <v>24</v>
      </c>
      <c r="G31" s="65" t="s">
        <v>25</v>
      </c>
      <c r="H31" s="65" t="s">
        <v>29</v>
      </c>
      <c r="I31" s="65" t="s">
        <v>30</v>
      </c>
      <c r="J31" s="69" t="s">
        <v>34</v>
      </c>
      <c r="K31" s="51"/>
      <c r="M31" s="83" t="s">
        <v>33</v>
      </c>
      <c r="P31" s="69" t="s">
        <v>26</v>
      </c>
      <c r="Q31" s="51"/>
      <c r="S31" s="69" t="s">
        <v>31</v>
      </c>
    </row>
    <row r="32" spans="1:19" x14ac:dyDescent="0.35">
      <c r="A32" s="75"/>
      <c r="B32" s="74"/>
      <c r="C32" s="72"/>
      <c r="D32" s="66"/>
      <c r="E32" s="77"/>
      <c r="F32" s="66"/>
      <c r="G32" s="66"/>
      <c r="H32" s="66"/>
      <c r="I32" s="66"/>
      <c r="J32" s="70"/>
      <c r="K32" s="51"/>
      <c r="M32" s="84"/>
      <c r="P32" s="70"/>
      <c r="Q32" s="51"/>
      <c r="S32" s="70"/>
    </row>
    <row r="33" spans="1:20" x14ac:dyDescent="0.35">
      <c r="A33" s="64" t="s">
        <v>27</v>
      </c>
      <c r="B33" s="64"/>
      <c r="C33" s="64"/>
      <c r="D33" s="64"/>
      <c r="E33" s="3">
        <v>1.0002394539999999</v>
      </c>
      <c r="F33" s="3">
        <v>1.0002431700000001</v>
      </c>
      <c r="G33" s="3">
        <v>1.0002356459999999</v>
      </c>
      <c r="H33"/>
      <c r="I33"/>
      <c r="J33" s="36"/>
      <c r="K33" s="51"/>
      <c r="M33" s="49"/>
      <c r="P33" s="36"/>
      <c r="Q33" s="51"/>
      <c r="S33" s="36"/>
    </row>
    <row r="34" spans="1:20" x14ac:dyDescent="0.35">
      <c r="A34" s="2">
        <v>1</v>
      </c>
      <c r="B34" s="26">
        <v>-837109</v>
      </c>
      <c r="C34" s="56">
        <v>253</v>
      </c>
      <c r="D34" s="23">
        <v>2537.2829999999999</v>
      </c>
      <c r="E34" s="31">
        <f>D34/$E$33</f>
        <v>2536.6755828849759</v>
      </c>
      <c r="F34" s="23">
        <f>$D$34/F33</f>
        <v>2536.6661588901425</v>
      </c>
      <c r="G34" s="23">
        <f>$D$34/G33</f>
        <v>2536.6852402698714</v>
      </c>
      <c r="H34" s="33">
        <f>G34-F34</f>
        <v>1.9081379728959291E-2</v>
      </c>
      <c r="I34" s="34">
        <f>H34*10</f>
        <v>0.19081379728959291</v>
      </c>
      <c r="J34" s="37">
        <v>0</v>
      </c>
      <c r="K34" s="51"/>
      <c r="M34" s="50">
        <f>B34-B35</f>
        <v>-124832</v>
      </c>
      <c r="P34" s="37">
        <f>B34-B36</f>
        <v>-525011</v>
      </c>
      <c r="Q34" s="51"/>
      <c r="S34" s="37">
        <f>B34-B37</f>
        <v>-843025</v>
      </c>
    </row>
    <row r="35" spans="1:20" x14ac:dyDescent="0.35">
      <c r="A35" s="2">
        <v>2</v>
      </c>
      <c r="B35" s="26">
        <v>-712277</v>
      </c>
      <c r="C35" s="56">
        <v>296</v>
      </c>
      <c r="D35" s="23">
        <v>2968.1489999999999</v>
      </c>
      <c r="E35" s="31">
        <f>D35/$E$33</f>
        <v>2967.4384349969864</v>
      </c>
      <c r="F35" s="23">
        <f>$D$35/F33</f>
        <v>2967.4274106765456</v>
      </c>
      <c r="G35" s="23">
        <f>$D$35/G33</f>
        <v>2967.449732340373</v>
      </c>
      <c r="H35" s="33">
        <f t="shared" ref="H35:H37" si="0">G35-F35</f>
        <v>2.2321663827369775E-2</v>
      </c>
      <c r="I35" s="34">
        <f t="shared" ref="I35:I37" si="1">H35*10</f>
        <v>0.22321663827369775</v>
      </c>
      <c r="J35" s="37">
        <f>B35-B34</f>
        <v>124832</v>
      </c>
      <c r="K35" s="51"/>
      <c r="M35" s="50">
        <v>0</v>
      </c>
      <c r="P35" s="37">
        <f>B35-B36</f>
        <v>-400179</v>
      </c>
      <c r="Q35" s="51"/>
      <c r="S35" s="37">
        <f>B35-B37</f>
        <v>-718193</v>
      </c>
    </row>
    <row r="36" spans="1:20" x14ac:dyDescent="0.35">
      <c r="A36" s="2">
        <v>3</v>
      </c>
      <c r="B36" s="26">
        <v>-312098</v>
      </c>
      <c r="C36" s="56">
        <v>435</v>
      </c>
      <c r="D36" s="29">
        <v>4359.5600000000004</v>
      </c>
      <c r="E36" s="32">
        <v>4358.55411</v>
      </c>
      <c r="F36" s="2">
        <v>4358.5385999999999</v>
      </c>
      <c r="G36" s="2">
        <v>4358.5700200000001</v>
      </c>
      <c r="H36" s="33">
        <f t="shared" si="0"/>
        <v>3.1420000000252912E-2</v>
      </c>
      <c r="I36" s="34">
        <f t="shared" si="1"/>
        <v>0.31420000000252912</v>
      </c>
      <c r="J36" s="37">
        <f>B36-B34</f>
        <v>525011</v>
      </c>
      <c r="K36" s="51"/>
      <c r="M36" s="50">
        <f>B36-B35</f>
        <v>400179</v>
      </c>
      <c r="P36" s="37">
        <v>0</v>
      </c>
      <c r="Q36" s="51"/>
      <c r="S36" s="37">
        <f>B36-B37</f>
        <v>-318014</v>
      </c>
    </row>
    <row r="37" spans="1:20" x14ac:dyDescent="0.35">
      <c r="A37" s="2">
        <v>4</v>
      </c>
      <c r="B37" s="37">
        <v>5916</v>
      </c>
      <c r="C37" s="51">
        <v>546</v>
      </c>
      <c r="D37" s="23">
        <v>5462.268</v>
      </c>
      <c r="E37" s="23">
        <v>5461.02196</v>
      </c>
      <c r="F37" s="2">
        <v>5461.0027899999995</v>
      </c>
      <c r="G37" s="2">
        <v>5461.0416299999997</v>
      </c>
      <c r="H37" s="33">
        <f t="shared" si="0"/>
        <v>3.8840000000163855E-2</v>
      </c>
      <c r="I37" s="34">
        <f t="shared" si="1"/>
        <v>0.38840000000163855</v>
      </c>
      <c r="J37" s="37">
        <f>B37-B34</f>
        <v>843025</v>
      </c>
      <c r="K37" s="51"/>
      <c r="M37" s="37">
        <f>B37-B35</f>
        <v>718193</v>
      </c>
      <c r="P37" s="37">
        <f>B37-B36</f>
        <v>318014</v>
      </c>
      <c r="Q37" s="51"/>
      <c r="S37" s="37">
        <v>0</v>
      </c>
    </row>
    <row r="38" spans="1:20" x14ac:dyDescent="0.35">
      <c r="C38" s="24"/>
      <c r="D38" s="24"/>
      <c r="E38" s="24"/>
      <c r="J38" s="51"/>
      <c r="K38" s="51"/>
      <c r="O38"/>
      <c r="P38" s="51"/>
      <c r="Q38" s="51"/>
    </row>
    <row r="39" spans="1:20" x14ac:dyDescent="0.35">
      <c r="A39" s="35"/>
      <c r="B39" s="35"/>
      <c r="C39" s="30"/>
      <c r="D39" s="30"/>
      <c r="E39" s="30"/>
      <c r="F39" s="30"/>
      <c r="G39" s="30"/>
      <c r="H39" s="30"/>
      <c r="J39" s="67" t="s">
        <v>36</v>
      </c>
      <c r="K39" s="68"/>
      <c r="M39" s="85" t="s">
        <v>35</v>
      </c>
      <c r="N39" s="86"/>
      <c r="O39"/>
      <c r="P39" s="67" t="s">
        <v>36</v>
      </c>
      <c r="Q39" s="68"/>
      <c r="S39" s="79" t="s">
        <v>35</v>
      </c>
      <c r="T39" s="80"/>
    </row>
    <row r="40" spans="1:20" x14ac:dyDescent="0.35">
      <c r="A40" s="35"/>
      <c r="B40" s="35"/>
      <c r="C40" s="30"/>
      <c r="D40" s="30"/>
      <c r="E40" s="30"/>
      <c r="F40" s="30"/>
      <c r="G40" s="30"/>
      <c r="H40" s="30"/>
      <c r="I40"/>
      <c r="J40" s="52" t="s">
        <v>9</v>
      </c>
      <c r="K40" s="53">
        <f>SLOPE(J34:J36,E34:E36)</f>
        <v>288.04674599941762</v>
      </c>
      <c r="M40" s="42" t="s">
        <v>9</v>
      </c>
      <c r="N40" s="43">
        <f>SLOPE(M34:M36,E34:E36)</f>
        <v>288.04674599941762</v>
      </c>
      <c r="O40"/>
      <c r="P40" s="52" t="s">
        <v>9</v>
      </c>
      <c r="Q40" s="53">
        <f>SLOPE(P34:P36,E34:E36)</f>
        <v>288.04674599941762</v>
      </c>
      <c r="S40" s="13" t="s">
        <v>9</v>
      </c>
      <c r="T40" s="27">
        <f>SLOPE(S34:S37,E34:E37)</f>
        <v>288.15353091259408</v>
      </c>
    </row>
    <row r="41" spans="1:20" x14ac:dyDescent="0.35">
      <c r="J41" s="54" t="s">
        <v>12</v>
      </c>
      <c r="K41" s="55">
        <f>INTERCEPT(J34:J36,E34:E36)</f>
        <v>-730355.48703618918</v>
      </c>
      <c r="M41" s="44" t="s">
        <v>12</v>
      </c>
      <c r="N41" s="45">
        <f>INTERCEPT(M34:M36,E34:E36)</f>
        <v>-855187.48703618918</v>
      </c>
      <c r="O41"/>
      <c r="P41" s="54" t="s">
        <v>12</v>
      </c>
      <c r="Q41" s="55">
        <f>INTERCEPT(P34:P36,E34:E36)</f>
        <v>-1255366.4870361893</v>
      </c>
      <c r="S41" s="17" t="s">
        <v>12</v>
      </c>
      <c r="T41" s="28">
        <f>INTERCEPT(S34:S37,E34:E37)</f>
        <v>-1573701.8513583767</v>
      </c>
    </row>
    <row r="42" spans="1:20" x14ac:dyDescent="0.35">
      <c r="H42" s="79" t="s">
        <v>38</v>
      </c>
      <c r="I42" s="80"/>
      <c r="K42" s="25"/>
      <c r="O42"/>
    </row>
    <row r="43" spans="1:20" x14ac:dyDescent="0.35">
      <c r="H43" s="13" t="s">
        <v>9</v>
      </c>
      <c r="I43" s="27">
        <f>SLOPE(B34:B35,E34:E35)</f>
        <v>289.79286256452809</v>
      </c>
    </row>
    <row r="44" spans="1:20" x14ac:dyDescent="0.35">
      <c r="H44" s="17" t="s">
        <v>12</v>
      </c>
      <c r="I44" s="28">
        <f>INTERCEPT(B34:B35,E34:E35)</f>
        <v>-1572219.4785617799</v>
      </c>
    </row>
    <row r="46" spans="1:20" x14ac:dyDescent="0.35">
      <c r="H46" s="79" t="s">
        <v>37</v>
      </c>
      <c r="I46" s="80"/>
    </row>
    <row r="47" spans="1:20" x14ac:dyDescent="0.35">
      <c r="H47" s="13" t="s">
        <v>9</v>
      </c>
      <c r="I47" s="27">
        <f>SLOPE(B35:B36,E35:E36)</f>
        <v>287.66766645709254</v>
      </c>
    </row>
    <row r="48" spans="1:20" x14ac:dyDescent="0.35">
      <c r="H48" s="17" t="s">
        <v>12</v>
      </c>
      <c r="I48" s="28">
        <f>INTERCEPT(B35:B36,E35:E36)</f>
        <v>-1565913.0899506698</v>
      </c>
    </row>
    <row r="50" spans="8:9" x14ac:dyDescent="0.35">
      <c r="H50" s="81" t="s">
        <v>22</v>
      </c>
      <c r="I50" s="82"/>
    </row>
    <row r="51" spans="8:9" x14ac:dyDescent="0.35">
      <c r="H51" s="38" t="s">
        <v>9</v>
      </c>
      <c r="I51" s="39">
        <f>SLOPE(B36:B37,E36:E37)</f>
        <v>288.45648424124113</v>
      </c>
    </row>
    <row r="52" spans="8:9" x14ac:dyDescent="0.35">
      <c r="H52" s="40" t="s">
        <v>12</v>
      </c>
      <c r="I52" s="41">
        <f>INTERCEPT(B36:B37,E36:E37)</f>
        <v>-1569351.1949458115</v>
      </c>
    </row>
    <row r="53" spans="8:9" x14ac:dyDescent="0.35">
      <c r="I53" s="12"/>
    </row>
    <row r="54" spans="8:9" x14ac:dyDescent="0.35">
      <c r="H54" s="81" t="s">
        <v>23</v>
      </c>
      <c r="I54" s="82"/>
    </row>
    <row r="55" spans="8:9" x14ac:dyDescent="0.35">
      <c r="H55" s="38" t="s">
        <v>9</v>
      </c>
      <c r="I55" s="39">
        <f>SLOPE(B35:B37,E35:E37)</f>
        <v>288.00147231810405</v>
      </c>
    </row>
    <row r="56" spans="8:9" x14ac:dyDescent="0.35">
      <c r="H56" s="40" t="s">
        <v>12</v>
      </c>
      <c r="I56" s="41">
        <f>INTERCEPT(B35:B37,E35:E37)</f>
        <v>-1567046.0013306946</v>
      </c>
    </row>
    <row r="58" spans="8:9" x14ac:dyDescent="0.35">
      <c r="H58" s="81" t="s">
        <v>32</v>
      </c>
      <c r="I58" s="82"/>
    </row>
    <row r="59" spans="8:9" x14ac:dyDescent="0.35">
      <c r="H59" s="38" t="s">
        <v>9</v>
      </c>
      <c r="I59" s="39">
        <f>SLOPE(B34:B37,E34:E37)</f>
        <v>288.15353091259408</v>
      </c>
    </row>
    <row r="60" spans="8:9" x14ac:dyDescent="0.35">
      <c r="H60" s="40" t="s">
        <v>12</v>
      </c>
      <c r="I60" s="41">
        <f>INTERCEPT(B34:B37,E34:E37)</f>
        <v>-1567785.8513583767</v>
      </c>
    </row>
    <row r="62" spans="8:9" x14ac:dyDescent="0.35">
      <c r="H62" s="78" t="s">
        <v>35</v>
      </c>
      <c r="I62" s="78"/>
    </row>
    <row r="63" spans="8:9" x14ac:dyDescent="0.35">
      <c r="H63" s="46" t="s">
        <v>9</v>
      </c>
      <c r="I63" s="47">
        <f>SLOPE(B34:B36,E34:E36)</f>
        <v>288.04674599941768</v>
      </c>
    </row>
    <row r="64" spans="8:9" x14ac:dyDescent="0.35">
      <c r="H64" s="46" t="s">
        <v>12</v>
      </c>
      <c r="I64" s="48">
        <f>INTERCEPT(B34:B36,E34:E36)</f>
        <v>-1567464.4870361893</v>
      </c>
    </row>
    <row r="67" spans="2:6" x14ac:dyDescent="0.35">
      <c r="B67" s="57"/>
      <c r="C67" s="57"/>
      <c r="D67" s="57"/>
      <c r="E67" s="57"/>
      <c r="F67" s="57"/>
    </row>
    <row r="68" spans="2:6" x14ac:dyDescent="0.35">
      <c r="B68" s="57"/>
      <c r="C68" s="57"/>
      <c r="D68" s="57"/>
      <c r="E68" s="57"/>
      <c r="F68" s="57"/>
    </row>
    <row r="69" spans="2:6" x14ac:dyDescent="0.35">
      <c r="B69"/>
      <c r="C69"/>
      <c r="D69"/>
      <c r="E69"/>
      <c r="F69"/>
    </row>
    <row r="70" spans="2:6" x14ac:dyDescent="0.35">
      <c r="B70"/>
      <c r="C70"/>
      <c r="D70"/>
      <c r="E70"/>
      <c r="F70"/>
    </row>
    <row r="71" spans="2:6" x14ac:dyDescent="0.35">
      <c r="B71"/>
      <c r="C71"/>
      <c r="D71"/>
      <c r="E71"/>
      <c r="F71"/>
    </row>
    <row r="72" spans="2:6" x14ac:dyDescent="0.35">
      <c r="B72"/>
      <c r="C72"/>
      <c r="D72"/>
      <c r="E72"/>
      <c r="F72"/>
    </row>
    <row r="73" spans="2:6" x14ac:dyDescent="0.35">
      <c r="B73"/>
      <c r="C73"/>
      <c r="D73"/>
      <c r="E73"/>
      <c r="F73"/>
    </row>
  </sheetData>
  <mergeCells count="24">
    <mergeCell ref="H62:I62"/>
    <mergeCell ref="H46:I46"/>
    <mergeCell ref="H42:I42"/>
    <mergeCell ref="S31:S32"/>
    <mergeCell ref="S39:T39"/>
    <mergeCell ref="H50:I50"/>
    <mergeCell ref="H58:I58"/>
    <mergeCell ref="M31:M32"/>
    <mergeCell ref="M39:N39"/>
    <mergeCell ref="H54:I54"/>
    <mergeCell ref="A33:D33"/>
    <mergeCell ref="I31:I32"/>
    <mergeCell ref="J39:K39"/>
    <mergeCell ref="P31:P32"/>
    <mergeCell ref="P39:Q39"/>
    <mergeCell ref="F31:F32"/>
    <mergeCell ref="D31:D32"/>
    <mergeCell ref="C31:C32"/>
    <mergeCell ref="B31:B32"/>
    <mergeCell ref="A31:A32"/>
    <mergeCell ref="E31:E32"/>
    <mergeCell ref="G31:G32"/>
    <mergeCell ref="J31:J32"/>
    <mergeCell ref="H31:H32"/>
  </mergeCells>
  <pageMargins left="0.55118110236220474" right="3.937007874015748E-2" top="0.35433070866141736" bottom="0.15748031496062992" header="0.31496062992125984" footer="0.31496062992125984"/>
  <pageSetup paperSize="9" scale="210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9C2EC7730FFA14386CA2BFA946C6B6D" ma:contentTypeVersion="16" ma:contentTypeDescription="Create a new document." ma:contentTypeScope="" ma:versionID="cb224a3c322877fa7fd84aa2321eab64">
  <xsd:schema xmlns:xsd="http://www.w3.org/2001/XMLSchema" xmlns:xs="http://www.w3.org/2001/XMLSchema" xmlns:p="http://schemas.microsoft.com/office/2006/metadata/properties" xmlns:ns2="fa26c5a3-a88d-4b32-866a-f49592dbdacd" xmlns:ns3="b3bb28de-e8e2-475d-a59f-f896f40b632f" targetNamespace="http://schemas.microsoft.com/office/2006/metadata/properties" ma:root="true" ma:fieldsID="6e7ae0302d891ce0d39886dc0127cd76" ns2:_="" ns3:_="">
    <xsd:import namespace="fa26c5a3-a88d-4b32-866a-f49592dbdacd"/>
    <xsd:import namespace="b3bb28de-e8e2-475d-a59f-f896f40b632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a26c5a3-a88d-4b32-866a-f49592dbdac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MediaServiceAutoTags" ma:description="" ma:internalName="MediaServiceAutoTags" ma:readOnly="true">
      <xsd:simpleType>
        <xsd:restriction base="dms:Text"/>
      </xsd:simpleType>
    </xsd:element>
    <xsd:element name="MediaServiceDateTaken" ma:index="13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OCR" ma:index="14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5" nillable="true" ma:displayName="MediaService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8a08de8c-21c0-4d44-a8d6-d49cbc5eaf0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3bb28de-e8e2-475d-a59f-f896f40b632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72f064c5-fb15-41b1-b8fd-6a0c06d53c97}" ma:internalName="TaxCatchAll" ma:showField="CatchAllData" ma:web="b3bb28de-e8e2-475d-a59f-f896f40b632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a26c5a3-a88d-4b32-866a-f49592dbdacd">
      <Terms xmlns="http://schemas.microsoft.com/office/infopath/2007/PartnerControls"/>
    </lcf76f155ced4ddcb4097134ff3c332f>
    <TaxCatchAll xmlns="b3bb28de-e8e2-475d-a59f-f896f40b632f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DCDB3E1-7E15-40FA-BFB9-1D5C3763E0F7}"/>
</file>

<file path=customXml/itemProps2.xml><?xml version="1.0" encoding="utf-8"?>
<ds:datastoreItem xmlns:ds="http://schemas.openxmlformats.org/officeDocument/2006/customXml" ds:itemID="{7B7613C5-A808-4E4C-8A6F-25F8D5E32230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fa26c5a3-a88d-4b32-866a-f49592dbdacd"/>
    <ds:schemaRef ds:uri="http://purl.org/dc/elements/1.1/"/>
    <ds:schemaRef ds:uri="http://schemas.microsoft.com/office/2006/metadata/properties"/>
    <ds:schemaRef ds:uri="b3bb28de-e8e2-475d-a59f-f896f40b632f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FD413E5B-1B73-4B8E-9DA9-4EB255CAE2C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Calibration Eq</vt:lpstr>
      <vt:lpstr>new cal eq</vt:lpstr>
      <vt:lpstr>'new cal eq'!Print_Area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NMISA</dc:creator>
  <cp:lastModifiedBy>Irma Rabe</cp:lastModifiedBy>
  <cp:lastPrinted>2020-03-09T13:10:17Z</cp:lastPrinted>
  <dcterms:created xsi:type="dcterms:W3CDTF">2018-10-11T14:48:02Z</dcterms:created>
  <dcterms:modified xsi:type="dcterms:W3CDTF">2022-01-12T07:32:54Z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0x01010059C2EC7730FFA14386CA2BFA946C6B6D</vt:lpwstr>
  </property>
  <property fmtid="{D5CDD505-2E9C-101B-9397-08002B2CF9AE}" pid="3" name="AuthorIds_UIVersion_5120">
    <vt:lpwstr>47</vt:lpwstr>
  </property>
  <property fmtid="{D5CDD505-2E9C-101B-9397-08002B2CF9AE}" pid="4" name="AuthorIds_UIVersion_9728">
    <vt:lpwstr>47</vt:lpwstr>
  </property>
</Properties>
</file>