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JOWE\Documents\Research data\YNK\Nutritional profiling\Amino Acid\Available Lysine\"/>
    </mc:Choice>
  </mc:AlternateContent>
  <xr:revisionPtr revIDLastSave="0" documentId="13_ncr:1_{62EA38D4-597A-4CAB-A87C-E9A293F3BE39}" xr6:coauthVersionLast="45" xr6:coauthVersionMax="45" xr10:uidLastSave="{00000000-0000-0000-0000-000000000000}"/>
  <bookViews>
    <workbookView minimized="1" xWindow="2784" yWindow="2784" windowWidth="2388" windowHeight="564" firstSheet="2" activeTab="7" xr2:uid="{46ECD96C-5A0F-4578-95ED-E9E0C0347B8C}"/>
  </bookViews>
  <sheets>
    <sheet name="STD.SEPT.24.2019" sheetId="5" r:id="rId1"/>
    <sheet name="STD.SEPT.26.2019" sheetId="1" r:id="rId2"/>
    <sheet name="R. differens.SEPT.24.2019" sheetId="4" r:id="rId3"/>
    <sheet name="SNK.R.d" sheetId="8" r:id="rId4"/>
    <sheet name="G.bimaculatus. SEPT.26.2019" sheetId="2" r:id="rId5"/>
    <sheet name="Sheet4" sheetId="11" r:id="rId6"/>
    <sheet name="SNK.G.b" sheetId="9" r:id="rId7"/>
    <sheet name="B. alcinioe.SEPT.26.2019" sheetId="3" r:id="rId8"/>
    <sheet name="SNK.B.a" sheetId="10" r:id="rId9"/>
    <sheet name="Total K. LCMS" sheetId="6" r:id="rId10"/>
    <sheet name="Sheet7" sheetId="7" r:id="rId11"/>
    <sheet name="Final Lysine" sheetId="12" r:id="rId12"/>
  </sheets>
  <externalReferences>
    <externalReference r:id="rId13"/>
  </externalReferences>
  <definedNames>
    <definedName name="c_Avail.K">'[1]SEPT.24.2019'!$D$19</definedName>
    <definedName name="c_avil.K.VIII">Sheet7!$C$57</definedName>
    <definedName name="c_K.IV">Sheet7!$J$18</definedName>
    <definedName name="c_K.VI">Sheet7!$J$37</definedName>
    <definedName name="Intercept.A.K">'STD.SEPT.26.2019'!$K$4</definedName>
    <definedName name="m_Avail.K">'[1]SEPT.24.2019'!$D$18</definedName>
    <definedName name="m_avil.K.VII">Sheet7!$C$56</definedName>
    <definedName name="m_K.IV">Sheet7!$J$17</definedName>
    <definedName name="m_K.VI">Sheet7!$J$36</definedName>
    <definedName name="Slope.A.K">'STD.SEPT.26.2019'!$K$3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7" i="12" l="1"/>
  <c r="Q17" i="12"/>
  <c r="P18" i="12"/>
  <c r="Q18" i="12"/>
  <c r="P19" i="12"/>
  <c r="Q19" i="12"/>
  <c r="P20" i="12"/>
  <c r="Q20" i="12"/>
  <c r="P21" i="12"/>
  <c r="Q21" i="12"/>
  <c r="P22" i="12"/>
  <c r="Q22" i="12"/>
  <c r="O18" i="12"/>
  <c r="O19" i="12"/>
  <c r="O20" i="12"/>
  <c r="O21" i="12"/>
  <c r="O22" i="12"/>
  <c r="O17" i="12"/>
  <c r="K6" i="12"/>
  <c r="L6" i="12"/>
  <c r="M6" i="12"/>
  <c r="K10" i="12"/>
  <c r="L10" i="12"/>
  <c r="M10" i="12"/>
  <c r="K14" i="12"/>
  <c r="L14" i="12"/>
  <c r="M14" i="12"/>
  <c r="K18" i="12"/>
  <c r="L18" i="12"/>
  <c r="M18" i="12"/>
  <c r="K22" i="12"/>
  <c r="L22" i="12"/>
  <c r="M22" i="12"/>
  <c r="L2" i="12"/>
  <c r="M2" i="12"/>
  <c r="K2" i="12"/>
  <c r="G6" i="12"/>
  <c r="H6" i="12"/>
  <c r="I6" i="12"/>
  <c r="G10" i="12"/>
  <c r="H10" i="12"/>
  <c r="I10" i="12"/>
  <c r="G14" i="12"/>
  <c r="H14" i="12"/>
  <c r="I14" i="12"/>
  <c r="G18" i="12"/>
  <c r="H18" i="12"/>
  <c r="I18" i="12"/>
  <c r="G22" i="12"/>
  <c r="H22" i="12"/>
  <c r="I22" i="12"/>
  <c r="H2" i="12"/>
  <c r="I2" i="12"/>
  <c r="G2" i="12"/>
  <c r="X13" i="12"/>
  <c r="X15" i="12"/>
  <c r="X17" i="12"/>
  <c r="X19" i="12"/>
  <c r="X11" i="12"/>
  <c r="X4" i="12"/>
  <c r="X6" i="12"/>
  <c r="X8" i="12"/>
  <c r="X2" i="12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18" i="4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18" i="3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17" i="2"/>
  <c r="E67" i="4" l="1"/>
  <c r="E63" i="4"/>
  <c r="E58" i="4"/>
  <c r="E54" i="4"/>
  <c r="E49" i="4"/>
  <c r="E45" i="4"/>
  <c r="E40" i="4"/>
  <c r="E36" i="4"/>
  <c r="E31" i="4"/>
  <c r="E27" i="4"/>
  <c r="E22" i="4"/>
  <c r="E18" i="4"/>
  <c r="D19" i="3" l="1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18" i="3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18" i="2"/>
  <c r="D19" i="2"/>
  <c r="D20" i="2"/>
  <c r="D17" i="2"/>
  <c r="D19" i="4" l="1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18" i="4"/>
  <c r="F7" i="6" l="1"/>
  <c r="G7" i="6" s="1"/>
  <c r="H7" i="6" s="1"/>
  <c r="F8" i="6"/>
  <c r="G8" i="6" s="1"/>
  <c r="H8" i="6" s="1"/>
  <c r="F9" i="6"/>
  <c r="G9" i="6" s="1"/>
  <c r="H9" i="6" s="1"/>
  <c r="F10" i="6"/>
  <c r="G10" i="6" s="1"/>
  <c r="H10" i="6" s="1"/>
  <c r="F11" i="6"/>
  <c r="G11" i="6"/>
  <c r="H11" i="6"/>
  <c r="F12" i="6"/>
  <c r="G12" i="6" s="1"/>
  <c r="H12" i="6" s="1"/>
  <c r="F6" i="6"/>
  <c r="G6" i="6" s="1"/>
  <c r="H6" i="6" s="1"/>
  <c r="G35" i="6"/>
  <c r="H35" i="6" s="1"/>
  <c r="I35" i="6" s="1"/>
  <c r="G38" i="6"/>
  <c r="H38" i="6" s="1"/>
  <c r="I38" i="6" s="1"/>
  <c r="G39" i="6"/>
  <c r="H39" i="6" s="1"/>
  <c r="I39" i="6" s="1"/>
  <c r="G40" i="6"/>
  <c r="H40" i="6" s="1"/>
  <c r="I40" i="6" s="1"/>
  <c r="G41" i="6"/>
  <c r="H41" i="6" s="1"/>
  <c r="I41" i="6" s="1"/>
  <c r="G42" i="6"/>
  <c r="H42" i="6" s="1"/>
  <c r="I42" i="6" s="1"/>
  <c r="G43" i="6"/>
  <c r="H43" i="6" s="1"/>
  <c r="I43" i="6" s="1"/>
  <c r="G44" i="6"/>
  <c r="H44" i="6" s="1"/>
  <c r="I44" i="6" s="1"/>
  <c r="G45" i="6"/>
  <c r="H45" i="6" s="1"/>
  <c r="I45" i="6" s="1"/>
  <c r="G46" i="6"/>
  <c r="H46" i="6" s="1"/>
  <c r="I46" i="6" s="1"/>
  <c r="G47" i="6"/>
  <c r="H47" i="6" s="1"/>
  <c r="I47" i="6" s="1"/>
  <c r="G34" i="6"/>
  <c r="H34" i="6" s="1"/>
  <c r="I34" i="6" s="1"/>
  <c r="C41" i="7" l="1"/>
  <c r="C42" i="7"/>
  <c r="C43" i="7"/>
  <c r="C44" i="7"/>
  <c r="C45" i="7"/>
  <c r="C46" i="7"/>
  <c r="C47" i="7"/>
  <c r="C48" i="7"/>
  <c r="C49" i="7"/>
  <c r="C50" i="7"/>
  <c r="C51" i="7"/>
  <c r="C52" i="7"/>
  <c r="C53" i="7"/>
  <c r="C40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2" i="7"/>
  <c r="F3" i="4"/>
  <c r="I3" i="4" s="1"/>
  <c r="L3" i="4" s="1"/>
  <c r="O3" i="4" s="1"/>
  <c r="G3" i="4"/>
  <c r="J3" i="4" s="1"/>
  <c r="M3" i="4" s="1"/>
  <c r="P3" i="4" s="1"/>
  <c r="H3" i="4"/>
  <c r="K3" i="4" s="1"/>
  <c r="N3" i="4" s="1"/>
  <c r="Q3" i="4" s="1"/>
  <c r="F4" i="4"/>
  <c r="I4" i="4" s="1"/>
  <c r="L4" i="4" s="1"/>
  <c r="O4" i="4" s="1"/>
  <c r="G4" i="4"/>
  <c r="J4" i="4" s="1"/>
  <c r="M4" i="4" s="1"/>
  <c r="P4" i="4" s="1"/>
  <c r="H4" i="4"/>
  <c r="K4" i="4" s="1"/>
  <c r="N4" i="4" s="1"/>
  <c r="Q4" i="4" s="1"/>
  <c r="F5" i="4"/>
  <c r="I5" i="4" s="1"/>
  <c r="L5" i="4" s="1"/>
  <c r="O5" i="4" s="1"/>
  <c r="G5" i="4"/>
  <c r="J5" i="4" s="1"/>
  <c r="M5" i="4" s="1"/>
  <c r="P5" i="4" s="1"/>
  <c r="H5" i="4"/>
  <c r="K5" i="4" s="1"/>
  <c r="N5" i="4" s="1"/>
  <c r="Q5" i="4" s="1"/>
  <c r="F6" i="4"/>
  <c r="I6" i="4" s="1"/>
  <c r="L6" i="4" s="1"/>
  <c r="O6" i="4" s="1"/>
  <c r="G6" i="4"/>
  <c r="J6" i="4" s="1"/>
  <c r="M6" i="4" s="1"/>
  <c r="P6" i="4" s="1"/>
  <c r="H6" i="4"/>
  <c r="K6" i="4" s="1"/>
  <c r="N6" i="4" s="1"/>
  <c r="Q6" i="4" s="1"/>
  <c r="F7" i="4"/>
  <c r="I7" i="4" s="1"/>
  <c r="L7" i="4" s="1"/>
  <c r="O7" i="4" s="1"/>
  <c r="G7" i="4"/>
  <c r="J7" i="4" s="1"/>
  <c r="M7" i="4" s="1"/>
  <c r="P7" i="4" s="1"/>
  <c r="H7" i="4"/>
  <c r="K7" i="4" s="1"/>
  <c r="N7" i="4" s="1"/>
  <c r="Q7" i="4" s="1"/>
  <c r="F8" i="4"/>
  <c r="I8" i="4" s="1"/>
  <c r="L8" i="4" s="1"/>
  <c r="O8" i="4" s="1"/>
  <c r="G8" i="4"/>
  <c r="J8" i="4" s="1"/>
  <c r="M8" i="4" s="1"/>
  <c r="P8" i="4" s="1"/>
  <c r="H8" i="4"/>
  <c r="K8" i="4" s="1"/>
  <c r="N8" i="4" s="1"/>
  <c r="Q8" i="4" s="1"/>
  <c r="F9" i="4"/>
  <c r="I9" i="4" s="1"/>
  <c r="L9" i="4" s="1"/>
  <c r="O9" i="4" s="1"/>
  <c r="G9" i="4"/>
  <c r="J9" i="4" s="1"/>
  <c r="M9" i="4" s="1"/>
  <c r="P9" i="4" s="1"/>
  <c r="H9" i="4"/>
  <c r="K9" i="4" s="1"/>
  <c r="N9" i="4" s="1"/>
  <c r="Q9" i="4" s="1"/>
  <c r="F10" i="4"/>
  <c r="I10" i="4" s="1"/>
  <c r="L10" i="4" s="1"/>
  <c r="O10" i="4" s="1"/>
  <c r="G10" i="4"/>
  <c r="J10" i="4" s="1"/>
  <c r="M10" i="4" s="1"/>
  <c r="P10" i="4" s="1"/>
  <c r="H10" i="4"/>
  <c r="K10" i="4" s="1"/>
  <c r="N10" i="4" s="1"/>
  <c r="Q10" i="4" s="1"/>
  <c r="F11" i="4"/>
  <c r="I11" i="4" s="1"/>
  <c r="L11" i="4" s="1"/>
  <c r="O11" i="4" s="1"/>
  <c r="G11" i="4"/>
  <c r="J11" i="4" s="1"/>
  <c r="M11" i="4" s="1"/>
  <c r="P11" i="4" s="1"/>
  <c r="H11" i="4"/>
  <c r="K11" i="4" s="1"/>
  <c r="N11" i="4" s="1"/>
  <c r="Q11" i="4" s="1"/>
  <c r="F12" i="4"/>
  <c r="I12" i="4" s="1"/>
  <c r="L12" i="4" s="1"/>
  <c r="O12" i="4" s="1"/>
  <c r="G12" i="4"/>
  <c r="J12" i="4" s="1"/>
  <c r="M12" i="4" s="1"/>
  <c r="P12" i="4" s="1"/>
  <c r="H12" i="4"/>
  <c r="K12" i="4" s="1"/>
  <c r="N12" i="4" s="1"/>
  <c r="Q12" i="4" s="1"/>
  <c r="F13" i="4"/>
  <c r="I13" i="4" s="1"/>
  <c r="L13" i="4" s="1"/>
  <c r="O13" i="4" s="1"/>
  <c r="G13" i="4"/>
  <c r="J13" i="4" s="1"/>
  <c r="M13" i="4" s="1"/>
  <c r="P13" i="4" s="1"/>
  <c r="H13" i="4"/>
  <c r="K13" i="4" s="1"/>
  <c r="N13" i="4" s="1"/>
  <c r="Q13" i="4" s="1"/>
  <c r="G2" i="4"/>
  <c r="J2" i="4" s="1"/>
  <c r="M2" i="4" s="1"/>
  <c r="P2" i="4" s="1"/>
  <c r="H2" i="4"/>
  <c r="K2" i="4" s="1"/>
  <c r="N2" i="4" s="1"/>
  <c r="Q2" i="4" s="1"/>
  <c r="F2" i="4"/>
  <c r="I2" i="4" s="1"/>
  <c r="L2" i="4" s="1"/>
  <c r="O2" i="4" s="1"/>
  <c r="W2" i="4" l="1"/>
  <c r="AF2" i="4" s="1"/>
  <c r="S2" i="4"/>
  <c r="AB2" i="4" s="1"/>
  <c r="X2" i="4"/>
  <c r="AG2" i="4" s="1"/>
  <c r="Z12" i="4"/>
  <c r="AI12" i="4" s="1"/>
  <c r="T12" i="4"/>
  <c r="AC12" i="4" s="1"/>
  <c r="Y12" i="4"/>
  <c r="AH12" i="4" s="1"/>
  <c r="U10" i="4"/>
  <c r="AD10" i="4" s="1"/>
  <c r="R10" i="4"/>
  <c r="AA10" i="4" s="1"/>
  <c r="V10" i="4"/>
  <c r="AE10" i="4" s="1"/>
  <c r="Z4" i="4"/>
  <c r="AI4" i="4" s="1"/>
  <c r="T4" i="4"/>
  <c r="AC4" i="4" s="1"/>
  <c r="Y4" i="4"/>
  <c r="AH4" i="4" s="1"/>
  <c r="S12" i="4"/>
  <c r="AB12" i="4" s="1"/>
  <c r="W12" i="4"/>
  <c r="AF12" i="4" s="1"/>
  <c r="X12" i="4"/>
  <c r="AG12" i="4" s="1"/>
  <c r="X8" i="4"/>
  <c r="AG8" i="4" s="1"/>
  <c r="S8" i="4"/>
  <c r="AB8" i="4" s="1"/>
  <c r="W8" i="4"/>
  <c r="AF8" i="4" s="1"/>
  <c r="S4" i="4"/>
  <c r="AB4" i="4" s="1"/>
  <c r="W4" i="4"/>
  <c r="AF4" i="4" s="1"/>
  <c r="X4" i="4"/>
  <c r="AG4" i="4" s="1"/>
  <c r="T8" i="4"/>
  <c r="AC8" i="4" s="1"/>
  <c r="Y8" i="4"/>
  <c r="AH8" i="4" s="1"/>
  <c r="Z8" i="4"/>
  <c r="AI8" i="4" s="1"/>
  <c r="U6" i="4"/>
  <c r="AD6" i="4" s="1"/>
  <c r="R6" i="4"/>
  <c r="AA6" i="4" s="1"/>
  <c r="V6" i="4"/>
  <c r="AE6" i="4" s="1"/>
  <c r="V2" i="4"/>
  <c r="AE2" i="4" s="1"/>
  <c r="R2" i="4"/>
  <c r="AA2" i="4" s="1"/>
  <c r="U2" i="4"/>
  <c r="AD2" i="4" s="1"/>
  <c r="R12" i="4"/>
  <c r="AA12" i="4" s="1"/>
  <c r="V12" i="4"/>
  <c r="AE12" i="4" s="1"/>
  <c r="U12" i="4"/>
  <c r="AD12" i="4" s="1"/>
  <c r="T10" i="4"/>
  <c r="AC10" i="4" s="1"/>
  <c r="Y10" i="4"/>
  <c r="AH10" i="4" s="1"/>
  <c r="Z10" i="4"/>
  <c r="AI10" i="4" s="1"/>
  <c r="U8" i="4"/>
  <c r="AD8" i="4" s="1"/>
  <c r="R8" i="4"/>
  <c r="AA8" i="4" s="1"/>
  <c r="V8" i="4"/>
  <c r="AE8" i="4" s="1"/>
  <c r="Y6" i="4"/>
  <c r="AH6" i="4" s="1"/>
  <c r="Z6" i="4"/>
  <c r="AI6" i="4" s="1"/>
  <c r="T6" i="4"/>
  <c r="AC6" i="4" s="1"/>
  <c r="R4" i="4"/>
  <c r="AA4" i="4" s="1"/>
  <c r="V4" i="4"/>
  <c r="AE4" i="4" s="1"/>
  <c r="U4" i="4"/>
  <c r="AD4" i="4" s="1"/>
  <c r="Z2" i="4"/>
  <c r="AI2" i="4" s="1"/>
  <c r="Y2" i="4"/>
  <c r="AH2" i="4" s="1"/>
  <c r="T2" i="4"/>
  <c r="AC2" i="4" s="1"/>
  <c r="S10" i="4"/>
  <c r="AB10" i="4" s="1"/>
  <c r="W10" i="4"/>
  <c r="AF10" i="4" s="1"/>
  <c r="X10" i="4"/>
  <c r="AG10" i="4" s="1"/>
  <c r="S6" i="4"/>
  <c r="AB6" i="4" s="1"/>
  <c r="W6" i="4"/>
  <c r="AF6" i="4" s="1"/>
  <c r="X6" i="4"/>
  <c r="AG6" i="4" s="1"/>
  <c r="P6" i="3"/>
  <c r="T6" i="3" s="1"/>
  <c r="Y6" i="3" s="1"/>
  <c r="L3" i="3"/>
  <c r="L9" i="3"/>
  <c r="K12" i="3"/>
  <c r="I2" i="3"/>
  <c r="K2" i="3" s="1"/>
  <c r="M2" i="3" s="1"/>
  <c r="Q2" i="3" s="1"/>
  <c r="V2" i="3" s="1"/>
  <c r="H5" i="3"/>
  <c r="J5" i="3" s="1"/>
  <c r="L5" i="3" s="1"/>
  <c r="H7" i="3"/>
  <c r="J7" i="3" s="1"/>
  <c r="L7" i="3" s="1"/>
  <c r="H9" i="3"/>
  <c r="J9" i="3" s="1"/>
  <c r="G12" i="3"/>
  <c r="I12" i="3" s="1"/>
  <c r="H13" i="3"/>
  <c r="J13" i="3" s="1"/>
  <c r="L13" i="3" s="1"/>
  <c r="H2" i="3"/>
  <c r="J2" i="3" s="1"/>
  <c r="L2" i="3" s="1"/>
  <c r="E3" i="3"/>
  <c r="G3" i="3" s="1"/>
  <c r="I3" i="3" s="1"/>
  <c r="K3" i="3" s="1"/>
  <c r="F3" i="3"/>
  <c r="H3" i="3" s="1"/>
  <c r="J3" i="3" s="1"/>
  <c r="E4" i="3"/>
  <c r="G4" i="3" s="1"/>
  <c r="I4" i="3" s="1"/>
  <c r="K4" i="3" s="1"/>
  <c r="F4" i="3"/>
  <c r="H4" i="3" s="1"/>
  <c r="J4" i="3" s="1"/>
  <c r="L4" i="3" s="1"/>
  <c r="E5" i="3"/>
  <c r="G5" i="3" s="1"/>
  <c r="I5" i="3" s="1"/>
  <c r="K5" i="3" s="1"/>
  <c r="P4" i="3" s="1"/>
  <c r="T4" i="3" s="1"/>
  <c r="Y4" i="3" s="1"/>
  <c r="F5" i="3"/>
  <c r="E6" i="3"/>
  <c r="G6" i="3" s="1"/>
  <c r="I6" i="3" s="1"/>
  <c r="K6" i="3" s="1"/>
  <c r="F6" i="3"/>
  <c r="H6" i="3" s="1"/>
  <c r="J6" i="3" s="1"/>
  <c r="L6" i="3" s="1"/>
  <c r="E7" i="3"/>
  <c r="G7" i="3" s="1"/>
  <c r="I7" i="3" s="1"/>
  <c r="K7" i="3" s="1"/>
  <c r="F7" i="3"/>
  <c r="E8" i="3"/>
  <c r="G8" i="3" s="1"/>
  <c r="I8" i="3" s="1"/>
  <c r="K8" i="3" s="1"/>
  <c r="F8" i="3"/>
  <c r="H8" i="3" s="1"/>
  <c r="J8" i="3" s="1"/>
  <c r="L8" i="3" s="1"/>
  <c r="E9" i="3"/>
  <c r="G9" i="3" s="1"/>
  <c r="I9" i="3" s="1"/>
  <c r="K9" i="3" s="1"/>
  <c r="F9" i="3"/>
  <c r="E10" i="3"/>
  <c r="G10" i="3" s="1"/>
  <c r="I10" i="3" s="1"/>
  <c r="K10" i="3" s="1"/>
  <c r="M10" i="3" s="1"/>
  <c r="Q10" i="3" s="1"/>
  <c r="V10" i="3" s="1"/>
  <c r="F10" i="3"/>
  <c r="H10" i="3" s="1"/>
  <c r="J10" i="3" s="1"/>
  <c r="L10" i="3" s="1"/>
  <c r="E11" i="3"/>
  <c r="G11" i="3" s="1"/>
  <c r="I11" i="3" s="1"/>
  <c r="K11" i="3" s="1"/>
  <c r="F11" i="3"/>
  <c r="H11" i="3" s="1"/>
  <c r="J11" i="3" s="1"/>
  <c r="L11" i="3" s="1"/>
  <c r="E12" i="3"/>
  <c r="F12" i="3"/>
  <c r="H12" i="3" s="1"/>
  <c r="J12" i="3" s="1"/>
  <c r="L12" i="3" s="1"/>
  <c r="E13" i="3"/>
  <c r="G13" i="3" s="1"/>
  <c r="I13" i="3" s="1"/>
  <c r="K13" i="3" s="1"/>
  <c r="F13" i="3"/>
  <c r="F2" i="3"/>
  <c r="E2" i="3"/>
  <c r="G2" i="3" s="1"/>
  <c r="G4" i="2"/>
  <c r="I4" i="2" s="1"/>
  <c r="K4" i="2" s="1"/>
  <c r="M4" i="2" s="1"/>
  <c r="G6" i="2"/>
  <c r="H7" i="2"/>
  <c r="J7" i="2" s="1"/>
  <c r="L7" i="2" s="1"/>
  <c r="N7" i="2" s="1"/>
  <c r="G10" i="2"/>
  <c r="I10" i="2" s="1"/>
  <c r="K10" i="2" s="1"/>
  <c r="M10" i="2" s="1"/>
  <c r="G12" i="2"/>
  <c r="I12" i="2" s="1"/>
  <c r="K12" i="2" s="1"/>
  <c r="M12" i="2" s="1"/>
  <c r="H3" i="2"/>
  <c r="J3" i="2" s="1"/>
  <c r="L3" i="2" s="1"/>
  <c r="N3" i="2" s="1"/>
  <c r="G2" i="2"/>
  <c r="I2" i="2" s="1"/>
  <c r="K2" i="2" s="1"/>
  <c r="M2" i="2" s="1"/>
  <c r="L12" i="2"/>
  <c r="N12" i="2" s="1"/>
  <c r="I6" i="2"/>
  <c r="K6" i="2" s="1"/>
  <c r="M6" i="2" s="1"/>
  <c r="J2" i="2"/>
  <c r="L2" i="2" s="1"/>
  <c r="N2" i="2" s="1"/>
  <c r="E3" i="2"/>
  <c r="G3" i="2" s="1"/>
  <c r="I3" i="2" s="1"/>
  <c r="K3" i="2" s="1"/>
  <c r="M3" i="2" s="1"/>
  <c r="F3" i="2"/>
  <c r="E4" i="2"/>
  <c r="F4" i="2"/>
  <c r="H4" i="2" s="1"/>
  <c r="J4" i="2" s="1"/>
  <c r="L4" i="2" s="1"/>
  <c r="N4" i="2" s="1"/>
  <c r="E5" i="2"/>
  <c r="G5" i="2" s="1"/>
  <c r="I5" i="2" s="1"/>
  <c r="K5" i="2" s="1"/>
  <c r="M5" i="2" s="1"/>
  <c r="F5" i="2"/>
  <c r="H5" i="2" s="1"/>
  <c r="J5" i="2" s="1"/>
  <c r="L5" i="2" s="1"/>
  <c r="N5" i="2" s="1"/>
  <c r="E6" i="2"/>
  <c r="F6" i="2"/>
  <c r="H6" i="2" s="1"/>
  <c r="J6" i="2" s="1"/>
  <c r="L6" i="2" s="1"/>
  <c r="N6" i="2" s="1"/>
  <c r="E7" i="2"/>
  <c r="G7" i="2" s="1"/>
  <c r="I7" i="2" s="1"/>
  <c r="K7" i="2" s="1"/>
  <c r="M7" i="2" s="1"/>
  <c r="F7" i="2"/>
  <c r="E8" i="2"/>
  <c r="G8" i="2" s="1"/>
  <c r="I8" i="2" s="1"/>
  <c r="K8" i="2" s="1"/>
  <c r="M8" i="2" s="1"/>
  <c r="F8" i="2"/>
  <c r="H8" i="2" s="1"/>
  <c r="J8" i="2" s="1"/>
  <c r="L8" i="2" s="1"/>
  <c r="N8" i="2" s="1"/>
  <c r="E9" i="2"/>
  <c r="G9" i="2" s="1"/>
  <c r="I9" i="2" s="1"/>
  <c r="K9" i="2" s="1"/>
  <c r="M9" i="2" s="1"/>
  <c r="F9" i="2"/>
  <c r="H9" i="2" s="1"/>
  <c r="J9" i="2" s="1"/>
  <c r="L9" i="2" s="1"/>
  <c r="N9" i="2" s="1"/>
  <c r="E10" i="2"/>
  <c r="F10" i="2"/>
  <c r="H10" i="2" s="1"/>
  <c r="J10" i="2" s="1"/>
  <c r="L10" i="2" s="1"/>
  <c r="N10" i="2" s="1"/>
  <c r="E11" i="2"/>
  <c r="G11" i="2" s="1"/>
  <c r="I11" i="2" s="1"/>
  <c r="K11" i="2" s="1"/>
  <c r="M11" i="2" s="1"/>
  <c r="F11" i="2"/>
  <c r="H11" i="2" s="1"/>
  <c r="J11" i="2" s="1"/>
  <c r="L11" i="2" s="1"/>
  <c r="N11" i="2" s="1"/>
  <c r="E12" i="2"/>
  <c r="F12" i="2"/>
  <c r="H12" i="2" s="1"/>
  <c r="J12" i="2" s="1"/>
  <c r="E13" i="2"/>
  <c r="G13" i="2" s="1"/>
  <c r="I13" i="2" s="1"/>
  <c r="K13" i="2" s="1"/>
  <c r="M13" i="2" s="1"/>
  <c r="F13" i="2"/>
  <c r="H13" i="2" s="1"/>
  <c r="J13" i="2" s="1"/>
  <c r="L13" i="2" s="1"/>
  <c r="N13" i="2" s="1"/>
  <c r="F2" i="2"/>
  <c r="H2" i="2" s="1"/>
  <c r="E2" i="2"/>
  <c r="M8" i="3" l="1"/>
  <c r="Q8" i="3" s="1"/>
  <c r="V8" i="3" s="1"/>
  <c r="O8" i="3"/>
  <c r="S8" i="3" s="1"/>
  <c r="X8" i="3" s="1"/>
  <c r="M6" i="3"/>
  <c r="Q6" i="3" s="1"/>
  <c r="V6" i="3" s="1"/>
  <c r="O6" i="3"/>
  <c r="S6" i="3" s="1"/>
  <c r="X6" i="3" s="1"/>
  <c r="M4" i="3"/>
  <c r="Q4" i="3" s="1"/>
  <c r="V4" i="3" s="1"/>
  <c r="O4" i="3"/>
  <c r="S4" i="3" s="1"/>
  <c r="X4" i="3" s="1"/>
  <c r="P4" i="2"/>
  <c r="T4" i="2" s="1"/>
  <c r="R4" i="2"/>
  <c r="V4" i="2" s="1"/>
  <c r="Q8" i="2"/>
  <c r="U8" i="2" s="1"/>
  <c r="O8" i="2"/>
  <c r="S8" i="2" s="1"/>
  <c r="Q10" i="2"/>
  <c r="U10" i="2" s="1"/>
  <c r="O10" i="2"/>
  <c r="S10" i="2" s="1"/>
  <c r="P12" i="3"/>
  <c r="T12" i="3" s="1"/>
  <c r="Y12" i="3" s="1"/>
  <c r="N12" i="3"/>
  <c r="R12" i="3" s="1"/>
  <c r="W12" i="3" s="1"/>
  <c r="N2" i="3"/>
  <c r="R2" i="3" s="1"/>
  <c r="W2" i="3" s="1"/>
  <c r="P2" i="3"/>
  <c r="T2" i="3" s="1"/>
  <c r="Y2" i="3" s="1"/>
  <c r="Q6" i="2"/>
  <c r="U6" i="2" s="1"/>
  <c r="O6" i="2"/>
  <c r="S6" i="2" s="1"/>
  <c r="O12" i="3"/>
  <c r="S12" i="3" s="1"/>
  <c r="X12" i="3" s="1"/>
  <c r="M12" i="3"/>
  <c r="Q12" i="3" s="1"/>
  <c r="V12" i="3" s="1"/>
  <c r="P12" i="2"/>
  <c r="T12" i="2" s="1"/>
  <c r="R12" i="2"/>
  <c r="V12" i="2" s="1"/>
  <c r="Q12" i="2"/>
  <c r="U12" i="2" s="1"/>
  <c r="O12" i="2"/>
  <c r="S12" i="2" s="1"/>
  <c r="O2" i="3"/>
  <c r="S2" i="3" s="1"/>
  <c r="X2" i="3" s="1"/>
  <c r="R10" i="2"/>
  <c r="V10" i="2" s="1"/>
  <c r="P10" i="2"/>
  <c r="T10" i="2" s="1"/>
  <c r="P8" i="2"/>
  <c r="T8" i="2" s="1"/>
  <c r="R8" i="2"/>
  <c r="V8" i="2" s="1"/>
  <c r="R6" i="2"/>
  <c r="V6" i="2" s="1"/>
  <c r="P6" i="2"/>
  <c r="T6" i="2" s="1"/>
  <c r="P2" i="2"/>
  <c r="T2" i="2" s="1"/>
  <c r="R2" i="2"/>
  <c r="V2" i="2" s="1"/>
  <c r="Q4" i="2"/>
  <c r="U4" i="2" s="1"/>
  <c r="O4" i="2"/>
  <c r="S4" i="2" s="1"/>
  <c r="O2" i="2"/>
  <c r="S2" i="2" s="1"/>
  <c r="Q2" i="2"/>
  <c r="U2" i="2" s="1"/>
  <c r="P10" i="3"/>
  <c r="T10" i="3" s="1"/>
  <c r="Y10" i="3" s="1"/>
  <c r="N8" i="3"/>
  <c r="R8" i="3" s="1"/>
  <c r="W8" i="3" s="1"/>
  <c r="N6" i="3"/>
  <c r="R6" i="3" s="1"/>
  <c r="W6" i="3" s="1"/>
  <c r="N4" i="3"/>
  <c r="R4" i="3" s="1"/>
  <c r="W4" i="3" s="1"/>
  <c r="P8" i="3"/>
  <c r="T8" i="3" s="1"/>
  <c r="Y8" i="3" s="1"/>
  <c r="N10" i="3"/>
  <c r="R10" i="3" s="1"/>
  <c r="W10" i="3" s="1"/>
  <c r="O10" i="3"/>
  <c r="S10" i="3" s="1"/>
  <c r="X10" i="3" s="1"/>
</calcChain>
</file>

<file path=xl/sharedStrings.xml><?xml version="1.0" encoding="utf-8"?>
<sst xmlns="http://schemas.openxmlformats.org/spreadsheetml/2006/main" count="574" uniqueCount="157">
  <si>
    <t>Conc. (mM)</t>
  </si>
  <si>
    <t>Abs (482nm)</t>
  </si>
  <si>
    <t>STATE</t>
  </si>
  <si>
    <t>FD1</t>
  </si>
  <si>
    <t>FD2</t>
  </si>
  <si>
    <t>OD1</t>
  </si>
  <si>
    <t>Abs1</t>
  </si>
  <si>
    <t>Abs2</t>
  </si>
  <si>
    <t>Abs</t>
  </si>
  <si>
    <t>Abs3</t>
  </si>
  <si>
    <t>Mass(mg)</t>
  </si>
  <si>
    <t>OD2</t>
  </si>
  <si>
    <t>SD1</t>
  </si>
  <si>
    <t>SD2</t>
  </si>
  <si>
    <t>CD1</t>
  </si>
  <si>
    <t>CD2</t>
  </si>
  <si>
    <t>BSD1</t>
  </si>
  <si>
    <t>BSD2</t>
  </si>
  <si>
    <t>BCD1</t>
  </si>
  <si>
    <t>BCD2</t>
  </si>
  <si>
    <t>y = 24.749x + 0.0013</t>
  </si>
  <si>
    <t>Slope.A.K</t>
  </si>
  <si>
    <t>Intercept.A.K</t>
  </si>
  <si>
    <t>Conc.(mM)</t>
  </si>
  <si>
    <t>DFxConc.</t>
  </si>
  <si>
    <t>ODC-DFxC</t>
  </si>
  <si>
    <t>ODC-DF.Conc</t>
  </si>
  <si>
    <t>Reacted STD</t>
  </si>
  <si>
    <t>Lysine (mmol/g Flour)</t>
  </si>
  <si>
    <t>Lysine (mg/g Flour)</t>
  </si>
  <si>
    <t>Lysine (mg/g IPC)</t>
  </si>
  <si>
    <t>y = 25.017x + 0.0074</t>
  </si>
  <si>
    <t>R² = 0.9999</t>
  </si>
  <si>
    <t>m_Avail.K</t>
  </si>
  <si>
    <t>c_Avail.K</t>
  </si>
  <si>
    <t>State</t>
  </si>
  <si>
    <t>DC</t>
  </si>
  <si>
    <t>DFxDC</t>
  </si>
  <si>
    <t>ODC-DFxDC</t>
  </si>
  <si>
    <t>Basic amino acid(mmol/g Flour)</t>
  </si>
  <si>
    <t>Reactive Lysine (mMol/g Flour)</t>
  </si>
  <si>
    <t>Reactive Lysine (mg/g Flour)</t>
  </si>
  <si>
    <t>Sample</t>
  </si>
  <si>
    <t>mass</t>
  </si>
  <si>
    <t>Peak Area</t>
  </si>
  <si>
    <t>FD</t>
  </si>
  <si>
    <t>OD</t>
  </si>
  <si>
    <t>SD</t>
  </si>
  <si>
    <t>CD</t>
  </si>
  <si>
    <t>BSD</t>
  </si>
  <si>
    <t>BCD</t>
  </si>
  <si>
    <t>R.differens</t>
  </si>
  <si>
    <t>G. bimaculatus</t>
  </si>
  <si>
    <t>B. alcinoe</t>
  </si>
  <si>
    <t>Vol_inj</t>
  </si>
  <si>
    <t>K</t>
  </si>
  <si>
    <t>STD_aa</t>
  </si>
  <si>
    <t>Conc. (ng)</t>
  </si>
  <si>
    <t>April</t>
  </si>
  <si>
    <t>m_K.IV</t>
  </si>
  <si>
    <t>c_K.IV</t>
  </si>
  <si>
    <t>June</t>
  </si>
  <si>
    <t>Mass(ng)</t>
  </si>
  <si>
    <t>m_K.VI</t>
  </si>
  <si>
    <t>c_K.VI</t>
  </si>
  <si>
    <t>Peak Area. VI</t>
  </si>
  <si>
    <t>Peak Area.IV</t>
  </si>
  <si>
    <t>Mass (ng)</t>
  </si>
  <si>
    <t>c_avil.K.VIII</t>
  </si>
  <si>
    <t>m_avil.K.VII</t>
  </si>
  <si>
    <t>BSSD</t>
  </si>
  <si>
    <t>BSCD</t>
  </si>
  <si>
    <t>mg/g</t>
  </si>
  <si>
    <t>Peak Area VIII</t>
  </si>
  <si>
    <t>Avail.Lysine</t>
  </si>
  <si>
    <t>Crude.Fats</t>
  </si>
  <si>
    <t>Correct.AK</t>
  </si>
  <si>
    <t>std</t>
  </si>
  <si>
    <t>r</t>
  </si>
  <si>
    <t>Min</t>
  </si>
  <si>
    <t>Max</t>
  </si>
  <si>
    <t>groups</t>
  </si>
  <si>
    <t>a</t>
  </si>
  <si>
    <t>b</t>
  </si>
  <si>
    <t>c</t>
  </si>
  <si>
    <t>d</t>
  </si>
  <si>
    <r>
      <t>a</t>
    </r>
    <r>
      <rPr>
        <sz val="11"/>
        <color theme="1"/>
        <rFont val="Calibri"/>
        <family val="2"/>
      </rPr>
      <t>±</t>
    </r>
  </si>
  <si>
    <t>e±</t>
  </si>
  <si>
    <t>b±</t>
  </si>
  <si>
    <t>d±</t>
  </si>
  <si>
    <t>c±</t>
  </si>
  <si>
    <t>AK</t>
  </si>
  <si>
    <t>CF</t>
  </si>
  <si>
    <t>bc</t>
  </si>
  <si>
    <r>
      <t>b</t>
    </r>
    <r>
      <rPr>
        <sz val="11"/>
        <color theme="1"/>
        <rFont val="Calibri"/>
        <family val="2"/>
      </rPr>
      <t>±</t>
    </r>
  </si>
  <si>
    <t>bc±</t>
  </si>
  <si>
    <t>a±</t>
  </si>
  <si>
    <t>Lysine(mg/g Flour)</t>
  </si>
  <si>
    <t>Crude Fat</t>
  </si>
  <si>
    <t>24.33 ± 1.30ab</t>
  </si>
  <si>
    <t>24.44 ± 1.07ab</t>
  </si>
  <si>
    <t>25.65 ± 0.33a</t>
  </si>
  <si>
    <t>24.42 ± 1.59a</t>
  </si>
  <si>
    <t>24.02 ± 0.88ab</t>
  </si>
  <si>
    <t>22.41 ± 0.59b</t>
  </si>
  <si>
    <t>ab</t>
  </si>
  <si>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>0.17</t>
    </r>
  </si>
  <si>
    <t>±0.23</t>
  </si>
  <si>
    <t>±0.14</t>
  </si>
  <si>
    <t>±0.16</t>
  </si>
  <si>
    <t>±0.18</t>
  </si>
  <si>
    <r>
      <t xml:space="preserve">4.42c </t>
    </r>
    <r>
      <rPr>
        <sz val="11"/>
        <color theme="1"/>
        <rFont val="Calibri"/>
        <family val="2"/>
      </rPr>
      <t>± 0.16</t>
    </r>
  </si>
  <si>
    <t>4.78ab ± 0.23</t>
  </si>
  <si>
    <t>5.06a ± 0.18</t>
  </si>
  <si>
    <t>3.93d ± 0.14</t>
  </si>
  <si>
    <t>3.82d ± 0.23</t>
  </si>
  <si>
    <t>4.7bc ± 0.17</t>
  </si>
  <si>
    <t>Drying Method</t>
  </si>
  <si>
    <t>Crude Protein</t>
  </si>
  <si>
    <t>Crude Fats</t>
  </si>
  <si>
    <t>Ash</t>
  </si>
  <si>
    <t>rK_Gr.b</t>
  </si>
  <si>
    <t>rK.Ba</t>
  </si>
  <si>
    <t>rk.Rd</t>
  </si>
  <si>
    <t>rk_R.d</t>
  </si>
  <si>
    <t>cd</t>
  </si>
  <si>
    <t>37.9</t>
  </si>
  <si>
    <t>38.7</t>
  </si>
  <si>
    <t>7.4</t>
  </si>
  <si>
    <t>34.0</t>
  </si>
  <si>
    <t>31.7</t>
  </si>
  <si>
    <t>7.8</t>
  </si>
  <si>
    <t>34.4</t>
  </si>
  <si>
    <t>39.5</t>
  </si>
  <si>
    <t>8.3</t>
  </si>
  <si>
    <t>34.2</t>
  </si>
  <si>
    <t>40.5</t>
  </si>
  <si>
    <t>6.4</t>
  </si>
  <si>
    <t>35.5</t>
  </si>
  <si>
    <t>41.2</t>
  </si>
  <si>
    <t>36.3</t>
  </si>
  <si>
    <t>39.2</t>
  </si>
  <si>
    <t>7.7</t>
  </si>
  <si>
    <t>0.7</t>
  </si>
  <si>
    <t>0.5</t>
  </si>
  <si>
    <t>0.3</t>
  </si>
  <si>
    <t>0.8</t>
  </si>
  <si>
    <t>0.4</t>
  </si>
  <si>
    <t>0.9</t>
  </si>
  <si>
    <t>1.9</t>
  </si>
  <si>
    <t>1.1</t>
  </si>
  <si>
    <t>0.2</t>
  </si>
  <si>
    <t>0.0</t>
  </si>
  <si>
    <t>±</t>
  </si>
  <si>
    <t>R.d</t>
  </si>
  <si>
    <t>G.b</t>
  </si>
  <si>
    <t>B.a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</si>
</sst>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"/>
    <numFmt numFmtId="166" formatCode="0.000"/>
  </numFmts>
  <fonts count="4" x14ac:knownFonts="1">
    <font>
      <sz val="11"/>
      <color theme="1"/>
      <name val="Calibri"/>
      <family val="2"/>
      <scheme val="minor"/>
    </font>
    <font>
      <sz val="9"/>
      <color rgb="FF595959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 readingOrder="1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 vertical="center"/>
    </xf>
    <xf numFmtId="11" fontId="0" fillId="0" borderId="0" xfId="0" applyNumberFormat="1"/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'STD.SEPT.24.2019'!$B$1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8397397200349956"/>
                  <c:y val="-0.1807648002333041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25.017x + 0.0074</a:t>
                    </a:r>
                    <a:br>
                      <a:rPr lang="en-US" baseline="0"/>
                    </a:br>
                    <a:r>
                      <a:rPr lang="en-US" baseline="0"/>
                      <a:t>R² = 0.9999</a:t>
                    </a:r>
                    <a:endParaRPr lang="en-GB">
                      <a:effectLst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'STD.SEPT.24.2019'!$A$2:$A$8</c:f>
              <c:numCache>
                <c:formatCode>General</c:formatCode>
                <c:ptCount val="7"/>
                <c:pt idx="0">
                  <c:v>3.1231200000000001E-3</c:v>
                </c:pt>
                <c:pt idx="1">
                  <c:v>9.3693600000000002E-3</c:v>
                </c:pt>
                <c:pt idx="2">
                  <c:v>1.56156E-2</c:v>
                </c:pt>
                <c:pt idx="3">
                  <c:v>2.186184E-2</c:v>
                </c:pt>
                <c:pt idx="4">
                  <c:v>2.8108080000000001E-2</c:v>
                </c:pt>
                <c:pt idx="5">
                  <c:v>3.1231200000000001E-2</c:v>
                </c:pt>
                <c:pt idx="6">
                  <c:v>3.8908999999999999E-2</c:v>
                </c:pt>
              </c:numCache>
            </c:numRef>
          </c:xVal>
          <c:yVal>
            <c:numRef>
              <c:f>'STD.SEPT.24.2019'!$B$2:$B$8</c:f>
              <c:numCache>
                <c:formatCode>General</c:formatCode>
                <c:ptCount val="7"/>
                <c:pt idx="0">
                  <c:v>8.2000000000000003E-2</c:v>
                </c:pt>
                <c:pt idx="1">
                  <c:v>0.24199999999999999</c:v>
                </c:pt>
                <c:pt idx="2">
                  <c:v>0.4</c:v>
                </c:pt>
                <c:pt idx="3">
                  <c:v>0.55700000000000005</c:v>
                </c:pt>
                <c:pt idx="4">
                  <c:v>0.71199999999999997</c:v>
                </c:pt>
                <c:pt idx="5">
                  <c:v>0.79100000000000004</c:v>
                </c:pt>
                <c:pt idx="6">
                  <c:v>0.97599999999999998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69-4C13-9E9D-CD2E76EBF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5859264"/>
        <c:axId val="755855000"/>
      </c:scatterChart>
      <c:valAx>
        <c:axId val="75585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55000"/>
        <c:crosses val="autoZero"/>
        <c:crossBetween val="midCat"/>
      </c:valAx>
      <c:valAx>
        <c:axId val="755855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5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'STD.SEPT.26.2019'!$B$1</c:f>
              <c:strCache>
                <c:ptCount val="1"/>
                <c:pt idx="0">
                  <c:v>Abs (482nm)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4566382327209098"/>
                  <c:y val="-0.197190871974336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6.1455380577427825E-2"/>
                  <c:y val="-0.183301983085447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'STD.SEPT.26.2019'!$A$2:$A$8</c:f>
              <c:numCache>
                <c:formatCode>General</c:formatCode>
                <c:ptCount val="7"/>
                <c:pt idx="0">
                  <c:v>3.1231200000000001E-3</c:v>
                </c:pt>
                <c:pt idx="1">
                  <c:v>9.3693600000000002E-3</c:v>
                </c:pt>
                <c:pt idx="2">
                  <c:v>1.56156E-2</c:v>
                </c:pt>
                <c:pt idx="3">
                  <c:v>2.186184E-2</c:v>
                </c:pt>
                <c:pt idx="4">
                  <c:v>2.8108080000000001E-2</c:v>
                </c:pt>
                <c:pt idx="5">
                  <c:v>3.1231200000000001E-2</c:v>
                </c:pt>
                <c:pt idx="6">
                  <c:v>3.8939000000000001E-2</c:v>
                </c:pt>
              </c:numCache>
            </c:numRef>
          </c:xVal>
          <c:yVal>
            <c:numRef>
              <c:f>'STD.SEPT.26.2019'!$B$2:$B$8</c:f>
              <c:numCache>
                <c:formatCode>General</c:formatCode>
                <c:ptCount val="7"/>
                <c:pt idx="0">
                  <c:v>7.3999999999999996E-2</c:v>
                </c:pt>
                <c:pt idx="1">
                  <c:v>0.23300000000000001</c:v>
                </c:pt>
                <c:pt idx="2">
                  <c:v>0.39</c:v>
                </c:pt>
                <c:pt idx="3">
                  <c:v>0.54600000000000004</c:v>
                </c:pt>
                <c:pt idx="4">
                  <c:v>0.7</c:v>
                </c:pt>
                <c:pt idx="5">
                  <c:v>0.77700000000000002</c:v>
                </c:pt>
                <c:pt idx="6">
                  <c:v>0.95799999999999996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AA-4EBB-9EEF-727B8B141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740192"/>
        <c:axId val="172738224"/>
      </c:scatterChart>
      <c:valAx>
        <c:axId val="172740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38224"/>
        <c:crosses val="autoZero"/>
        <c:crossBetween val="midCat"/>
      </c:valAx>
      <c:valAx>
        <c:axId val="17273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40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Sheet7!$D$1</c:f>
              <c:strCache>
                <c:ptCount val="1"/>
                <c:pt idx="0">
                  <c:v>Peak Area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5745406824146982E-2"/>
                  <c:y val="-0.157824074074074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Sheet7!$C$2:$C$9</c:f>
              <c:numCache>
                <c:formatCode>General</c:formatCode>
                <c:ptCount val="8"/>
                <c:pt idx="0">
                  <c:v>36.800000000000004</c:v>
                </c:pt>
                <c:pt idx="1">
                  <c:v>36.800000000000004</c:v>
                </c:pt>
                <c:pt idx="2">
                  <c:v>110.39999999999999</c:v>
                </c:pt>
                <c:pt idx="3">
                  <c:v>110.39999999999999</c:v>
                </c:pt>
                <c:pt idx="4">
                  <c:v>184</c:v>
                </c:pt>
                <c:pt idx="5">
                  <c:v>184</c:v>
                </c:pt>
                <c:pt idx="6">
                  <c:v>368</c:v>
                </c:pt>
                <c:pt idx="7">
                  <c:v>368</c:v>
                </c:pt>
              </c:numCache>
            </c:numRef>
          </c:xVal>
          <c:yVal>
            <c:numRef>
              <c:f>Sheet7!$D$2:$D$9</c:f>
              <c:numCache>
                <c:formatCode>General</c:formatCode>
                <c:ptCount val="8"/>
                <c:pt idx="0">
                  <c:v>25096337</c:v>
                </c:pt>
                <c:pt idx="1">
                  <c:v>26325605</c:v>
                </c:pt>
                <c:pt idx="2">
                  <c:v>58000547</c:v>
                </c:pt>
                <c:pt idx="3">
                  <c:v>57771776</c:v>
                </c:pt>
                <c:pt idx="4">
                  <c:v>85854442</c:v>
                </c:pt>
                <c:pt idx="5">
                  <c:v>81988116</c:v>
                </c:pt>
                <c:pt idx="6">
                  <c:v>127685488</c:v>
                </c:pt>
                <c:pt idx="7">
                  <c:v>126992790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60-4179-B4E8-21FBB4AAF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948192"/>
        <c:axId val="745949176"/>
      </c:scatterChart>
      <c:valAx>
        <c:axId val="74594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949176"/>
        <c:crosses val="autoZero"/>
        <c:crossBetween val="midCat"/>
      </c:valAx>
      <c:valAx>
        <c:axId val="74594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948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Sheet7!$D$1</c:f>
              <c:strCache>
                <c:ptCount val="1"/>
                <c:pt idx="0">
                  <c:v>Peak Area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7018985126859142"/>
                  <c:y val="-0.185407553222513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Sheet7!$C$2:$C$7</c:f>
              <c:numCache>
                <c:formatCode>General</c:formatCode>
                <c:ptCount val="6"/>
                <c:pt idx="0">
                  <c:v>36.800000000000004</c:v>
                </c:pt>
                <c:pt idx="1">
                  <c:v>36.800000000000004</c:v>
                </c:pt>
                <c:pt idx="2">
                  <c:v>110.39999999999999</c:v>
                </c:pt>
                <c:pt idx="3">
                  <c:v>110.39999999999999</c:v>
                </c:pt>
                <c:pt idx="4">
                  <c:v>184</c:v>
                </c:pt>
                <c:pt idx="5">
                  <c:v>184</c:v>
                </c:pt>
              </c:numCache>
            </c:numRef>
          </c:xVal>
          <c:yVal>
            <c:numRef>
              <c:f>Sheet7!$D$2:$D$7</c:f>
              <c:numCache>
                <c:formatCode>General</c:formatCode>
                <c:ptCount val="6"/>
                <c:pt idx="0">
                  <c:v>25096337</c:v>
                </c:pt>
                <c:pt idx="1">
                  <c:v>26325605</c:v>
                </c:pt>
                <c:pt idx="2">
                  <c:v>58000547</c:v>
                </c:pt>
                <c:pt idx="3">
                  <c:v>57771776</c:v>
                </c:pt>
                <c:pt idx="4">
                  <c:v>85854442</c:v>
                </c:pt>
                <c:pt idx="5">
                  <c:v>81988116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7-4253-90B3-6627EB2CB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569112"/>
        <c:axId val="626571080"/>
      </c:scatterChart>
      <c:valAx>
        <c:axId val="62656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571080"/>
        <c:crosses val="autoZero"/>
        <c:crossBetween val="midCat"/>
      </c:valAx>
      <c:valAx>
        <c:axId val="626571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56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Sheet7!$D$19</c:f>
              <c:strCache>
                <c:ptCount val="1"/>
                <c:pt idx="0">
                  <c:v>Peak Area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2073206474190725"/>
                  <c:y val="-0.234382473024205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Sheet7!$C$20:$C$27</c:f>
              <c:numCache>
                <c:formatCode>General</c:formatCode>
                <c:ptCount val="8"/>
                <c:pt idx="0">
                  <c:v>36.800000000000004</c:v>
                </c:pt>
                <c:pt idx="1">
                  <c:v>36.800000000000004</c:v>
                </c:pt>
                <c:pt idx="2">
                  <c:v>110.39999999999999</c:v>
                </c:pt>
                <c:pt idx="3">
                  <c:v>110.39999999999999</c:v>
                </c:pt>
                <c:pt idx="4">
                  <c:v>184</c:v>
                </c:pt>
                <c:pt idx="5">
                  <c:v>184</c:v>
                </c:pt>
                <c:pt idx="6">
                  <c:v>368</c:v>
                </c:pt>
                <c:pt idx="7">
                  <c:v>368</c:v>
                </c:pt>
              </c:numCache>
            </c:numRef>
          </c:xVal>
          <c:yVal>
            <c:numRef>
              <c:f>Sheet7!$D$20:$D$27</c:f>
              <c:numCache>
                <c:formatCode>General</c:formatCode>
                <c:ptCount val="8"/>
                <c:pt idx="0">
                  <c:v>3960684</c:v>
                </c:pt>
                <c:pt idx="1">
                  <c:v>4039183</c:v>
                </c:pt>
                <c:pt idx="4">
                  <c:v>12844668</c:v>
                </c:pt>
                <c:pt idx="5">
                  <c:v>12404938</c:v>
                </c:pt>
                <c:pt idx="6">
                  <c:v>19104345</c:v>
                </c:pt>
                <c:pt idx="7">
                  <c:v>19172947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E7-44AA-A78E-1C417A6AB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644720"/>
        <c:axId val="625463840"/>
      </c:scatterChart>
      <c:valAx>
        <c:axId val="758644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63840"/>
        <c:crosses val="autoZero"/>
        <c:crossBetween val="midCat"/>
      </c:valAx>
      <c:valAx>
        <c:axId val="62546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644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Sheet7!$D$39</c:f>
              <c:strCache>
                <c:ptCount val="1"/>
                <c:pt idx="0">
                  <c:v>Peak Area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9349606299212601"/>
                  <c:y val="-0.242486147564887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Sheet7!$C$40:$C$53</c:f>
              <c:numCache>
                <c:formatCode>General</c:formatCode>
                <c:ptCount val="14"/>
                <c:pt idx="0">
                  <c:v>3.68</c:v>
                </c:pt>
                <c:pt idx="1">
                  <c:v>3.68</c:v>
                </c:pt>
                <c:pt idx="2">
                  <c:v>18.400000000000002</c:v>
                </c:pt>
                <c:pt idx="3">
                  <c:v>18.400000000000002</c:v>
                </c:pt>
                <c:pt idx="4">
                  <c:v>36.800000000000004</c:v>
                </c:pt>
                <c:pt idx="5">
                  <c:v>36.800000000000004</c:v>
                </c:pt>
                <c:pt idx="6">
                  <c:v>92</c:v>
                </c:pt>
                <c:pt idx="7">
                  <c:v>92</c:v>
                </c:pt>
                <c:pt idx="8">
                  <c:v>184</c:v>
                </c:pt>
                <c:pt idx="9">
                  <c:v>184</c:v>
                </c:pt>
                <c:pt idx="10">
                  <c:v>276</c:v>
                </c:pt>
                <c:pt idx="11">
                  <c:v>276</c:v>
                </c:pt>
                <c:pt idx="12">
                  <c:v>368</c:v>
                </c:pt>
                <c:pt idx="13">
                  <c:v>368</c:v>
                </c:pt>
              </c:numCache>
            </c:numRef>
          </c:xVal>
          <c:yVal>
            <c:numRef>
              <c:f>Sheet7!$D$40:$D$53</c:f>
              <c:numCache>
                <c:formatCode>General</c:formatCode>
                <c:ptCount val="14"/>
                <c:pt idx="0">
                  <c:v>791750</c:v>
                </c:pt>
                <c:pt idx="1">
                  <c:v>697594</c:v>
                </c:pt>
                <c:pt idx="2">
                  <c:v>1688851</c:v>
                </c:pt>
                <c:pt idx="3">
                  <c:v>2006610</c:v>
                </c:pt>
                <c:pt idx="4">
                  <c:v>3479699</c:v>
                </c:pt>
                <c:pt idx="5">
                  <c:v>3256112</c:v>
                </c:pt>
                <c:pt idx="6">
                  <c:v>8590168</c:v>
                </c:pt>
                <c:pt idx="7">
                  <c:v>8729948</c:v>
                </c:pt>
                <c:pt idx="8">
                  <c:v>14634702</c:v>
                </c:pt>
                <c:pt idx="9">
                  <c:v>15233951</c:v>
                </c:pt>
                <c:pt idx="10">
                  <c:v>21670626</c:v>
                </c:pt>
                <c:pt idx="11">
                  <c:v>19497001</c:v>
                </c:pt>
                <c:pt idx="12">
                  <c:v>26659203</c:v>
                </c:pt>
                <c:pt idx="13">
                  <c:v>26336248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48-41F9-88CE-6F984EA28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986952"/>
        <c:axId val="758647344"/>
      </c:scatterChart>
      <c:valAx>
        <c:axId val="850986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647344"/>
        <c:crosses val="autoZero"/>
        <c:crossBetween val="midCat"/>
      </c:valAx>
      <c:valAx>
        <c:axId val="75864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86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0</xdr:row>
      <xdr:rowOff>0</xdr:rowOff>
    </xdr:from>
    <xdr:to>
      <xdr:col>10</xdr:col>
      <xdr:colOff>320040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D71AC1-C7FE-4B5D-AF73-5A32A3866A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133350</xdr:rowOff>
    </xdr:from>
    <xdr:to>
      <xdr:col>6</xdr:col>
      <xdr:colOff>220980</xdr:colOff>
      <xdr:row>23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E92C74-40AD-4476-BAD6-D0088FDD2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327660</xdr:colOff>
      <xdr:row>0</xdr:row>
      <xdr:rowOff>34290</xdr:rowOff>
    </xdr:from>
    <xdr:to>
      <xdr:col>20</xdr:col>
      <xdr:colOff>22860</xdr:colOff>
      <xdr:row>15</xdr:row>
      <xdr:rowOff>34290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D0F98E4-7CFE-40A1-AA06-E9CBACBCD5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320040</xdr:colOff>
      <xdr:row>0</xdr:row>
      <xdr:rowOff>19050</xdr:rowOff>
    </xdr:from>
    <xdr:to>
      <xdr:col>12</xdr:col>
      <xdr:colOff>15240</xdr:colOff>
      <xdr:row>15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B024DA8-E33E-4D01-8D39-AEB4F4BABD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320040</xdr:colOff>
      <xdr:row>18</xdr:row>
      <xdr:rowOff>179070</xdr:rowOff>
    </xdr:from>
    <xdr:to>
      <xdr:col>13</xdr:col>
      <xdr:colOff>15240</xdr:colOff>
      <xdr:row>33</xdr:row>
      <xdr:rowOff>179070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A0D9A4-B5E4-4682-8535-A94C9C9636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320040</xdr:colOff>
      <xdr:row>38</xdr:row>
      <xdr:rowOff>179070</xdr:rowOff>
    </xdr:from>
    <xdr:to>
      <xdr:col>13</xdr:col>
      <xdr:colOff>15240</xdr:colOff>
      <xdr:row>53</xdr:row>
      <xdr:rowOff>179070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8D7F21C-6150-4F78-9663-B8457C749F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JOWE/Desktop/Yisa.Available%20Lysine/STD.08.IX.2019.Yi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T.08.2019"/>
      <sheetName val="SEPT.24.2019"/>
      <sheetName val="R.differens.SEPT.24.2019"/>
      <sheetName val="Sheet1"/>
    </sheetNames>
    <sheetDataSet>
      <sheetData sheetId="0"/>
      <sheetData sheetId="1">
        <row r="18">
          <cell r="D18">
            <v>25.016999999999999</v>
          </cell>
        </row>
        <row r="19">
          <cell r="D19">
            <v>7.4000000000000003E-3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92F85-9753-41F2-9C7A-ACE4866BC9CC}">
  <dimension ref="A1:B14"/>
  <sheetViews>
    <sheetView workbookViewId="0">
      <selection activeCell="B13" sqref="B13"/>
    </sheetView>
  </sheetViews>
  <sheetFormatPr defaultRowHeight="14.4" x14ac:dyDescent="0.3"/>
  <sheetData>
    <row r="1" spans="1:2" x14ac:dyDescent="0.3">
      <c r="A1" t="s">
        <v>23</v>
      </c>
      <c r="B1" t="s">
        <v>8</v>
      </c>
    </row>
    <row r="2" spans="1:2" x14ac:dyDescent="0.3">
      <c r="A2">
        <v>3.1231200000000001E-3</v>
      </c>
      <c r="B2">
        <v>8.2000000000000003E-2</v>
      </c>
    </row>
    <row r="3" spans="1:2" x14ac:dyDescent="0.3">
      <c r="A3">
        <v>9.3693600000000002E-3</v>
      </c>
      <c r="B3">
        <v>0.24199999999999999</v>
      </c>
    </row>
    <row r="4" spans="1:2" x14ac:dyDescent="0.3">
      <c r="A4">
        <v>1.56156E-2</v>
      </c>
      <c r="B4">
        <v>0.4</v>
      </c>
    </row>
    <row r="5" spans="1:2" x14ac:dyDescent="0.3">
      <c r="A5">
        <v>2.186184E-2</v>
      </c>
      <c r="B5">
        <v>0.55700000000000005</v>
      </c>
    </row>
    <row r="6" spans="1:2" x14ac:dyDescent="0.3">
      <c r="A6">
        <v>2.8108080000000001E-2</v>
      </c>
      <c r="B6">
        <v>0.71199999999999997</v>
      </c>
    </row>
    <row r="7" spans="1:2" x14ac:dyDescent="0.3">
      <c r="A7">
        <v>3.1231200000000001E-2</v>
      </c>
      <c r="B7">
        <v>0.79100000000000004</v>
      </c>
    </row>
    <row r="8" spans="1:2" x14ac:dyDescent="0.3">
      <c r="A8">
        <v>3.8908999999999999E-2</v>
      </c>
      <c r="B8">
        <v>0.97599999999999998</v>
      </c>
    </row>
    <row r="10" spans="1:2" x14ac:dyDescent="0.3">
      <c r="A10" s="1" t="s">
        <v>31</v>
      </c>
    </row>
    <row r="11" spans="1:2" x14ac:dyDescent="0.3">
      <c r="A11" s="1" t="s">
        <v>32</v>
      </c>
    </row>
    <row r="13" spans="1:2" x14ac:dyDescent="0.3">
      <c r="A13" t="s">
        <v>33</v>
      </c>
      <c r="B13">
        <v>25.016999999999999</v>
      </c>
    </row>
    <row r="14" spans="1:2" x14ac:dyDescent="0.3">
      <c r="A14" t="s">
        <v>34</v>
      </c>
      <c r="B14">
        <v>7.4000000000000003E-3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218F3-8A3A-4A60-BAFB-BEF85B99B9CB}">
  <dimension ref="A1:S47"/>
  <sheetViews>
    <sheetView topLeftCell="A10" workbookViewId="0">
      <selection activeCell="I34" sqref="I34"/>
    </sheetView>
  </sheetViews>
  <sheetFormatPr defaultRowHeight="14.4" x14ac:dyDescent="0.3"/>
  <cols>
    <col min="1" max="1" width="14.33203125" style="5" customWidth="1"/>
    <col min="2" max="3" width="8.88671875" style="5"/>
    <col min="4" max="4" width="11.6640625" style="5" customWidth="1"/>
    <col min="5" max="5" width="11.5546875" style="5" customWidth="1"/>
    <col min="6" max="6" width="14.109375" style="5" customWidth="1"/>
    <col min="7" max="16384" width="8.88671875" style="5"/>
  </cols>
  <sheetData>
    <row r="1" spans="1:19" x14ac:dyDescent="0.3">
      <c r="A1" s="5" t="s">
        <v>42</v>
      </c>
      <c r="B1" s="5" t="s">
        <v>35</v>
      </c>
      <c r="C1" s="5" t="s">
        <v>43</v>
      </c>
      <c r="E1" s="5" t="s">
        <v>73</v>
      </c>
      <c r="L1" s="5" t="s">
        <v>66</v>
      </c>
      <c r="N1" s="5" t="s">
        <v>65</v>
      </c>
    </row>
    <row r="2" spans="1:19" x14ac:dyDescent="0.3">
      <c r="A2" s="9" t="s">
        <v>51</v>
      </c>
      <c r="B2" s="5" t="s">
        <v>45</v>
      </c>
      <c r="L2" s="5">
        <v>3582879</v>
      </c>
      <c r="N2" s="5">
        <v>27988220</v>
      </c>
      <c r="P2" s="5">
        <v>39478733</v>
      </c>
      <c r="R2" s="5">
        <v>127445</v>
      </c>
      <c r="S2" s="5">
        <v>31393814</v>
      </c>
    </row>
    <row r="3" spans="1:19" x14ac:dyDescent="0.3">
      <c r="A3" s="9"/>
      <c r="B3" s="5" t="s">
        <v>45</v>
      </c>
      <c r="N3" s="5">
        <v>27026366</v>
      </c>
      <c r="R3" s="5">
        <v>57155</v>
      </c>
    </row>
    <row r="4" spans="1:19" x14ac:dyDescent="0.3">
      <c r="A4" s="9"/>
      <c r="B4" s="5" t="s">
        <v>46</v>
      </c>
      <c r="L4" s="5">
        <v>1702830</v>
      </c>
      <c r="N4" s="5">
        <v>22201878</v>
      </c>
    </row>
    <row r="5" spans="1:19" x14ac:dyDescent="0.3">
      <c r="A5" s="9"/>
      <c r="B5" s="5" t="s">
        <v>46</v>
      </c>
      <c r="L5" s="5">
        <v>1744365</v>
      </c>
      <c r="P5" s="5">
        <v>75399590</v>
      </c>
    </row>
    <row r="6" spans="1:19" x14ac:dyDescent="0.3">
      <c r="A6" s="9"/>
      <c r="B6" s="5" t="s">
        <v>47</v>
      </c>
      <c r="C6" s="5">
        <v>73.5</v>
      </c>
      <c r="D6" s="5">
        <v>5</v>
      </c>
      <c r="E6" s="5">
        <v>14177205</v>
      </c>
      <c r="F6" s="5">
        <f t="shared" ref="F6:F12" si="0">(E6-c_avil.K.VIII)/m_avil.K.VII</f>
        <v>185.80903296765277</v>
      </c>
      <c r="G6" s="5">
        <f>F6*D6*1000/2</f>
        <v>464522.58241913194</v>
      </c>
      <c r="H6" s="5">
        <f>G6/(C6*1000)</f>
        <v>6.3200351349541757</v>
      </c>
      <c r="N6" s="5">
        <v>23792573</v>
      </c>
      <c r="O6" s="5">
        <v>23792573</v>
      </c>
    </row>
    <row r="7" spans="1:19" x14ac:dyDescent="0.3">
      <c r="A7" s="9"/>
      <c r="B7" s="5" t="s">
        <v>47</v>
      </c>
      <c r="C7" s="5">
        <v>72</v>
      </c>
      <c r="D7" s="5">
        <v>5</v>
      </c>
      <c r="E7" s="5">
        <v>13867414</v>
      </c>
      <c r="F7" s="5">
        <f t="shared" si="0"/>
        <v>181.44073436927155</v>
      </c>
      <c r="G7" s="5">
        <f t="shared" ref="G7:G12" si="1">F7*D7*1000/2</f>
        <v>453601.83592317888</v>
      </c>
      <c r="H7" s="5">
        <f t="shared" ref="H7:H12" si="2">G7/(C7*1000)</f>
        <v>6.3000254989330395</v>
      </c>
      <c r="N7" s="5">
        <v>21710133</v>
      </c>
    </row>
    <row r="8" spans="1:19" x14ac:dyDescent="0.3">
      <c r="A8" s="9"/>
      <c r="B8" s="5" t="s">
        <v>47</v>
      </c>
      <c r="F8" s="5">
        <f t="shared" si="0"/>
        <v>-14.100792464536507</v>
      </c>
      <c r="G8" s="5">
        <f t="shared" si="1"/>
        <v>0</v>
      </c>
      <c r="H8" s="5" t="e">
        <f t="shared" si="2"/>
        <v>#DIV/0!</v>
      </c>
      <c r="N8" s="5">
        <v>43161332</v>
      </c>
      <c r="O8" s="5">
        <v>43161332</v>
      </c>
    </row>
    <row r="9" spans="1:19" x14ac:dyDescent="0.3">
      <c r="A9" s="9"/>
      <c r="B9" s="5" t="s">
        <v>47</v>
      </c>
      <c r="F9" s="5">
        <f t="shared" si="0"/>
        <v>-14.100792464536507</v>
      </c>
      <c r="G9" s="5">
        <f t="shared" si="1"/>
        <v>0</v>
      </c>
      <c r="H9" s="5" t="e">
        <f t="shared" si="2"/>
        <v>#DIV/0!</v>
      </c>
      <c r="N9" s="5">
        <v>36749851</v>
      </c>
      <c r="O9" s="5">
        <v>36749851</v>
      </c>
    </row>
    <row r="10" spans="1:19" x14ac:dyDescent="0.3">
      <c r="A10" s="9"/>
      <c r="B10" s="5" t="s">
        <v>48</v>
      </c>
      <c r="C10" s="5">
        <v>65</v>
      </c>
      <c r="D10" s="5">
        <v>4</v>
      </c>
      <c r="E10" s="5">
        <v>13135108</v>
      </c>
      <c r="F10" s="5">
        <f t="shared" si="0"/>
        <v>171.11463944273669</v>
      </c>
      <c r="G10" s="5">
        <f t="shared" si="1"/>
        <v>342229.27888547338</v>
      </c>
      <c r="H10" s="5">
        <f t="shared" si="2"/>
        <v>5.2650658290072831</v>
      </c>
      <c r="O10" s="5">
        <v>25656651</v>
      </c>
      <c r="P10" s="5">
        <v>28362668</v>
      </c>
      <c r="Q10" s="5">
        <v>19522188</v>
      </c>
    </row>
    <row r="11" spans="1:19" x14ac:dyDescent="0.3">
      <c r="A11" s="9"/>
      <c r="B11" s="5" t="s">
        <v>48</v>
      </c>
      <c r="C11" s="5">
        <v>62.1</v>
      </c>
      <c r="D11" s="5">
        <v>5</v>
      </c>
      <c r="E11" s="5">
        <v>15016337</v>
      </c>
      <c r="F11" s="5">
        <f t="shared" si="0"/>
        <v>197.64145915000424</v>
      </c>
      <c r="G11" s="5">
        <f t="shared" si="1"/>
        <v>494103.64787501062</v>
      </c>
      <c r="H11" s="5">
        <f t="shared" si="2"/>
        <v>7.9565804810790759</v>
      </c>
      <c r="O11" s="5">
        <v>23611448</v>
      </c>
      <c r="P11" s="5">
        <v>19404541</v>
      </c>
      <c r="Q11" s="5">
        <v>25535426</v>
      </c>
    </row>
    <row r="12" spans="1:19" x14ac:dyDescent="0.3">
      <c r="A12" s="9"/>
      <c r="B12" s="5" t="s">
        <v>48</v>
      </c>
      <c r="C12" s="5">
        <v>54.7</v>
      </c>
      <c r="D12" s="5">
        <v>5</v>
      </c>
      <c r="E12" s="5">
        <v>10912666</v>
      </c>
      <c r="F12" s="5">
        <f t="shared" si="0"/>
        <v>139.77644603626723</v>
      </c>
      <c r="G12" s="5">
        <f t="shared" si="1"/>
        <v>349441.11509066809</v>
      </c>
      <c r="H12" s="5">
        <f t="shared" si="2"/>
        <v>6.3883202027544437</v>
      </c>
    </row>
    <row r="13" spans="1:19" x14ac:dyDescent="0.3">
      <c r="A13" s="9"/>
      <c r="B13" s="5" t="s">
        <v>48</v>
      </c>
      <c r="C13" s="5">
        <v>55.3</v>
      </c>
      <c r="D13" s="5">
        <v>6</v>
      </c>
    </row>
    <row r="14" spans="1:19" x14ac:dyDescent="0.3">
      <c r="A14" s="9"/>
      <c r="B14" s="5" t="s">
        <v>49</v>
      </c>
    </row>
    <row r="15" spans="1:19" x14ac:dyDescent="0.3">
      <c r="A15" s="9"/>
      <c r="B15" s="5" t="s">
        <v>49</v>
      </c>
    </row>
    <row r="16" spans="1:19" x14ac:dyDescent="0.3">
      <c r="A16" s="9"/>
      <c r="B16" s="5" t="s">
        <v>50</v>
      </c>
    </row>
    <row r="17" spans="1:15" x14ac:dyDescent="0.3">
      <c r="A17" s="9"/>
      <c r="B17" s="5" t="s">
        <v>50</v>
      </c>
    </row>
    <row r="19" spans="1:15" x14ac:dyDescent="0.3">
      <c r="A19" s="9" t="s">
        <v>52</v>
      </c>
      <c r="B19" s="5" t="s">
        <v>45</v>
      </c>
      <c r="N19" s="5">
        <v>23344380</v>
      </c>
    </row>
    <row r="20" spans="1:15" x14ac:dyDescent="0.3">
      <c r="A20" s="9"/>
      <c r="B20" s="5" t="s">
        <v>45</v>
      </c>
      <c r="N20" s="5">
        <v>23123375</v>
      </c>
    </row>
    <row r="21" spans="1:15" x14ac:dyDescent="0.3">
      <c r="A21" s="9"/>
      <c r="B21" s="5" t="s">
        <v>46</v>
      </c>
      <c r="L21" s="5">
        <v>2515665</v>
      </c>
      <c r="N21" s="5">
        <v>25795797</v>
      </c>
    </row>
    <row r="22" spans="1:15" x14ac:dyDescent="0.3">
      <c r="A22" s="9"/>
      <c r="B22" s="5" t="s">
        <v>46</v>
      </c>
      <c r="L22" s="5">
        <v>1458897</v>
      </c>
      <c r="N22" s="5">
        <v>24427391</v>
      </c>
    </row>
    <row r="23" spans="1:15" x14ac:dyDescent="0.3">
      <c r="A23" s="9"/>
      <c r="B23" s="5" t="s">
        <v>47</v>
      </c>
    </row>
    <row r="24" spans="1:15" x14ac:dyDescent="0.3">
      <c r="A24" s="9"/>
      <c r="B24" s="5" t="s">
        <v>47</v>
      </c>
    </row>
    <row r="25" spans="1:15" x14ac:dyDescent="0.3">
      <c r="A25" s="9"/>
      <c r="B25" s="5" t="s">
        <v>48</v>
      </c>
    </row>
    <row r="26" spans="1:15" x14ac:dyDescent="0.3">
      <c r="A26" s="9"/>
      <c r="B26" s="5" t="s">
        <v>48</v>
      </c>
    </row>
    <row r="27" spans="1:15" x14ac:dyDescent="0.3">
      <c r="A27" s="9"/>
      <c r="B27" s="5" t="s">
        <v>49</v>
      </c>
      <c r="O27" s="5">
        <v>9980371</v>
      </c>
    </row>
    <row r="28" spans="1:15" x14ac:dyDescent="0.3">
      <c r="A28" s="9"/>
      <c r="B28" s="5" t="s">
        <v>49</v>
      </c>
    </row>
    <row r="29" spans="1:15" x14ac:dyDescent="0.3">
      <c r="A29" s="9"/>
      <c r="B29" s="5" t="s">
        <v>50</v>
      </c>
    </row>
    <row r="30" spans="1:15" x14ac:dyDescent="0.3">
      <c r="A30" s="9"/>
      <c r="B30" s="5" t="s">
        <v>50</v>
      </c>
      <c r="O30" s="5">
        <v>17347128</v>
      </c>
    </row>
    <row r="31" spans="1:15" x14ac:dyDescent="0.3">
      <c r="I31" s="5" t="s">
        <v>72</v>
      </c>
    </row>
    <row r="32" spans="1:15" x14ac:dyDescent="0.3">
      <c r="A32" s="9" t="s">
        <v>53</v>
      </c>
      <c r="B32" s="5" t="s">
        <v>45</v>
      </c>
    </row>
    <row r="33" spans="1:9" x14ac:dyDescent="0.3">
      <c r="A33" s="9"/>
      <c r="B33" s="5" t="s">
        <v>45</v>
      </c>
    </row>
    <row r="34" spans="1:9" x14ac:dyDescent="0.3">
      <c r="A34" s="9"/>
      <c r="B34" s="5" t="s">
        <v>46</v>
      </c>
      <c r="C34" s="5">
        <v>25.6</v>
      </c>
      <c r="D34" s="5">
        <v>4.5</v>
      </c>
      <c r="E34" s="5">
        <v>13355019</v>
      </c>
      <c r="F34" s="5">
        <v>13746919</v>
      </c>
      <c r="G34" s="5">
        <f>(E34-c_avil.K.VIII)/c_avil.K.VIII</f>
        <v>12.355019</v>
      </c>
      <c r="H34" s="5">
        <f>G34*D34*1000/2</f>
        <v>27798.792750000001</v>
      </c>
      <c r="I34" s="7">
        <f>H34/(C34*1000)</f>
        <v>1.085890341796875</v>
      </c>
    </row>
    <row r="35" spans="1:9" x14ac:dyDescent="0.3">
      <c r="A35" s="9"/>
      <c r="B35" s="5" t="s">
        <v>46</v>
      </c>
      <c r="C35" s="5">
        <v>26.9</v>
      </c>
      <c r="D35" s="5">
        <v>6.5</v>
      </c>
      <c r="E35" s="5">
        <v>10353957</v>
      </c>
      <c r="F35" s="5">
        <v>10558621</v>
      </c>
      <c r="G35" s="5">
        <f>(E35-c_avil.K.VIII)/c_avil.K.VIII</f>
        <v>9.3539569999999994</v>
      </c>
      <c r="H35" s="5">
        <f>G35*D35*1000/2</f>
        <v>30400.360249999998</v>
      </c>
      <c r="I35" s="7">
        <f>H35/(C35*1000)</f>
        <v>1.1301249163568772</v>
      </c>
    </row>
    <row r="36" spans="1:9" x14ac:dyDescent="0.3">
      <c r="A36" s="9"/>
      <c r="B36" s="5" t="s">
        <v>47</v>
      </c>
      <c r="I36" s="7"/>
    </row>
    <row r="37" spans="1:9" x14ac:dyDescent="0.3">
      <c r="A37" s="9"/>
      <c r="B37" s="5" t="s">
        <v>47</v>
      </c>
      <c r="I37" s="7"/>
    </row>
    <row r="38" spans="1:9" x14ac:dyDescent="0.3">
      <c r="A38" s="9"/>
      <c r="B38" s="5" t="s">
        <v>48</v>
      </c>
      <c r="C38" s="5">
        <v>27.8</v>
      </c>
      <c r="D38" s="5">
        <v>6</v>
      </c>
      <c r="E38" s="5">
        <v>12931237</v>
      </c>
      <c r="F38" s="5">
        <v>12078613</v>
      </c>
      <c r="G38" s="5">
        <f t="shared" ref="G38:G47" si="3">(E38-c_avil.K.VIII)/c_avil.K.VIII</f>
        <v>11.931236999999999</v>
      </c>
      <c r="H38" s="5">
        <f t="shared" ref="H38:H47" si="4">G38*D38*1000/2</f>
        <v>35793.711000000003</v>
      </c>
      <c r="I38" s="7">
        <f t="shared" ref="I38:I47" si="5">H38/(C38*1000)</f>
        <v>1.2875435611510793</v>
      </c>
    </row>
    <row r="39" spans="1:9" x14ac:dyDescent="0.3">
      <c r="A39" s="9"/>
      <c r="B39" s="5" t="s">
        <v>48</v>
      </c>
      <c r="C39" s="5">
        <v>30.5</v>
      </c>
      <c r="D39" s="5">
        <v>6.5</v>
      </c>
      <c r="E39" s="5">
        <v>14483913</v>
      </c>
      <c r="F39" s="5">
        <v>14411786</v>
      </c>
      <c r="G39" s="5">
        <f t="shared" si="3"/>
        <v>13.483912999999999</v>
      </c>
      <c r="H39" s="5">
        <f t="shared" si="4"/>
        <v>43822.717249999994</v>
      </c>
      <c r="I39" s="7">
        <f t="shared" si="5"/>
        <v>1.4368104016393441</v>
      </c>
    </row>
    <row r="40" spans="1:9" x14ac:dyDescent="0.3">
      <c r="A40" s="9"/>
      <c r="B40" s="5" t="s">
        <v>49</v>
      </c>
      <c r="C40" s="5">
        <v>25</v>
      </c>
      <c r="D40" s="5">
        <v>6.5</v>
      </c>
      <c r="E40" s="5">
        <v>12441464</v>
      </c>
      <c r="F40" s="5">
        <v>12411142</v>
      </c>
      <c r="G40" s="5">
        <f t="shared" si="3"/>
        <v>11.441464</v>
      </c>
      <c r="H40" s="5">
        <f t="shared" si="4"/>
        <v>37184.758000000002</v>
      </c>
      <c r="I40" s="7">
        <f t="shared" si="5"/>
        <v>1.48739032</v>
      </c>
    </row>
    <row r="41" spans="1:9" x14ac:dyDescent="0.3">
      <c r="A41" s="9"/>
      <c r="B41" s="5" t="s">
        <v>49</v>
      </c>
      <c r="C41" s="5">
        <v>25.3</v>
      </c>
      <c r="D41" s="5">
        <v>5</v>
      </c>
      <c r="E41" s="5">
        <v>14057270</v>
      </c>
      <c r="F41" s="5">
        <v>13065629</v>
      </c>
      <c r="G41" s="5">
        <f t="shared" si="3"/>
        <v>13.057270000000001</v>
      </c>
      <c r="H41" s="5">
        <f t="shared" si="4"/>
        <v>32643.174999999999</v>
      </c>
      <c r="I41" s="7">
        <f t="shared" si="5"/>
        <v>1.2902440711462451</v>
      </c>
    </row>
    <row r="42" spans="1:9" x14ac:dyDescent="0.3">
      <c r="A42" s="9"/>
      <c r="B42" s="5" t="s">
        <v>50</v>
      </c>
      <c r="C42" s="5">
        <v>26</v>
      </c>
      <c r="D42" s="5">
        <v>7</v>
      </c>
      <c r="E42" s="5">
        <v>11873371</v>
      </c>
      <c r="F42" s="5">
        <v>11940414</v>
      </c>
      <c r="G42" s="5">
        <f t="shared" si="3"/>
        <v>10.873371000000001</v>
      </c>
      <c r="H42" s="5">
        <f t="shared" si="4"/>
        <v>38056.798499999997</v>
      </c>
      <c r="I42" s="7">
        <f t="shared" si="5"/>
        <v>1.4637230192307691</v>
      </c>
    </row>
    <row r="43" spans="1:9" x14ac:dyDescent="0.3">
      <c r="A43" s="9"/>
      <c r="B43" s="5" t="s">
        <v>50</v>
      </c>
      <c r="C43" s="5">
        <v>29.2</v>
      </c>
      <c r="D43" s="5">
        <v>6</v>
      </c>
      <c r="E43" s="5">
        <v>11045677</v>
      </c>
      <c r="F43" s="5">
        <v>10462506</v>
      </c>
      <c r="G43" s="5">
        <f t="shared" si="3"/>
        <v>10.045677</v>
      </c>
      <c r="H43" s="5">
        <f t="shared" si="4"/>
        <v>30137.030999999999</v>
      </c>
      <c r="I43" s="7">
        <f t="shared" si="5"/>
        <v>1.032090102739726</v>
      </c>
    </row>
    <row r="44" spans="1:9" x14ac:dyDescent="0.3">
      <c r="A44" s="9"/>
      <c r="B44" s="5" t="s">
        <v>70</v>
      </c>
      <c r="C44" s="5">
        <v>34</v>
      </c>
      <c r="D44" s="5">
        <v>3.5</v>
      </c>
      <c r="E44" s="5">
        <v>19659768</v>
      </c>
      <c r="F44" s="5">
        <v>16489419</v>
      </c>
      <c r="G44" s="5">
        <f t="shared" si="3"/>
        <v>18.659768</v>
      </c>
      <c r="H44" s="5">
        <f t="shared" si="4"/>
        <v>32654.594000000005</v>
      </c>
      <c r="I44" s="7">
        <f t="shared" si="5"/>
        <v>0.96042923529411783</v>
      </c>
    </row>
    <row r="45" spans="1:9" x14ac:dyDescent="0.3">
      <c r="A45" s="9"/>
      <c r="B45" s="5" t="s">
        <v>70</v>
      </c>
      <c r="C45" s="5">
        <v>27.5</v>
      </c>
      <c r="D45" s="5">
        <v>6.5</v>
      </c>
      <c r="E45" s="5">
        <v>13081927</v>
      </c>
      <c r="F45" s="5">
        <v>12382561</v>
      </c>
      <c r="G45" s="5">
        <f t="shared" si="3"/>
        <v>12.081927</v>
      </c>
      <c r="H45" s="5">
        <f t="shared" si="4"/>
        <v>39266.262750000002</v>
      </c>
      <c r="I45" s="7">
        <f t="shared" si="5"/>
        <v>1.4278641000000001</v>
      </c>
    </row>
    <row r="46" spans="1:9" x14ac:dyDescent="0.3">
      <c r="A46" s="9"/>
      <c r="B46" s="5" t="s">
        <v>71</v>
      </c>
      <c r="C46" s="5">
        <v>34.700000000000003</v>
      </c>
      <c r="D46" s="5">
        <v>5</v>
      </c>
      <c r="E46" s="5">
        <v>17605972</v>
      </c>
      <c r="F46" s="5">
        <v>18145287</v>
      </c>
      <c r="G46" s="5">
        <f t="shared" si="3"/>
        <v>16.605972000000001</v>
      </c>
      <c r="H46" s="5">
        <f t="shared" si="4"/>
        <v>41514.930000000008</v>
      </c>
      <c r="I46" s="7">
        <f t="shared" si="5"/>
        <v>1.1963956772334297</v>
      </c>
    </row>
    <row r="47" spans="1:9" x14ac:dyDescent="0.3">
      <c r="A47" s="9"/>
      <c r="B47" s="5" t="s">
        <v>71</v>
      </c>
      <c r="C47" s="5">
        <v>34.9</v>
      </c>
      <c r="D47" s="5">
        <v>5.5</v>
      </c>
      <c r="E47" s="5">
        <v>17265835</v>
      </c>
      <c r="F47" s="5">
        <v>16452217</v>
      </c>
      <c r="G47" s="5">
        <f t="shared" si="3"/>
        <v>16.265834999999999</v>
      </c>
      <c r="H47" s="5">
        <f t="shared" si="4"/>
        <v>44731.046249999999</v>
      </c>
      <c r="I47" s="7">
        <f t="shared" si="5"/>
        <v>1.2816918696275073</v>
      </c>
    </row>
  </sheetData>
  <mergeCells count="3">
    <mergeCell ref="A19:A30"/>
    <mergeCell ref="A32:A47"/>
    <mergeCell ref="A2:A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4C6BE-7742-47B1-9916-8AE36F07CE10}">
  <dimension ref="A1:J57"/>
  <sheetViews>
    <sheetView workbookViewId="0">
      <selection activeCell="C57" sqref="C57"/>
    </sheetView>
  </sheetViews>
  <sheetFormatPr defaultRowHeight="14.4" x14ac:dyDescent="0.3"/>
  <cols>
    <col min="3" max="3" width="10" bestFit="1" customWidth="1"/>
  </cols>
  <sheetData>
    <row r="1" spans="1:4" x14ac:dyDescent="0.3">
      <c r="A1" t="s">
        <v>56</v>
      </c>
      <c r="B1" t="s">
        <v>54</v>
      </c>
      <c r="C1" t="s">
        <v>57</v>
      </c>
      <c r="D1" t="s">
        <v>44</v>
      </c>
    </row>
    <row r="2" spans="1:4" x14ac:dyDescent="0.3">
      <c r="A2" t="s">
        <v>55</v>
      </c>
      <c r="B2">
        <v>0.1</v>
      </c>
      <c r="C2">
        <f>2.5*147.2*B2</f>
        <v>36.800000000000004</v>
      </c>
      <c r="D2">
        <v>25096337</v>
      </c>
    </row>
    <row r="3" spans="1:4" x14ac:dyDescent="0.3">
      <c r="A3" t="s">
        <v>58</v>
      </c>
      <c r="B3">
        <v>0.1</v>
      </c>
      <c r="C3">
        <f t="shared" ref="C3:C17" si="0">2.5*147.2*B3</f>
        <v>36.800000000000004</v>
      </c>
      <c r="D3">
        <v>26325605</v>
      </c>
    </row>
    <row r="4" spans="1:4" x14ac:dyDescent="0.3">
      <c r="B4">
        <v>0.3</v>
      </c>
      <c r="C4">
        <f t="shared" si="0"/>
        <v>110.39999999999999</v>
      </c>
      <c r="D4">
        <v>58000547</v>
      </c>
    </row>
    <row r="5" spans="1:4" x14ac:dyDescent="0.3">
      <c r="B5">
        <v>0.3</v>
      </c>
      <c r="C5">
        <f t="shared" si="0"/>
        <v>110.39999999999999</v>
      </c>
      <c r="D5">
        <v>57771776</v>
      </c>
    </row>
    <row r="6" spans="1:4" x14ac:dyDescent="0.3">
      <c r="B6">
        <v>0.5</v>
      </c>
      <c r="C6">
        <f t="shared" si="0"/>
        <v>184</v>
      </c>
      <c r="D6">
        <v>85854442</v>
      </c>
    </row>
    <row r="7" spans="1:4" x14ac:dyDescent="0.3">
      <c r="B7">
        <v>0.5</v>
      </c>
      <c r="C7">
        <f t="shared" si="0"/>
        <v>184</v>
      </c>
      <c r="D7">
        <v>81988116</v>
      </c>
    </row>
    <row r="8" spans="1:4" x14ac:dyDescent="0.3">
      <c r="B8">
        <v>1</v>
      </c>
      <c r="C8">
        <f t="shared" si="0"/>
        <v>368</v>
      </c>
      <c r="D8">
        <v>127685488</v>
      </c>
    </row>
    <row r="9" spans="1:4" x14ac:dyDescent="0.3">
      <c r="B9">
        <v>1</v>
      </c>
      <c r="C9">
        <f t="shared" si="0"/>
        <v>368</v>
      </c>
      <c r="D9">
        <v>126992790</v>
      </c>
    </row>
    <row r="10" spans="1:4" x14ac:dyDescent="0.3">
      <c r="B10">
        <v>2</v>
      </c>
      <c r="C10">
        <f t="shared" si="0"/>
        <v>736</v>
      </c>
      <c r="D10">
        <v>180907480</v>
      </c>
    </row>
    <row r="11" spans="1:4" x14ac:dyDescent="0.3">
      <c r="B11">
        <v>2</v>
      </c>
      <c r="C11">
        <f t="shared" si="0"/>
        <v>736</v>
      </c>
      <c r="D11">
        <v>182457555</v>
      </c>
    </row>
    <row r="12" spans="1:4" x14ac:dyDescent="0.3">
      <c r="B12">
        <v>3</v>
      </c>
      <c r="C12">
        <f t="shared" si="0"/>
        <v>1104</v>
      </c>
      <c r="D12">
        <v>227074162</v>
      </c>
    </row>
    <row r="13" spans="1:4" x14ac:dyDescent="0.3">
      <c r="B13">
        <v>3</v>
      </c>
      <c r="C13">
        <f t="shared" si="0"/>
        <v>1104</v>
      </c>
      <c r="D13">
        <v>221472262</v>
      </c>
    </row>
    <row r="14" spans="1:4" x14ac:dyDescent="0.3">
      <c r="B14">
        <v>4</v>
      </c>
      <c r="C14">
        <f t="shared" si="0"/>
        <v>1472</v>
      </c>
      <c r="D14">
        <v>254304691</v>
      </c>
    </row>
    <row r="15" spans="1:4" x14ac:dyDescent="0.3">
      <c r="B15">
        <v>4</v>
      </c>
      <c r="C15">
        <f t="shared" si="0"/>
        <v>1472</v>
      </c>
      <c r="D15">
        <v>256530275</v>
      </c>
    </row>
    <row r="16" spans="1:4" x14ac:dyDescent="0.3">
      <c r="B16">
        <v>5</v>
      </c>
      <c r="C16">
        <f t="shared" si="0"/>
        <v>1840</v>
      </c>
      <c r="D16">
        <v>271182648</v>
      </c>
    </row>
    <row r="17" spans="1:10" x14ac:dyDescent="0.3">
      <c r="B17">
        <v>5</v>
      </c>
      <c r="C17">
        <f t="shared" si="0"/>
        <v>1840</v>
      </c>
      <c r="D17">
        <v>263321940</v>
      </c>
      <c r="I17" t="s">
        <v>59</v>
      </c>
      <c r="J17">
        <v>395450</v>
      </c>
    </row>
    <row r="18" spans="1:10" x14ac:dyDescent="0.3">
      <c r="I18" t="s">
        <v>60</v>
      </c>
      <c r="J18" s="6">
        <v>10000000</v>
      </c>
    </row>
    <row r="19" spans="1:10" x14ac:dyDescent="0.3">
      <c r="B19" t="s">
        <v>54</v>
      </c>
      <c r="C19" t="s">
        <v>62</v>
      </c>
      <c r="D19" t="s">
        <v>44</v>
      </c>
    </row>
    <row r="20" spans="1:10" x14ac:dyDescent="0.3">
      <c r="A20" t="s">
        <v>61</v>
      </c>
      <c r="B20">
        <v>0.1</v>
      </c>
      <c r="C20">
        <f>2.5*147.2*B20</f>
        <v>36.800000000000004</v>
      </c>
      <c r="D20">
        <v>3960684</v>
      </c>
    </row>
    <row r="21" spans="1:10" x14ac:dyDescent="0.3">
      <c r="B21">
        <v>0.1</v>
      </c>
      <c r="C21">
        <f t="shared" ref="C21:C35" si="1">2.5*147.2*B21</f>
        <v>36.800000000000004</v>
      </c>
      <c r="D21">
        <v>4039183</v>
      </c>
    </row>
    <row r="22" spans="1:10" x14ac:dyDescent="0.3">
      <c r="B22">
        <v>0.3</v>
      </c>
      <c r="C22">
        <f t="shared" si="1"/>
        <v>110.39999999999999</v>
      </c>
    </row>
    <row r="23" spans="1:10" x14ac:dyDescent="0.3">
      <c r="B23">
        <v>0.3</v>
      </c>
      <c r="C23">
        <f t="shared" si="1"/>
        <v>110.39999999999999</v>
      </c>
    </row>
    <row r="24" spans="1:10" x14ac:dyDescent="0.3">
      <c r="B24">
        <v>0.5</v>
      </c>
      <c r="C24">
        <f t="shared" si="1"/>
        <v>184</v>
      </c>
      <c r="D24">
        <v>12844668</v>
      </c>
    </row>
    <row r="25" spans="1:10" x14ac:dyDescent="0.3">
      <c r="B25">
        <v>0.5</v>
      </c>
      <c r="C25">
        <f t="shared" si="1"/>
        <v>184</v>
      </c>
      <c r="D25">
        <v>12404938</v>
      </c>
    </row>
    <row r="26" spans="1:10" x14ac:dyDescent="0.3">
      <c r="B26">
        <v>1</v>
      </c>
      <c r="C26">
        <f t="shared" si="1"/>
        <v>368</v>
      </c>
      <c r="D26">
        <v>19104345</v>
      </c>
    </row>
    <row r="27" spans="1:10" x14ac:dyDescent="0.3">
      <c r="B27">
        <v>1</v>
      </c>
      <c r="C27">
        <f t="shared" si="1"/>
        <v>368</v>
      </c>
      <c r="D27">
        <v>19172947</v>
      </c>
    </row>
    <row r="28" spans="1:10" x14ac:dyDescent="0.3">
      <c r="B28">
        <v>2</v>
      </c>
      <c r="C28">
        <f t="shared" si="1"/>
        <v>736</v>
      </c>
    </row>
    <row r="29" spans="1:10" x14ac:dyDescent="0.3">
      <c r="B29">
        <v>2</v>
      </c>
      <c r="C29">
        <f t="shared" si="1"/>
        <v>736</v>
      </c>
    </row>
    <row r="30" spans="1:10" x14ac:dyDescent="0.3">
      <c r="B30">
        <v>3</v>
      </c>
      <c r="C30">
        <f t="shared" si="1"/>
        <v>1104</v>
      </c>
      <c r="D30">
        <v>33323899</v>
      </c>
    </row>
    <row r="31" spans="1:10" x14ac:dyDescent="0.3">
      <c r="B31">
        <v>3</v>
      </c>
      <c r="C31">
        <f t="shared" si="1"/>
        <v>1104</v>
      </c>
      <c r="D31">
        <v>31272250</v>
      </c>
    </row>
    <row r="32" spans="1:10" x14ac:dyDescent="0.3">
      <c r="B32">
        <v>4</v>
      </c>
      <c r="C32">
        <f t="shared" si="1"/>
        <v>1472</v>
      </c>
      <c r="D32">
        <v>42147224</v>
      </c>
    </row>
    <row r="33" spans="2:10" x14ac:dyDescent="0.3">
      <c r="B33">
        <v>4</v>
      </c>
      <c r="C33">
        <f t="shared" si="1"/>
        <v>1472</v>
      </c>
      <c r="D33">
        <v>40585030</v>
      </c>
    </row>
    <row r="34" spans="2:10" x14ac:dyDescent="0.3">
      <c r="B34">
        <v>5</v>
      </c>
      <c r="C34">
        <f t="shared" si="1"/>
        <v>1840</v>
      </c>
    </row>
    <row r="35" spans="2:10" x14ac:dyDescent="0.3">
      <c r="B35">
        <v>5</v>
      </c>
      <c r="C35">
        <f t="shared" si="1"/>
        <v>1840</v>
      </c>
    </row>
    <row r="36" spans="2:10" x14ac:dyDescent="0.3">
      <c r="I36" t="s">
        <v>63</v>
      </c>
      <c r="J36">
        <v>45286</v>
      </c>
    </row>
    <row r="37" spans="2:10" x14ac:dyDescent="0.3">
      <c r="I37" t="s">
        <v>64</v>
      </c>
      <c r="J37" s="6">
        <v>3000000</v>
      </c>
    </row>
    <row r="39" spans="2:10" x14ac:dyDescent="0.3">
      <c r="C39" t="s">
        <v>67</v>
      </c>
      <c r="D39" t="s">
        <v>44</v>
      </c>
    </row>
    <row r="40" spans="2:10" x14ac:dyDescent="0.3">
      <c r="B40">
        <v>0.01</v>
      </c>
      <c r="C40">
        <f>2.5*147.2*B40</f>
        <v>3.68</v>
      </c>
      <c r="D40">
        <v>791750</v>
      </c>
    </row>
    <row r="41" spans="2:10" x14ac:dyDescent="0.3">
      <c r="B41">
        <v>0.01</v>
      </c>
      <c r="C41">
        <f t="shared" ref="C41:C53" si="2">2.5*147.2*B41</f>
        <v>3.68</v>
      </c>
      <c r="D41">
        <v>697594</v>
      </c>
    </row>
    <row r="42" spans="2:10" x14ac:dyDescent="0.3">
      <c r="B42">
        <v>0.05</v>
      </c>
      <c r="C42">
        <f t="shared" si="2"/>
        <v>18.400000000000002</v>
      </c>
      <c r="D42">
        <v>1688851</v>
      </c>
    </row>
    <row r="43" spans="2:10" x14ac:dyDescent="0.3">
      <c r="B43">
        <v>0.05</v>
      </c>
      <c r="C43">
        <f t="shared" si="2"/>
        <v>18.400000000000002</v>
      </c>
      <c r="D43">
        <v>2006610</v>
      </c>
    </row>
    <row r="44" spans="2:10" x14ac:dyDescent="0.3">
      <c r="B44">
        <v>0.1</v>
      </c>
      <c r="C44">
        <f t="shared" si="2"/>
        <v>36.800000000000004</v>
      </c>
      <c r="D44">
        <v>3479699</v>
      </c>
    </row>
    <row r="45" spans="2:10" x14ac:dyDescent="0.3">
      <c r="B45">
        <v>0.1</v>
      </c>
      <c r="C45">
        <f t="shared" si="2"/>
        <v>36.800000000000004</v>
      </c>
      <c r="D45">
        <v>3256112</v>
      </c>
    </row>
    <row r="46" spans="2:10" x14ac:dyDescent="0.3">
      <c r="B46">
        <v>0.25</v>
      </c>
      <c r="C46">
        <f t="shared" si="2"/>
        <v>92</v>
      </c>
      <c r="D46">
        <v>8590168</v>
      </c>
    </row>
    <row r="47" spans="2:10" x14ac:dyDescent="0.3">
      <c r="B47">
        <v>0.25</v>
      </c>
      <c r="C47">
        <f t="shared" si="2"/>
        <v>92</v>
      </c>
      <c r="D47">
        <v>8729948</v>
      </c>
    </row>
    <row r="48" spans="2:10" x14ac:dyDescent="0.3">
      <c r="B48">
        <v>0.5</v>
      </c>
      <c r="C48">
        <f t="shared" si="2"/>
        <v>184</v>
      </c>
      <c r="D48">
        <v>14634702</v>
      </c>
    </row>
    <row r="49" spans="2:4" x14ac:dyDescent="0.3">
      <c r="B49">
        <v>0.5</v>
      </c>
      <c r="C49">
        <f t="shared" si="2"/>
        <v>184</v>
      </c>
      <c r="D49">
        <v>15233951</v>
      </c>
    </row>
    <row r="50" spans="2:4" x14ac:dyDescent="0.3">
      <c r="B50">
        <v>0.75</v>
      </c>
      <c r="C50">
        <f t="shared" si="2"/>
        <v>276</v>
      </c>
      <c r="D50">
        <v>21670626</v>
      </c>
    </row>
    <row r="51" spans="2:4" x14ac:dyDescent="0.3">
      <c r="B51">
        <v>0.75</v>
      </c>
      <c r="C51">
        <f t="shared" si="2"/>
        <v>276</v>
      </c>
      <c r="D51">
        <v>19497001</v>
      </c>
    </row>
    <row r="52" spans="2:4" x14ac:dyDescent="0.3">
      <c r="B52">
        <v>1</v>
      </c>
      <c r="C52">
        <f t="shared" si="2"/>
        <v>368</v>
      </c>
      <c r="D52">
        <v>26659203</v>
      </c>
    </row>
    <row r="53" spans="2:4" x14ac:dyDescent="0.3">
      <c r="B53">
        <v>1</v>
      </c>
      <c r="C53">
        <f t="shared" si="2"/>
        <v>368</v>
      </c>
      <c r="D53">
        <v>26336248</v>
      </c>
    </row>
    <row r="56" spans="2:4" x14ac:dyDescent="0.3">
      <c r="B56" t="s">
        <v>69</v>
      </c>
      <c r="C56">
        <v>70918</v>
      </c>
    </row>
    <row r="57" spans="2:4" x14ac:dyDescent="0.3">
      <c r="B57" t="s">
        <v>68</v>
      </c>
      <c r="C57" s="6">
        <v>1000000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1BD34-EF39-4D5C-B585-DADF6B72F70A}">
  <dimension ref="A1:X55"/>
  <sheetViews>
    <sheetView workbookViewId="0">
      <selection activeCell="Q17" sqref="Q17"/>
    </sheetView>
  </sheetViews>
  <sheetFormatPr defaultRowHeight="14.4" x14ac:dyDescent="0.3"/>
  <sheetData>
    <row r="1" spans="1:24" x14ac:dyDescent="0.3">
      <c r="A1" t="s">
        <v>35</v>
      </c>
      <c r="B1" t="s">
        <v>124</v>
      </c>
      <c r="C1" t="s">
        <v>121</v>
      </c>
      <c r="D1" t="s">
        <v>122</v>
      </c>
      <c r="G1" t="s">
        <v>124</v>
      </c>
      <c r="H1" t="s">
        <v>121</v>
      </c>
      <c r="I1" t="s">
        <v>122</v>
      </c>
      <c r="K1" t="s">
        <v>124</v>
      </c>
      <c r="L1" t="s">
        <v>121</v>
      </c>
      <c r="M1" t="s">
        <v>122</v>
      </c>
      <c r="V1" t="s">
        <v>35</v>
      </c>
      <c r="W1" t="s">
        <v>123</v>
      </c>
    </row>
    <row r="2" spans="1:24" x14ac:dyDescent="0.3">
      <c r="A2" t="s">
        <v>45</v>
      </c>
      <c r="B2">
        <v>38.466081673470143</v>
      </c>
      <c r="C2">
        <v>38.166377985486619</v>
      </c>
      <c r="D2">
        <v>7.6958600995506998</v>
      </c>
      <c r="G2">
        <f>AVERAGE(B2:B5)</f>
        <v>37.925632906829229</v>
      </c>
      <c r="H2">
        <f t="shared" ref="H2:I2" si="0">AVERAGE(C2:C5)</f>
        <v>38.701533527472883</v>
      </c>
      <c r="I2">
        <f t="shared" si="0"/>
        <v>7.4104134119418799</v>
      </c>
      <c r="K2">
        <f>STDEV(B2:B5)</f>
        <v>0.74835315453358042</v>
      </c>
      <c r="L2">
        <f t="shared" ref="L2:M2" si="1">STDEV(C2:C5)</f>
        <v>0.47535167698913211</v>
      </c>
      <c r="M2">
        <f t="shared" si="1"/>
        <v>0.26612145084403993</v>
      </c>
      <c r="O2">
        <v>37.925632906829229</v>
      </c>
      <c r="P2">
        <v>38.701533527472883</v>
      </c>
      <c r="Q2">
        <v>7.4104134119418799</v>
      </c>
      <c r="S2" t="s">
        <v>126</v>
      </c>
      <c r="T2" t="s">
        <v>139</v>
      </c>
      <c r="U2" t="s">
        <v>134</v>
      </c>
      <c r="V2" t="s">
        <v>45</v>
      </c>
      <c r="W2">
        <v>38.024610506962865</v>
      </c>
      <c r="X2">
        <f>AVERAGE(W2:W3)</f>
        <v>38.245346090216501</v>
      </c>
    </row>
    <row r="3" spans="1:24" x14ac:dyDescent="0.3">
      <c r="A3" t="s">
        <v>45</v>
      </c>
      <c r="B3">
        <v>38.609441998474843</v>
      </c>
      <c r="C3">
        <v>39.236689069459146</v>
      </c>
      <c r="D3">
        <v>7.1249667243330599</v>
      </c>
      <c r="O3">
        <v>34.049536881265908</v>
      </c>
      <c r="P3">
        <v>31.65759816365005</v>
      </c>
      <c r="Q3">
        <v>7.8260624288284646</v>
      </c>
      <c r="S3" t="s">
        <v>129</v>
      </c>
      <c r="T3" t="s">
        <v>130</v>
      </c>
      <c r="U3" t="s">
        <v>137</v>
      </c>
      <c r="V3" t="s">
        <v>45</v>
      </c>
      <c r="W3">
        <v>38.466081673470143</v>
      </c>
    </row>
    <row r="4" spans="1:24" x14ac:dyDescent="0.3">
      <c r="A4" t="s">
        <v>45</v>
      </c>
      <c r="B4">
        <v>37.021088231929987</v>
      </c>
      <c r="C4">
        <v>38.472301393804941</v>
      </c>
      <c r="D4">
        <v>7.5677383255193487</v>
      </c>
      <c r="O4">
        <v>34.449677070446413</v>
      </c>
      <c r="P4">
        <v>39.45501738648646</v>
      </c>
      <c r="Q4">
        <v>8.2879388666099452</v>
      </c>
      <c r="S4" t="s">
        <v>132</v>
      </c>
      <c r="T4" t="s">
        <v>133</v>
      </c>
      <c r="U4" t="s">
        <v>128</v>
      </c>
      <c r="V4" t="s">
        <v>45</v>
      </c>
      <c r="W4">
        <v>37.547436574290757</v>
      </c>
      <c r="X4">
        <f t="shared" ref="X4" si="2">AVERAGE(W4:W5)</f>
        <v>38.078439286382803</v>
      </c>
    </row>
    <row r="5" spans="1:24" x14ac:dyDescent="0.3">
      <c r="A5" t="s">
        <v>45</v>
      </c>
      <c r="B5">
        <v>37.605919723441957</v>
      </c>
      <c r="C5">
        <v>38.930765661140832</v>
      </c>
      <c r="D5">
        <v>7.2530884983644119</v>
      </c>
      <c r="O5">
        <v>34.229949361178825</v>
      </c>
      <c r="P5">
        <v>40.507901368743333</v>
      </c>
      <c r="Q5">
        <v>6.394202603864672</v>
      </c>
      <c r="S5" t="s">
        <v>135</v>
      </c>
      <c r="T5" t="s">
        <v>136</v>
      </c>
      <c r="U5" t="s">
        <v>131</v>
      </c>
      <c r="V5" t="s">
        <v>45</v>
      </c>
      <c r="W5">
        <v>38.609441998474843</v>
      </c>
    </row>
    <row r="6" spans="1:24" x14ac:dyDescent="0.3">
      <c r="A6" t="s">
        <v>46</v>
      </c>
      <c r="B6">
        <v>34.201133317097003</v>
      </c>
      <c r="C6">
        <v>32.564726784110285</v>
      </c>
      <c r="D6">
        <v>7.9506358689766534</v>
      </c>
      <c r="G6">
        <f t="shared" ref="G6" si="3">AVERAGE(B6:B9)</f>
        <v>34.049536881265908</v>
      </c>
      <c r="H6">
        <f t="shared" ref="H6" si="4">AVERAGE(C6:C9)</f>
        <v>31.65759816365005</v>
      </c>
      <c r="I6">
        <f t="shared" ref="I6" si="5">AVERAGE(D6:D9)</f>
        <v>7.8260624288284646</v>
      </c>
      <c r="K6">
        <f t="shared" ref="K6" si="6">STDEV(B6:B9)</f>
        <v>0.26951518699410448</v>
      </c>
      <c r="L6">
        <f t="shared" ref="L6" si="7">STDEV(C6:C9)</f>
        <v>0.77843568146999609</v>
      </c>
      <c r="M6">
        <f t="shared" ref="M6" si="8">STDEV(D6:D9)</f>
        <v>0.37740349146907592</v>
      </c>
      <c r="O6">
        <v>35.474951785188672</v>
      </c>
      <c r="P6">
        <v>41.212525206999317</v>
      </c>
      <c r="Q6">
        <v>6.3865978109513453</v>
      </c>
      <c r="S6" t="s">
        <v>138</v>
      </c>
      <c r="T6" t="s">
        <v>127</v>
      </c>
      <c r="U6">
        <v>7.4</v>
      </c>
      <c r="V6" t="s">
        <v>45</v>
      </c>
      <c r="W6">
        <v>38.550958849323642</v>
      </c>
      <c r="X6">
        <f t="shared" ref="X6" si="9">AVERAGE(W6:W7)</f>
        <v>38.216104515640907</v>
      </c>
    </row>
    <row r="7" spans="1:24" x14ac:dyDescent="0.3">
      <c r="A7" t="s">
        <v>46</v>
      </c>
      <c r="B7">
        <v>33.884123419607768</v>
      </c>
      <c r="C7">
        <v>30.750469543189819</v>
      </c>
      <c r="D7">
        <v>7.7014889886802766</v>
      </c>
      <c r="O7">
        <v>36.287373534694154</v>
      </c>
      <c r="P7">
        <v>39.224670107858856</v>
      </c>
      <c r="Q7">
        <v>7.7127161349514868</v>
      </c>
      <c r="S7" t="s">
        <v>140</v>
      </c>
      <c r="T7" t="s">
        <v>141</v>
      </c>
      <c r="U7" t="s">
        <v>142</v>
      </c>
      <c r="V7" t="s">
        <v>45</v>
      </c>
      <c r="W7">
        <v>37.881250181958166</v>
      </c>
    </row>
    <row r="8" spans="1:24" x14ac:dyDescent="0.3">
      <c r="A8" t="s">
        <v>46</v>
      </c>
      <c r="B8">
        <v>34.345821240014587</v>
      </c>
      <c r="C8">
        <v>31.950959427658102</v>
      </c>
      <c r="D8">
        <v>8.2711821330308499</v>
      </c>
      <c r="V8" t="s">
        <v>45</v>
      </c>
      <c r="W8">
        <v>38.407598524318935</v>
      </c>
      <c r="X8">
        <f t="shared" ref="X8" si="10">AVERAGE(W8:W9)</f>
        <v>37.714343378124461</v>
      </c>
    </row>
    <row r="9" spans="1:24" x14ac:dyDescent="0.3">
      <c r="A9" t="s">
        <v>46</v>
      </c>
      <c r="B9">
        <v>33.767069548344267</v>
      </c>
      <c r="C9">
        <v>31.364236899642002</v>
      </c>
      <c r="D9">
        <v>7.3809427246260793</v>
      </c>
      <c r="V9" t="s">
        <v>45</v>
      </c>
      <c r="W9">
        <v>37.021088231929987</v>
      </c>
    </row>
    <row r="10" spans="1:24" x14ac:dyDescent="0.3">
      <c r="A10" t="s">
        <v>47</v>
      </c>
      <c r="B10">
        <v>34.919619530290277</v>
      </c>
      <c r="C10">
        <v>37.955575703300347</v>
      </c>
      <c r="D10">
        <v>8.1335384863647775</v>
      </c>
      <c r="G10">
        <f t="shared" ref="G10" si="11">AVERAGE(B10:B13)</f>
        <v>34.449677070446413</v>
      </c>
      <c r="H10">
        <f t="shared" ref="H10" si="12">AVERAGE(C10:C13)</f>
        <v>39.45501738648646</v>
      </c>
      <c r="I10">
        <f t="shared" ref="I10" si="13">AVERAGE(D10:D13)</f>
        <v>8.2879388666099452</v>
      </c>
      <c r="K10">
        <f t="shared" ref="K10" si="14">STDEV(B10:B13)</f>
        <v>0.8527244178969674</v>
      </c>
      <c r="L10">
        <f t="shared" ref="L10" si="15">STDEV(C10:C13)</f>
        <v>1.9174532271472866</v>
      </c>
      <c r="M10">
        <f t="shared" ref="M10" si="16">STDEV(D10:D13)</f>
        <v>0.30329568970932475</v>
      </c>
      <c r="O10">
        <v>0.74835315453358042</v>
      </c>
      <c r="P10">
        <v>0.47535167698913211</v>
      </c>
      <c r="Q10">
        <v>0.26612145084403993</v>
      </c>
      <c r="R10" t="s">
        <v>153</v>
      </c>
      <c r="S10" t="s">
        <v>143</v>
      </c>
      <c r="T10" t="s">
        <v>144</v>
      </c>
      <c r="U10" t="s">
        <v>145</v>
      </c>
      <c r="V10" t="s">
        <v>45</v>
      </c>
      <c r="W10">
        <v>37.605919723441957</v>
      </c>
    </row>
    <row r="11" spans="1:24" x14ac:dyDescent="0.3">
      <c r="A11" t="s">
        <v>47</v>
      </c>
      <c r="B11">
        <v>34.919619530290277</v>
      </c>
      <c r="C11">
        <v>40.954459069672573</v>
      </c>
      <c r="D11">
        <v>8.4423392468551128</v>
      </c>
      <c r="O11">
        <v>0.26951518699410448</v>
      </c>
      <c r="P11">
        <v>0.77843568146999609</v>
      </c>
      <c r="Q11">
        <v>0.37740349146907592</v>
      </c>
      <c r="S11" t="s">
        <v>145</v>
      </c>
      <c r="T11" t="s">
        <v>146</v>
      </c>
      <c r="U11" t="s">
        <v>147</v>
      </c>
      <c r="V11" t="s">
        <v>46</v>
      </c>
      <c r="W11">
        <v>34.201133317097003</v>
      </c>
      <c r="X11">
        <f>AVERAGE(W11:W12)</f>
        <v>34.332004214187549</v>
      </c>
    </row>
    <row r="12" spans="1:24" x14ac:dyDescent="0.3">
      <c r="A12" t="s">
        <v>47</v>
      </c>
      <c r="B12">
        <v>34.785350256049178</v>
      </c>
      <c r="C12">
        <v>37.647639463590885</v>
      </c>
      <c r="D12">
        <v>8.625789330091246</v>
      </c>
      <c r="O12">
        <v>0.8527244178969674</v>
      </c>
      <c r="P12">
        <v>1.9174532271472866</v>
      </c>
      <c r="Q12">
        <v>0.30329568970932475</v>
      </c>
      <c r="S12" t="s">
        <v>148</v>
      </c>
      <c r="T12" t="s">
        <v>149</v>
      </c>
      <c r="U12" t="s">
        <v>145</v>
      </c>
      <c r="V12" t="s">
        <v>46</v>
      </c>
      <c r="W12">
        <v>34.462875111278095</v>
      </c>
    </row>
    <row r="13" spans="1:24" x14ac:dyDescent="0.3">
      <c r="A13" t="s">
        <v>47</v>
      </c>
      <c r="B13">
        <v>33.174118965155927</v>
      </c>
      <c r="C13">
        <v>41.262395309382029</v>
      </c>
      <c r="D13">
        <v>7.9500884031286434</v>
      </c>
      <c r="O13">
        <v>0.39711778028444072</v>
      </c>
      <c r="P13">
        <v>1.1241512743751296</v>
      </c>
      <c r="Q13">
        <v>0.22376896694934889</v>
      </c>
      <c r="S13" t="s">
        <v>147</v>
      </c>
      <c r="T13" t="s">
        <v>150</v>
      </c>
      <c r="U13" t="s">
        <v>151</v>
      </c>
      <c r="V13" t="s">
        <v>46</v>
      </c>
      <c r="W13">
        <v>33.884123419607768</v>
      </c>
      <c r="X13">
        <f t="shared" ref="X13" si="17">AVERAGE(W13:W14)</f>
        <v>34.101155303984143</v>
      </c>
    </row>
    <row r="14" spans="1:24" x14ac:dyDescent="0.3">
      <c r="A14" t="s">
        <v>48</v>
      </c>
      <c r="B14">
        <v>34.600735484907062</v>
      </c>
      <c r="C14">
        <v>41.775010943584569</v>
      </c>
      <c r="D14">
        <v>6.3595704196671283</v>
      </c>
      <c r="G14">
        <f t="shared" ref="G14" si="18">AVERAGE(B14:B17)</f>
        <v>34.229949361178825</v>
      </c>
      <c r="H14">
        <f t="shared" ref="H14" si="19">AVERAGE(C14:C17)</f>
        <v>40.507901368743333</v>
      </c>
      <c r="I14">
        <f t="shared" ref="I14" si="20">AVERAGE(D14:D17)</f>
        <v>6.394202603864672</v>
      </c>
      <c r="K14">
        <f t="shared" ref="K14" si="21">STDEV(B14:B17)</f>
        <v>0.39711778028444072</v>
      </c>
      <c r="L14">
        <f t="shared" ref="L14" si="22">STDEV(C14:C17)</f>
        <v>1.1241512743751296</v>
      </c>
      <c r="M14">
        <f t="shared" ref="M14" si="23">STDEV(D14:D17)</f>
        <v>0.22376896694934889</v>
      </c>
      <c r="O14">
        <v>3.3478779663887487E-2</v>
      </c>
      <c r="P14">
        <v>0.76986676681298294</v>
      </c>
      <c r="Q14">
        <v>0.37984652241170197</v>
      </c>
      <c r="S14" t="s">
        <v>152</v>
      </c>
      <c r="T14" t="s">
        <v>146</v>
      </c>
      <c r="U14" t="s">
        <v>147</v>
      </c>
      <c r="V14" t="s">
        <v>46</v>
      </c>
      <c r="W14">
        <v>34.318187188360511</v>
      </c>
    </row>
    <row r="15" spans="1:24" x14ac:dyDescent="0.3">
      <c r="A15" t="s">
        <v>48</v>
      </c>
      <c r="B15">
        <v>33.859163237450581</v>
      </c>
      <c r="C15">
        <v>39.240791793902098</v>
      </c>
      <c r="D15">
        <v>6.4288347880622165</v>
      </c>
      <c r="O15">
        <v>0.33663389979869635</v>
      </c>
      <c r="P15">
        <v>0.3044440977017539</v>
      </c>
      <c r="Q15">
        <v>0.2797532194474649</v>
      </c>
      <c r="S15" t="s">
        <v>145</v>
      </c>
      <c r="T15" t="s">
        <v>145</v>
      </c>
      <c r="U15" t="s">
        <v>145</v>
      </c>
      <c r="V15" t="s">
        <v>46</v>
      </c>
      <c r="W15">
        <v>34.318187188360511</v>
      </c>
      <c r="X15">
        <f t="shared" ref="X15" si="24">AVERAGE(W15:W16)</f>
        <v>34.332004214187549</v>
      </c>
    </row>
    <row r="16" spans="1:24" x14ac:dyDescent="0.3">
      <c r="A16" t="s">
        <v>48</v>
      </c>
      <c r="B16">
        <v>34.544705532806397</v>
      </c>
      <c r="C16">
        <v>41.046424772937158</v>
      </c>
      <c r="D16">
        <v>6.6660655062108285</v>
      </c>
      <c r="O16" t="s">
        <v>154</v>
      </c>
      <c r="P16" t="s">
        <v>155</v>
      </c>
      <c r="Q16" t="s">
        <v>156</v>
      </c>
      <c r="V16" t="s">
        <v>46</v>
      </c>
      <c r="W16">
        <v>34.345821240014587</v>
      </c>
    </row>
    <row r="17" spans="1:24" x14ac:dyDescent="0.3">
      <c r="A17" t="s">
        <v>48</v>
      </c>
      <c r="B17">
        <v>33.915193189551246</v>
      </c>
      <c r="C17">
        <v>39.969377964549508</v>
      </c>
      <c r="D17">
        <v>6.1223397015185164</v>
      </c>
      <c r="O17" t="str">
        <f>CONCATENATE(S2,S17," ",$R$10," ",S10)</f>
        <v>37.9a ± 0.7</v>
      </c>
      <c r="P17" t="str">
        <f t="shared" ref="P17:Q22" si="25">CONCATENATE(T2,T17," ",$R$10," ",T10)</f>
        <v>41.2a ± 0.5</v>
      </c>
      <c r="Q17" t="str">
        <f t="shared" si="25"/>
        <v>8.3a ± 0.3</v>
      </c>
      <c r="S17" t="s">
        <v>82</v>
      </c>
      <c r="T17" t="s">
        <v>82</v>
      </c>
      <c r="U17" t="s">
        <v>82</v>
      </c>
      <c r="V17" t="s">
        <v>46</v>
      </c>
      <c r="W17">
        <v>34.462875111278095</v>
      </c>
      <c r="X17">
        <f t="shared" ref="X17" si="26">AVERAGE(W17:W18)</f>
        <v>34.114972329811181</v>
      </c>
    </row>
    <row r="18" spans="1:24" x14ac:dyDescent="0.3">
      <c r="A18" t="s">
        <v>49</v>
      </c>
      <c r="B18">
        <v>35.445958311512044</v>
      </c>
      <c r="C18">
        <v>40.283326090914713</v>
      </c>
      <c r="D18">
        <v>6.6464259310803788</v>
      </c>
      <c r="G18">
        <f t="shared" ref="G18" si="27">AVERAGE(B18:B21)</f>
        <v>35.474951785188672</v>
      </c>
      <c r="H18">
        <f t="shared" ref="H18" si="28">AVERAGE(C18:C21)</f>
        <v>41.212525206999317</v>
      </c>
      <c r="I18">
        <f t="shared" ref="I18" si="29">AVERAGE(D18:D21)</f>
        <v>6.3865978109513453</v>
      </c>
      <c r="K18">
        <f t="shared" ref="K18" si="30">STDEV(B18:B21)</f>
        <v>3.3478779663887487E-2</v>
      </c>
      <c r="L18">
        <f t="shared" ref="L18" si="31">STDEV(C18:C21)</f>
        <v>0.76986676681298294</v>
      </c>
      <c r="M18">
        <f t="shared" ref="M18" si="32">STDEV(D18:D21)</f>
        <v>0.37984652241170197</v>
      </c>
      <c r="O18" t="str">
        <f t="shared" ref="O18:O22" si="33">CONCATENATE(S3,S18," ",$R$10," ",S11)</f>
        <v>34.0d ± 0.3</v>
      </c>
      <c r="P18" t="str">
        <f t="shared" si="25"/>
        <v>31.7c ± 0.8</v>
      </c>
      <c r="Q18" t="str">
        <f t="shared" si="25"/>
        <v>6.4c ± 0.4</v>
      </c>
      <c r="S18" t="s">
        <v>85</v>
      </c>
      <c r="T18" t="s">
        <v>84</v>
      </c>
      <c r="U18" t="s">
        <v>84</v>
      </c>
      <c r="V18" t="s">
        <v>46</v>
      </c>
      <c r="W18">
        <v>33.767069548344267</v>
      </c>
    </row>
    <row r="19" spans="1:24" x14ac:dyDescent="0.3">
      <c r="A19" t="s">
        <v>49</v>
      </c>
      <c r="B19">
        <v>35.503945258865301</v>
      </c>
      <c r="C19">
        <v>42.14172432308392</v>
      </c>
      <c r="D19">
        <v>6.1267696908223099</v>
      </c>
      <c r="O19" t="str">
        <f t="shared" si="33"/>
        <v>34.4cd ± 0.9</v>
      </c>
      <c r="P19" t="str">
        <f t="shared" si="25"/>
        <v>39.5ab ± 1.9</v>
      </c>
      <c r="Q19" t="str">
        <f t="shared" si="25"/>
        <v>7.4b ± 0.3</v>
      </c>
      <c r="S19" t="s">
        <v>125</v>
      </c>
      <c r="T19" t="s">
        <v>105</v>
      </c>
      <c r="U19" t="s">
        <v>83</v>
      </c>
      <c r="V19" t="s">
        <v>46</v>
      </c>
      <c r="W19">
        <v>33.884123419607768</v>
      </c>
      <c r="X19">
        <f t="shared" ref="X19" si="34">AVERAGE(W19:W20)</f>
        <v>34.401871474949019</v>
      </c>
    </row>
    <row r="20" spans="1:24" x14ac:dyDescent="0.3">
      <c r="A20" t="s">
        <v>49</v>
      </c>
      <c r="B20">
        <v>35.445958311512044</v>
      </c>
      <c r="C20">
        <v>41.052427547328087</v>
      </c>
      <c r="D20">
        <v>6.0007035004560914</v>
      </c>
      <c r="O20" t="str">
        <f t="shared" si="33"/>
        <v>34.2d ± 0.4</v>
      </c>
      <c r="P20" t="str">
        <f t="shared" si="25"/>
        <v>40.5ab ± 1.1</v>
      </c>
      <c r="Q20" t="str">
        <f t="shared" si="25"/>
        <v>7.8ab ± 0.2</v>
      </c>
      <c r="S20" t="s">
        <v>85</v>
      </c>
      <c r="T20" t="s">
        <v>105</v>
      </c>
      <c r="U20" t="s">
        <v>105</v>
      </c>
      <c r="V20" t="s">
        <v>47</v>
      </c>
      <c r="W20">
        <v>34.919619530290277</v>
      </c>
    </row>
    <row r="21" spans="1:24" x14ac:dyDescent="0.3">
      <c r="A21" t="s">
        <v>49</v>
      </c>
      <c r="B21">
        <v>35.503945258865301</v>
      </c>
      <c r="C21">
        <v>41.372622866670547</v>
      </c>
      <c r="D21">
        <v>6.7724921214465992</v>
      </c>
      <c r="O21" t="str">
        <f t="shared" si="33"/>
        <v>35.5bc ± 0.0</v>
      </c>
      <c r="P21" t="str">
        <f t="shared" si="25"/>
        <v>38.7b ± 0.8</v>
      </c>
      <c r="Q21" t="str">
        <f t="shared" si="25"/>
        <v>7.4c ± 0.4</v>
      </c>
      <c r="S21" t="s">
        <v>93</v>
      </c>
      <c r="T21" t="s">
        <v>83</v>
      </c>
      <c r="U21" t="s">
        <v>84</v>
      </c>
      <c r="V21" t="s">
        <v>47</v>
      </c>
      <c r="W21">
        <v>34.785350256049178</v>
      </c>
    </row>
    <row r="22" spans="1:24" x14ac:dyDescent="0.3">
      <c r="A22" t="s">
        <v>50</v>
      </c>
      <c r="B22">
        <v>36.246414323003357</v>
      </c>
      <c r="C22">
        <v>39.583756046919227</v>
      </c>
      <c r="D22">
        <v>7.394724951333969</v>
      </c>
      <c r="G22">
        <f t="shared" ref="G22" si="35">AVERAGE(B22:B25)</f>
        <v>36.287373534694154</v>
      </c>
      <c r="H22">
        <f t="shared" ref="H22" si="36">AVERAGE(C22:C25)</f>
        <v>39.224670107858856</v>
      </c>
      <c r="I22">
        <f t="shared" ref="I22" si="37">AVERAGE(D22:D25)</f>
        <v>7.7127161349514868</v>
      </c>
      <c r="K22">
        <f t="shared" ref="K22" si="38">STDEV(B22:B25)</f>
        <v>0.33663389979869635</v>
      </c>
      <c r="L22">
        <f t="shared" ref="L22" si="39">STDEV(C22:C25)</f>
        <v>0.3044440977017539</v>
      </c>
      <c r="M22">
        <f t="shared" ref="M22" si="40">STDEV(D22:D25)</f>
        <v>0.2797532194474649</v>
      </c>
      <c r="O22" t="str">
        <f t="shared" si="33"/>
        <v>36.3b ± 0.3</v>
      </c>
      <c r="P22" t="str">
        <f t="shared" si="25"/>
        <v>39.2ab ± 0.3</v>
      </c>
      <c r="Q22" t="str">
        <f t="shared" si="25"/>
        <v>7.7ab ± 0.3</v>
      </c>
      <c r="S22" t="s">
        <v>83</v>
      </c>
      <c r="T22" t="s">
        <v>105</v>
      </c>
      <c r="U22" t="s">
        <v>105</v>
      </c>
      <c r="V22" t="s">
        <v>47</v>
      </c>
      <c r="W22">
        <v>33.174118965155927</v>
      </c>
    </row>
    <row r="23" spans="1:24" x14ac:dyDescent="0.3">
      <c r="A23" t="s">
        <v>50</v>
      </c>
      <c r="B23">
        <v>36.188716663776844</v>
      </c>
      <c r="C23">
        <v>38.865584168798485</v>
      </c>
      <c r="D23">
        <v>8.0307073185690037</v>
      </c>
      <c r="V23" t="s">
        <v>47</v>
      </c>
      <c r="W23">
        <v>34.919619530290277</v>
      </c>
    </row>
    <row r="24" spans="1:24" x14ac:dyDescent="0.3">
      <c r="A24" t="s">
        <v>50</v>
      </c>
      <c r="B24">
        <v>35.957926026870773</v>
      </c>
      <c r="C24">
        <v>39.325102180959455</v>
      </c>
      <c r="D24">
        <v>7.8402873026515687</v>
      </c>
      <c r="V24" t="s">
        <v>47</v>
      </c>
      <c r="W24">
        <v>34.919619530290277</v>
      </c>
    </row>
    <row r="25" spans="1:24" x14ac:dyDescent="0.3">
      <c r="A25" t="s">
        <v>50</v>
      </c>
      <c r="B25">
        <v>36.756437125125636</v>
      </c>
      <c r="C25">
        <v>39.124238034758257</v>
      </c>
      <c r="D25">
        <v>7.585144967251404</v>
      </c>
      <c r="V25" t="s">
        <v>47</v>
      </c>
      <c r="W25">
        <v>34.785350256049178</v>
      </c>
    </row>
    <row r="26" spans="1:24" x14ac:dyDescent="0.3">
      <c r="V26" t="s">
        <v>47</v>
      </c>
      <c r="W26">
        <v>34.785350256049178</v>
      </c>
    </row>
    <row r="27" spans="1:24" x14ac:dyDescent="0.3">
      <c r="V27" t="s">
        <v>47</v>
      </c>
      <c r="W27">
        <v>33.174118965155927</v>
      </c>
    </row>
    <row r="28" spans="1:24" x14ac:dyDescent="0.3">
      <c r="V28" t="s">
        <v>47</v>
      </c>
      <c r="W28">
        <v>33.174118965155927</v>
      </c>
    </row>
    <row r="29" spans="1:24" x14ac:dyDescent="0.3">
      <c r="V29" t="s">
        <v>48</v>
      </c>
      <c r="W29">
        <v>34.600735484907062</v>
      </c>
    </row>
    <row r="30" spans="1:24" x14ac:dyDescent="0.3">
      <c r="V30" t="s">
        <v>48</v>
      </c>
      <c r="W30">
        <v>34.600735484907098</v>
      </c>
    </row>
    <row r="31" spans="1:24" x14ac:dyDescent="0.3">
      <c r="V31" t="s">
        <v>48</v>
      </c>
      <c r="W31">
        <v>33.859163237450581</v>
      </c>
    </row>
    <row r="32" spans="1:24" x14ac:dyDescent="0.3">
      <c r="V32" t="s">
        <v>48</v>
      </c>
      <c r="W32">
        <v>34.600735484907062</v>
      </c>
    </row>
    <row r="33" spans="22:23" x14ac:dyDescent="0.3">
      <c r="V33" t="s">
        <v>48</v>
      </c>
      <c r="W33">
        <v>34.544705532806397</v>
      </c>
    </row>
    <row r="34" spans="22:23" x14ac:dyDescent="0.3">
      <c r="V34" t="s">
        <v>48</v>
      </c>
      <c r="W34">
        <v>34.600735484907062</v>
      </c>
    </row>
    <row r="35" spans="22:23" x14ac:dyDescent="0.3">
      <c r="V35" t="s">
        <v>48</v>
      </c>
      <c r="W35">
        <v>34.544705532806397</v>
      </c>
    </row>
    <row r="36" spans="22:23" x14ac:dyDescent="0.3">
      <c r="V36" t="s">
        <v>48</v>
      </c>
      <c r="W36">
        <v>33.915193189551246</v>
      </c>
    </row>
    <row r="37" spans="22:23" x14ac:dyDescent="0.3">
      <c r="V37" t="s">
        <v>48</v>
      </c>
      <c r="W37">
        <v>33.915193189551246</v>
      </c>
    </row>
    <row r="38" spans="22:23" x14ac:dyDescent="0.3">
      <c r="V38" t="s">
        <v>49</v>
      </c>
      <c r="W38">
        <v>35.445958311512044</v>
      </c>
    </row>
    <row r="39" spans="22:23" x14ac:dyDescent="0.3">
      <c r="V39" t="s">
        <v>49</v>
      </c>
      <c r="W39">
        <v>35.503945258865301</v>
      </c>
    </row>
    <row r="40" spans="22:23" x14ac:dyDescent="0.3">
      <c r="V40" t="s">
        <v>49</v>
      </c>
      <c r="W40">
        <v>35.503945258865301</v>
      </c>
    </row>
    <row r="41" spans="22:23" x14ac:dyDescent="0.3">
      <c r="V41" t="s">
        <v>49</v>
      </c>
      <c r="W41">
        <v>35.503945258865301</v>
      </c>
    </row>
    <row r="42" spans="22:23" x14ac:dyDescent="0.3">
      <c r="V42" t="s">
        <v>49</v>
      </c>
      <c r="W42">
        <v>35.503945258865301</v>
      </c>
    </row>
    <row r="43" spans="22:23" x14ac:dyDescent="0.3">
      <c r="V43" t="s">
        <v>49</v>
      </c>
      <c r="W43">
        <v>35.445958311512044</v>
      </c>
    </row>
    <row r="44" spans="22:23" x14ac:dyDescent="0.3">
      <c r="V44" t="s">
        <v>49</v>
      </c>
      <c r="W44">
        <v>35.503945258865301</v>
      </c>
    </row>
    <row r="45" spans="22:23" x14ac:dyDescent="0.3">
      <c r="V45" t="s">
        <v>49</v>
      </c>
      <c r="W45">
        <v>35.445958311512044</v>
      </c>
    </row>
    <row r="46" spans="22:23" x14ac:dyDescent="0.3">
      <c r="V46" t="s">
        <v>49</v>
      </c>
      <c r="W46">
        <v>35.503945258865301</v>
      </c>
    </row>
    <row r="47" spans="22:23" x14ac:dyDescent="0.3">
      <c r="V47" t="s">
        <v>50</v>
      </c>
      <c r="W47">
        <v>36.246414323003357</v>
      </c>
    </row>
    <row r="48" spans="22:23" x14ac:dyDescent="0.3">
      <c r="V48" t="s">
        <v>50</v>
      </c>
      <c r="W48">
        <v>36.756437125125636</v>
      </c>
    </row>
    <row r="49" spans="22:23" x14ac:dyDescent="0.3">
      <c r="V49" t="s">
        <v>50</v>
      </c>
      <c r="W49">
        <v>36.525646488219564</v>
      </c>
    </row>
    <row r="50" spans="22:23" x14ac:dyDescent="0.3">
      <c r="V50" t="s">
        <v>50</v>
      </c>
      <c r="W50">
        <v>36.188716663776844</v>
      </c>
    </row>
    <row r="51" spans="22:23" x14ac:dyDescent="0.3">
      <c r="V51" t="s">
        <v>50</v>
      </c>
      <c r="W51">
        <v>35.957926026870773</v>
      </c>
    </row>
    <row r="52" spans="22:23" x14ac:dyDescent="0.3">
      <c r="V52" t="s">
        <v>50</v>
      </c>
      <c r="W52">
        <v>36.814134784352149</v>
      </c>
    </row>
    <row r="53" spans="22:23" x14ac:dyDescent="0.3">
      <c r="V53" t="s">
        <v>50</v>
      </c>
      <c r="W53">
        <v>36.525646488219564</v>
      </c>
    </row>
    <row r="54" spans="22:23" x14ac:dyDescent="0.3">
      <c r="V54" t="s">
        <v>50</v>
      </c>
      <c r="W54">
        <v>36.814134784352149</v>
      </c>
    </row>
    <row r="55" spans="22:23" x14ac:dyDescent="0.3">
      <c r="V55" t="s">
        <v>50</v>
      </c>
      <c r="W55">
        <v>36.756437125125636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10E67-1954-47D5-AA46-523DD551D1CC}">
  <dimension ref="A1:K8"/>
  <sheetViews>
    <sheetView workbookViewId="0">
      <selection activeCell="K4" sqref="K4"/>
    </sheetView>
  </sheetViews>
  <sheetFormatPr defaultRowHeight="14.4" x14ac:dyDescent="0.3"/>
  <cols>
    <col min="1" max="1" width="13.44140625" customWidth="1"/>
    <col min="2" max="2" width="14.44140625" customWidth="1"/>
  </cols>
  <sheetData>
    <row r="1" spans="1:11" x14ac:dyDescent="0.3">
      <c r="A1" t="s">
        <v>0</v>
      </c>
      <c r="B1" t="s">
        <v>1</v>
      </c>
      <c r="J1" s="1" t="s">
        <v>20</v>
      </c>
    </row>
    <row r="2" spans="1:11" x14ac:dyDescent="0.3">
      <c r="A2">
        <v>3.1231200000000001E-3</v>
      </c>
      <c r="B2">
        <v>7.3999999999999996E-2</v>
      </c>
    </row>
    <row r="3" spans="1:11" x14ac:dyDescent="0.3">
      <c r="A3">
        <v>9.3693600000000002E-3</v>
      </c>
      <c r="B3">
        <v>0.23300000000000001</v>
      </c>
      <c r="J3" t="s">
        <v>21</v>
      </c>
      <c r="K3">
        <v>24.748999999999999</v>
      </c>
    </row>
    <row r="4" spans="1:11" x14ac:dyDescent="0.3">
      <c r="A4">
        <v>1.56156E-2</v>
      </c>
      <c r="B4">
        <v>0.39</v>
      </c>
      <c r="C4">
        <v>0.38900000000000001</v>
      </c>
      <c r="J4" t="s">
        <v>22</v>
      </c>
      <c r="K4">
        <v>1.2999999999999999E-3</v>
      </c>
    </row>
    <row r="5" spans="1:11" x14ac:dyDescent="0.3">
      <c r="A5">
        <v>2.186184E-2</v>
      </c>
      <c r="B5">
        <v>0.54600000000000004</v>
      </c>
    </row>
    <row r="6" spans="1:11" x14ac:dyDescent="0.3">
      <c r="A6">
        <v>2.8108080000000001E-2</v>
      </c>
      <c r="B6">
        <v>0.7</v>
      </c>
    </row>
    <row r="7" spans="1:11" x14ac:dyDescent="0.3">
      <c r="A7">
        <v>3.1231200000000001E-2</v>
      </c>
      <c r="B7">
        <v>0.77700000000000002</v>
      </c>
    </row>
    <row r="8" spans="1:11" x14ac:dyDescent="0.3">
      <c r="A8">
        <v>3.8939000000000001E-2</v>
      </c>
      <c r="B8">
        <v>0.95799999999999996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26A61-3B1A-4FB8-AD52-D2922FDFF2AA}">
  <dimension ref="A1:AI71"/>
  <sheetViews>
    <sheetView topLeftCell="A16" workbookViewId="0">
      <selection activeCell="A71" activeCellId="1" sqref="G17:G71 A17:A71"/>
    </sheetView>
  </sheetViews>
  <sheetFormatPr defaultRowHeight="14.4" x14ac:dyDescent="0.3"/>
  <sheetData>
    <row r="1" spans="1:35" x14ac:dyDescent="0.3">
      <c r="A1" t="s">
        <v>35</v>
      </c>
      <c r="B1" t="s">
        <v>10</v>
      </c>
      <c r="C1" t="s">
        <v>6</v>
      </c>
      <c r="D1" t="s">
        <v>7</v>
      </c>
      <c r="E1" t="s">
        <v>9</v>
      </c>
      <c r="F1" s="8" t="s">
        <v>36</v>
      </c>
      <c r="G1" s="8"/>
      <c r="H1" s="8"/>
      <c r="I1" s="8" t="s">
        <v>37</v>
      </c>
      <c r="J1" s="8"/>
      <c r="K1" s="8"/>
      <c r="L1" s="8" t="s">
        <v>38</v>
      </c>
      <c r="M1" s="8"/>
      <c r="N1" s="8"/>
      <c r="O1" s="8" t="s">
        <v>39</v>
      </c>
      <c r="P1" s="8"/>
      <c r="Q1" s="8"/>
      <c r="R1" s="8" t="s">
        <v>40</v>
      </c>
      <c r="S1" s="8"/>
      <c r="T1" s="8"/>
      <c r="U1" s="8"/>
      <c r="V1" s="8"/>
      <c r="W1" s="8"/>
      <c r="X1" s="8"/>
      <c r="Y1" s="8"/>
      <c r="Z1" s="8"/>
      <c r="AA1" s="8" t="s">
        <v>41</v>
      </c>
      <c r="AB1" s="8"/>
      <c r="AC1" s="8"/>
      <c r="AD1" s="8"/>
      <c r="AE1" s="8"/>
      <c r="AF1" s="8"/>
      <c r="AG1" s="8"/>
      <c r="AH1" s="8"/>
      <c r="AI1" s="8"/>
    </row>
    <row r="2" spans="1:35" x14ac:dyDescent="0.3">
      <c r="A2" t="s">
        <v>3</v>
      </c>
      <c r="B2">
        <v>80.599999999999994</v>
      </c>
      <c r="C2">
        <v>0.23400000000000001</v>
      </c>
      <c r="D2">
        <v>0.23499999999999999</v>
      </c>
      <c r="E2">
        <v>0.24099999999999999</v>
      </c>
      <c r="F2">
        <f t="shared" ref="F2:F13" si="0">(C2-c_Avail.K)/m_Avail.K</f>
        <v>9.0578406683455258E-3</v>
      </c>
      <c r="G2">
        <f t="shared" ref="G2:G13" si="1">(D2-c_Avail.K)/m_Avail.K</f>
        <v>9.0978134868289571E-3</v>
      </c>
      <c r="H2">
        <f t="shared" ref="H2:H13" si="2">(E2-c_Avail.K)/m_Avail.K</f>
        <v>9.3376503977295449E-3</v>
      </c>
      <c r="I2" s="2">
        <f>F2*425/3</f>
        <v>1.2831940946822828</v>
      </c>
      <c r="J2" s="2">
        <f t="shared" ref="J2:K2" si="3">G2*425/3</f>
        <v>1.2888569106341021</v>
      </c>
      <c r="K2" s="2">
        <f t="shared" si="3"/>
        <v>1.3228338063450189</v>
      </c>
      <c r="L2" s="2">
        <f>3.89039-I2</f>
        <v>2.6071959053177172</v>
      </c>
      <c r="M2" s="2">
        <f t="shared" ref="M2:N2" si="4">3.89039-J2</f>
        <v>2.6015330893658977</v>
      </c>
      <c r="N2" s="2">
        <f t="shared" si="4"/>
        <v>2.5675561936549811</v>
      </c>
      <c r="O2" s="2">
        <f>L2*1000*12/B2</f>
        <v>388.16812486119858</v>
      </c>
      <c r="P2" s="2">
        <f>M2*1000*12/B2</f>
        <v>387.32502571204429</v>
      </c>
      <c r="Q2" s="2">
        <f>N2*1000*12/B2</f>
        <v>382.26643081711882</v>
      </c>
      <c r="R2" s="2">
        <f>O2-O3</f>
        <v>223.62195931330092</v>
      </c>
      <c r="S2" s="2">
        <f>P2-P3</f>
        <v>226.21824224476202</v>
      </c>
      <c r="T2" s="2">
        <f>Q2-Q3</f>
        <v>220.81570914177499</v>
      </c>
      <c r="U2" s="2">
        <f>O2-P3</f>
        <v>227.06134139391631</v>
      </c>
      <c r="V2" s="2">
        <f>O2-Q3</f>
        <v>226.71740318585475</v>
      </c>
      <c r="W2" s="2">
        <f>P2-O3</f>
        <v>222.77886016414664</v>
      </c>
      <c r="X2" s="2">
        <f>P2-Q3</f>
        <v>225.87430403670047</v>
      </c>
      <c r="Y2" s="2">
        <f>Q2-O3</f>
        <v>217.72026526922116</v>
      </c>
      <c r="Z2" s="2">
        <f>Q2-P3</f>
        <v>221.15964734983655</v>
      </c>
      <c r="AA2" s="2">
        <f>R2*146.2/1000</f>
        <v>32.693530451604587</v>
      </c>
      <c r="AB2" s="2">
        <f t="shared" ref="AB2:AF2" si="5">S2*146.2/1000</f>
        <v>33.07310701618421</v>
      </c>
      <c r="AC2" s="2">
        <f t="shared" si="5"/>
        <v>32.2832566765275</v>
      </c>
      <c r="AD2" s="2">
        <f t="shared" si="5"/>
        <v>33.196368111790555</v>
      </c>
      <c r="AE2" s="2">
        <f t="shared" si="5"/>
        <v>33.14608434577196</v>
      </c>
      <c r="AF2" s="2">
        <f t="shared" si="5"/>
        <v>32.570269355998235</v>
      </c>
      <c r="AG2" s="2">
        <f>X2*146.2/1000</f>
        <v>33.022823250165601</v>
      </c>
      <c r="AH2" s="2">
        <f t="shared" ref="AH2" si="6">Y2*146.2/1000</f>
        <v>31.830702782360131</v>
      </c>
      <c r="AI2" s="2">
        <f t="shared" ref="AI2" si="7">Z2*146.2/1000</f>
        <v>32.333540442546102</v>
      </c>
    </row>
    <row r="3" spans="1:35" x14ac:dyDescent="0.3">
      <c r="A3" t="s">
        <v>4</v>
      </c>
      <c r="B3">
        <v>199.9</v>
      </c>
      <c r="C3">
        <v>0.20799999999999999</v>
      </c>
      <c r="D3">
        <v>0.218</v>
      </c>
      <c r="E3">
        <v>0.217</v>
      </c>
      <c r="F3">
        <f t="shared" si="0"/>
        <v>8.0185473877763119E-3</v>
      </c>
      <c r="G3">
        <f t="shared" si="1"/>
        <v>8.418275572610625E-3</v>
      </c>
      <c r="H3">
        <f t="shared" si="2"/>
        <v>8.3783027541271936E-3</v>
      </c>
      <c r="I3" s="2">
        <f>F3*430/3</f>
        <v>1.1493251255812713</v>
      </c>
      <c r="J3" s="2">
        <f t="shared" ref="J3:K3" si="8">G3*430/3</f>
        <v>1.2066194987408563</v>
      </c>
      <c r="K3" s="2">
        <f t="shared" si="8"/>
        <v>1.2008900614248976</v>
      </c>
      <c r="L3" s="2">
        <f t="shared" ref="L3:L13" si="9">3.89039-I3</f>
        <v>2.7410648744187287</v>
      </c>
      <c r="M3" s="2">
        <f t="shared" ref="M3:M13" si="10">3.89039-J3</f>
        <v>2.6837705012591435</v>
      </c>
      <c r="N3" s="2">
        <f t="shared" ref="N3:N13" si="11">3.89039-K3</f>
        <v>2.6894999385751026</v>
      </c>
      <c r="O3" s="2">
        <f t="shared" ref="O3:O13" si="12">L3*1000*12/B3</f>
        <v>164.54616554789766</v>
      </c>
      <c r="P3" s="2">
        <f t="shared" ref="P3:P13" si="13">M3*1000*12/B3</f>
        <v>161.10678346728227</v>
      </c>
      <c r="Q3" s="2">
        <f t="shared" ref="Q3:Q13" si="14">N3*1000*12/B3</f>
        <v>161.45072167534383</v>
      </c>
      <c r="AA3" s="2"/>
      <c r="AB3" s="2"/>
      <c r="AC3" s="2"/>
      <c r="AD3" s="2"/>
      <c r="AE3" s="2"/>
      <c r="AF3" s="2"/>
      <c r="AG3" s="2"/>
      <c r="AH3" s="2"/>
      <c r="AI3" s="2"/>
    </row>
    <row r="4" spans="1:35" x14ac:dyDescent="0.3">
      <c r="A4" t="s">
        <v>5</v>
      </c>
      <c r="B4">
        <v>80.400000000000006</v>
      </c>
      <c r="C4">
        <v>0.27300000000000002</v>
      </c>
      <c r="D4">
        <v>0.27200000000000002</v>
      </c>
      <c r="E4">
        <v>0.27600000000000002</v>
      </c>
      <c r="F4">
        <f t="shared" si="0"/>
        <v>1.0616780589199345E-2</v>
      </c>
      <c r="G4">
        <f t="shared" si="1"/>
        <v>1.0576807770715914E-2</v>
      </c>
      <c r="H4">
        <f t="shared" si="2"/>
        <v>1.0736699044649639E-2</v>
      </c>
      <c r="I4" s="2">
        <f t="shared" ref="I4" si="15">F4*425/3</f>
        <v>1.5040439168032405</v>
      </c>
      <c r="J4" s="2">
        <f t="shared" ref="J4" si="16">G4*425/3</f>
        <v>1.498381100851421</v>
      </c>
      <c r="K4" s="2">
        <f t="shared" ref="K4" si="17">H4*425/3</f>
        <v>1.5210323646586987</v>
      </c>
      <c r="L4" s="2">
        <f t="shared" si="9"/>
        <v>2.3863460831967593</v>
      </c>
      <c r="M4" s="2">
        <f t="shared" si="10"/>
        <v>2.3920088991485793</v>
      </c>
      <c r="N4" s="2">
        <f t="shared" si="11"/>
        <v>2.3693576353413013</v>
      </c>
      <c r="O4" s="2">
        <f t="shared" si="12"/>
        <v>356.17105719354618</v>
      </c>
      <c r="P4" s="2">
        <f t="shared" si="13"/>
        <v>357.0162536042655</v>
      </c>
      <c r="Q4" s="2">
        <f t="shared" si="14"/>
        <v>353.63546796138826</v>
      </c>
      <c r="R4" s="2">
        <f t="shared" ref="R4" si="18">O4-O5</f>
        <v>199.78637151774703</v>
      </c>
      <c r="S4" s="2">
        <f t="shared" ref="S4" si="19">P4-P5</f>
        <v>201.31533966184782</v>
      </c>
      <c r="T4" s="2">
        <f t="shared" ref="T4" si="20">Q4-Q5</f>
        <v>197.93455401897057</v>
      </c>
      <c r="U4" s="2">
        <f t="shared" ref="U4" si="21">O4-P5</f>
        <v>200.47014325112849</v>
      </c>
      <c r="V4" s="2">
        <f t="shared" ref="V4" si="22">O4-Q5</f>
        <v>200.47014325112849</v>
      </c>
      <c r="W4" s="2">
        <f t="shared" ref="W4" si="23">P4-O5</f>
        <v>200.63156792846635</v>
      </c>
      <c r="X4" s="2">
        <f t="shared" ref="X4" si="24">P4-Q5</f>
        <v>201.31533966184782</v>
      </c>
      <c r="Y4" s="2">
        <f t="shared" ref="Y4" si="25">Q4-O5</f>
        <v>197.25078228558911</v>
      </c>
      <c r="Z4" s="2">
        <f t="shared" ref="Z4" si="26">Q4-P5</f>
        <v>197.93455401897057</v>
      </c>
      <c r="AA4" s="2">
        <f t="shared" ref="AA4" si="27">R4*146.2/1000</f>
        <v>29.208767515894614</v>
      </c>
      <c r="AB4" s="2">
        <f t="shared" ref="AB4" si="28">S4*146.2/1000</f>
        <v>29.432302658562147</v>
      </c>
      <c r="AC4" s="2">
        <f t="shared" ref="AC4" si="29">T4*146.2/1000</f>
        <v>28.938031797573494</v>
      </c>
      <c r="AD4" s="2">
        <f t="shared" ref="AD4" si="30">U4*146.2/1000</f>
        <v>29.308734943314985</v>
      </c>
      <c r="AE4" s="2">
        <f t="shared" ref="AE4" si="31">V4*146.2/1000</f>
        <v>29.308734943314985</v>
      </c>
      <c r="AF4" s="2">
        <f t="shared" ref="AF4" si="32">W4*146.2/1000</f>
        <v>29.33233523114178</v>
      </c>
      <c r="AG4" s="2">
        <f t="shared" ref="AG4" si="33">X4*146.2/1000</f>
        <v>29.432302658562147</v>
      </c>
      <c r="AH4" s="2">
        <f t="shared" ref="AH4" si="34">Y4*146.2/1000</f>
        <v>28.838064370153127</v>
      </c>
      <c r="AI4" s="2">
        <f t="shared" ref="AI4" si="35">Z4*146.2/1000</f>
        <v>28.938031797573494</v>
      </c>
    </row>
    <row r="5" spans="1:35" x14ac:dyDescent="0.3">
      <c r="A5" t="s">
        <v>11</v>
      </c>
      <c r="B5">
        <v>201.1</v>
      </c>
      <c r="C5">
        <v>0.22900000000000001</v>
      </c>
      <c r="D5">
        <v>0.23100000000000001</v>
      </c>
      <c r="E5">
        <v>0.23100000000000001</v>
      </c>
      <c r="F5">
        <f t="shared" si="0"/>
        <v>8.8579765759283693E-3</v>
      </c>
      <c r="G5">
        <f t="shared" si="1"/>
        <v>8.9379222128952319E-3</v>
      </c>
      <c r="H5">
        <f t="shared" si="2"/>
        <v>8.9379222128952319E-3</v>
      </c>
      <c r="I5" s="2">
        <f t="shared" ref="I5" si="36">F5*430/3</f>
        <v>1.2696433092163997</v>
      </c>
      <c r="J5" s="2">
        <f t="shared" ref="J5" si="37">G5*430/3</f>
        <v>1.2811021838483165</v>
      </c>
      <c r="K5" s="2">
        <f t="shared" ref="K5" si="38">H5*430/3</f>
        <v>1.2811021838483165</v>
      </c>
      <c r="L5" s="2">
        <f t="shared" si="9"/>
        <v>2.6207466907836006</v>
      </c>
      <c r="M5" s="2">
        <f t="shared" si="10"/>
        <v>2.6092878161516833</v>
      </c>
      <c r="N5" s="2">
        <f t="shared" si="11"/>
        <v>2.6092878161516833</v>
      </c>
      <c r="O5" s="2">
        <f t="shared" si="12"/>
        <v>156.38468567579915</v>
      </c>
      <c r="P5" s="2">
        <f t="shared" si="13"/>
        <v>155.70091394241769</v>
      </c>
      <c r="Q5" s="2">
        <f t="shared" si="14"/>
        <v>155.70091394241769</v>
      </c>
      <c r="AA5" s="2"/>
      <c r="AB5" s="2"/>
      <c r="AC5" s="2"/>
      <c r="AD5" s="2"/>
      <c r="AE5" s="2"/>
      <c r="AF5" s="2"/>
      <c r="AG5" s="2"/>
      <c r="AH5" s="2"/>
      <c r="AI5" s="2"/>
    </row>
    <row r="6" spans="1:35" x14ac:dyDescent="0.3">
      <c r="A6" t="s">
        <v>12</v>
      </c>
      <c r="B6">
        <v>84.4</v>
      </c>
      <c r="C6">
        <v>0.23400000000000001</v>
      </c>
      <c r="D6">
        <v>0.23499999999999999</v>
      </c>
      <c r="E6">
        <v>0.247</v>
      </c>
      <c r="F6">
        <f t="shared" si="0"/>
        <v>9.0578406683455258E-3</v>
      </c>
      <c r="G6">
        <f t="shared" si="1"/>
        <v>9.0978134868289571E-3</v>
      </c>
      <c r="H6">
        <f t="shared" si="2"/>
        <v>9.5774873086301327E-3</v>
      </c>
      <c r="I6" s="2">
        <f t="shared" ref="I6" si="39">F6*425/3</f>
        <v>1.2831940946822828</v>
      </c>
      <c r="J6" s="2">
        <f t="shared" ref="J6" si="40">G6*425/3</f>
        <v>1.2888569106341021</v>
      </c>
      <c r="K6" s="2">
        <f t="shared" ref="K6" si="41">H6*425/3</f>
        <v>1.3568107020559355</v>
      </c>
      <c r="L6" s="2">
        <f t="shared" si="9"/>
        <v>2.6071959053177172</v>
      </c>
      <c r="M6" s="2">
        <f t="shared" si="10"/>
        <v>2.6015330893658977</v>
      </c>
      <c r="N6" s="2">
        <f t="shared" si="11"/>
        <v>2.5335792979440646</v>
      </c>
      <c r="O6" s="2">
        <f t="shared" si="12"/>
        <v>370.69136094564692</v>
      </c>
      <c r="P6" s="2">
        <f t="shared" si="13"/>
        <v>369.88622123685741</v>
      </c>
      <c r="Q6" s="2">
        <f t="shared" si="14"/>
        <v>360.2245447313835</v>
      </c>
      <c r="R6" s="2">
        <f t="shared" ref="R6" si="42">O6-O7</f>
        <v>209.39393959314944</v>
      </c>
      <c r="S6" s="2">
        <f t="shared" ref="S6" si="43">P6-P7</f>
        <v>208.58879988435993</v>
      </c>
      <c r="T6" s="2">
        <f t="shared" ref="T6" si="44">Q6-Q7</f>
        <v>198.92712337888602</v>
      </c>
      <c r="U6" s="2">
        <f t="shared" ref="U6" si="45">O6-P7</f>
        <v>209.39393959314944</v>
      </c>
      <c r="V6" s="2">
        <f t="shared" ref="V6" si="46">O6-Q7</f>
        <v>209.39393959314944</v>
      </c>
      <c r="W6" s="2">
        <f t="shared" ref="W6" si="47">P6-O7</f>
        <v>208.58879988435993</v>
      </c>
      <c r="X6" s="2">
        <f t="shared" ref="X6" si="48">P6-Q7</f>
        <v>208.58879988435993</v>
      </c>
      <c r="Y6" s="2">
        <f t="shared" ref="Y6" si="49">Q6-O7</f>
        <v>198.92712337888602</v>
      </c>
      <c r="Z6" s="2">
        <f t="shared" ref="Z6" si="50">Q6-P7</f>
        <v>198.92712337888602</v>
      </c>
      <c r="AA6" s="2">
        <f t="shared" ref="AA6" si="51">R6*146.2/1000</f>
        <v>30.613393968518444</v>
      </c>
      <c r="AB6" s="2">
        <f t="shared" ref="AB6" si="52">S6*146.2/1000</f>
        <v>30.49568254309342</v>
      </c>
      <c r="AC6" s="2">
        <f t="shared" ref="AC6" si="53">T6*146.2/1000</f>
        <v>29.083145437993135</v>
      </c>
      <c r="AD6" s="2">
        <f t="shared" ref="AD6" si="54">U6*146.2/1000</f>
        <v>30.613393968518444</v>
      </c>
      <c r="AE6" s="2">
        <f t="shared" ref="AE6" si="55">V6*146.2/1000</f>
        <v>30.613393968518444</v>
      </c>
      <c r="AF6" s="2">
        <f t="shared" ref="AF6" si="56">W6*146.2/1000</f>
        <v>30.49568254309342</v>
      </c>
      <c r="AG6" s="2">
        <f t="shared" ref="AG6" si="57">X6*146.2/1000</f>
        <v>30.49568254309342</v>
      </c>
      <c r="AH6" s="2">
        <f t="shared" ref="AH6" si="58">Y6*146.2/1000</f>
        <v>29.083145437993135</v>
      </c>
      <c r="AI6" s="2">
        <f t="shared" ref="AI6" si="59">Z6*146.2/1000</f>
        <v>29.083145437993135</v>
      </c>
    </row>
    <row r="7" spans="1:35" x14ac:dyDescent="0.3">
      <c r="A7" t="s">
        <v>13</v>
      </c>
      <c r="B7">
        <v>203.5</v>
      </c>
      <c r="C7">
        <v>0.20899999999999999</v>
      </c>
      <c r="D7">
        <v>0.20899999999999999</v>
      </c>
      <c r="E7">
        <v>0.20899999999999999</v>
      </c>
      <c r="F7">
        <f t="shared" si="0"/>
        <v>8.0585202062597432E-3</v>
      </c>
      <c r="G7">
        <f t="shared" si="1"/>
        <v>8.0585202062597432E-3</v>
      </c>
      <c r="H7">
        <f t="shared" si="2"/>
        <v>8.0585202062597432E-3</v>
      </c>
      <c r="I7" s="2">
        <f t="shared" ref="I7" si="60">F7*430/3</f>
        <v>1.1550545628972297</v>
      </c>
      <c r="J7" s="2">
        <f t="shared" ref="J7" si="61">G7*430/3</f>
        <v>1.1550545628972297</v>
      </c>
      <c r="K7" s="2">
        <f t="shared" ref="K7" si="62">H7*430/3</f>
        <v>1.1550545628972297</v>
      </c>
      <c r="L7" s="2">
        <f t="shared" si="9"/>
        <v>2.7353354371027701</v>
      </c>
      <c r="M7" s="2">
        <f t="shared" si="10"/>
        <v>2.7353354371027701</v>
      </c>
      <c r="N7" s="2">
        <f t="shared" si="11"/>
        <v>2.7353354371027701</v>
      </c>
      <c r="O7" s="2">
        <f t="shared" si="12"/>
        <v>161.29742135249748</v>
      </c>
      <c r="P7" s="2">
        <f t="shared" si="13"/>
        <v>161.29742135249748</v>
      </c>
      <c r="Q7" s="2">
        <f t="shared" si="14"/>
        <v>161.29742135249748</v>
      </c>
      <c r="AA7" s="2"/>
      <c r="AB7" s="2"/>
      <c r="AC7" s="2"/>
      <c r="AD7" s="2"/>
      <c r="AE7" s="2"/>
      <c r="AF7" s="2"/>
      <c r="AG7" s="2"/>
      <c r="AH7" s="2"/>
      <c r="AI7" s="2"/>
    </row>
    <row r="8" spans="1:35" x14ac:dyDescent="0.3">
      <c r="A8" t="s">
        <v>14</v>
      </c>
      <c r="B8">
        <v>82.8</v>
      </c>
      <c r="C8">
        <v>0.24</v>
      </c>
      <c r="D8">
        <v>0.24</v>
      </c>
      <c r="E8">
        <v>0.245</v>
      </c>
      <c r="F8">
        <f t="shared" si="0"/>
        <v>9.2976775792461136E-3</v>
      </c>
      <c r="G8">
        <f t="shared" si="1"/>
        <v>9.2976775792461136E-3</v>
      </c>
      <c r="H8">
        <f t="shared" si="2"/>
        <v>9.4975416716632701E-3</v>
      </c>
      <c r="I8" s="2">
        <f t="shared" ref="I8" si="63">F8*425/3</f>
        <v>1.3171709903931994</v>
      </c>
      <c r="J8" s="2">
        <f t="shared" ref="J8" si="64">G8*425/3</f>
        <v>1.3171709903931994</v>
      </c>
      <c r="K8" s="2">
        <f t="shared" ref="K8" si="65">H8*425/3</f>
        <v>1.3454850701522965</v>
      </c>
      <c r="L8" s="2">
        <f t="shared" si="9"/>
        <v>2.5732190096068006</v>
      </c>
      <c r="M8" s="2">
        <f t="shared" si="10"/>
        <v>2.5732190096068006</v>
      </c>
      <c r="N8" s="2">
        <f t="shared" si="11"/>
        <v>2.5449049298477036</v>
      </c>
      <c r="O8" s="2">
        <f t="shared" si="12"/>
        <v>372.93029124736245</v>
      </c>
      <c r="P8" s="2">
        <f t="shared" si="13"/>
        <v>372.93029124736245</v>
      </c>
      <c r="Q8" s="2">
        <f t="shared" si="14"/>
        <v>368.82680142720341</v>
      </c>
      <c r="R8" s="2">
        <f t="shared" ref="R8" si="66">O8-O9</f>
        <v>207.11160608790505</v>
      </c>
      <c r="S8" s="2">
        <f t="shared" ref="S8" si="67">P8-P9</f>
        <v>207.11160608790505</v>
      </c>
      <c r="T8" s="2">
        <f t="shared" ref="T8" si="68">Q8-Q9</f>
        <v>202.67273457120206</v>
      </c>
      <c r="U8" s="2">
        <f t="shared" ref="U8" si="69">O8-P9</f>
        <v>207.11160608790505</v>
      </c>
      <c r="V8" s="2">
        <f t="shared" ref="V8" si="70">O8-Q9</f>
        <v>206.7762243913611</v>
      </c>
      <c r="W8" s="2">
        <f t="shared" ref="W8" si="71">P8-O9</f>
        <v>207.11160608790505</v>
      </c>
      <c r="X8" s="2">
        <f t="shared" ref="X8" si="72">P8-Q9</f>
        <v>206.7762243913611</v>
      </c>
      <c r="Y8" s="2">
        <f t="shared" ref="Y8" si="73">Q8-O9</f>
        <v>203.008116267746</v>
      </c>
      <c r="Z8" s="2">
        <f t="shared" ref="Z8" si="74">Q8-P9</f>
        <v>203.008116267746</v>
      </c>
      <c r="AA8" s="2">
        <f t="shared" ref="AA8" si="75">R8*146.2/1000</f>
        <v>30.279716810051717</v>
      </c>
      <c r="AB8" s="2">
        <f t="shared" ref="AB8" si="76">S8*146.2/1000</f>
        <v>30.279716810051717</v>
      </c>
      <c r="AC8" s="2">
        <f t="shared" ref="AC8" si="77">T8*146.2/1000</f>
        <v>29.630753794309737</v>
      </c>
      <c r="AD8" s="2">
        <f t="shared" ref="AD8" si="78">U8*146.2/1000</f>
        <v>30.279716810051717</v>
      </c>
      <c r="AE8" s="2">
        <f t="shared" ref="AE8" si="79">V8*146.2/1000</f>
        <v>30.23068400601699</v>
      </c>
      <c r="AF8" s="2">
        <f t="shared" ref="AF8" si="80">W8*146.2/1000</f>
        <v>30.279716810051717</v>
      </c>
      <c r="AG8" s="2">
        <f t="shared" ref="AG8" si="81">X8*146.2/1000</f>
        <v>30.23068400601699</v>
      </c>
      <c r="AH8" s="2">
        <f t="shared" ref="AH8" si="82">Y8*146.2/1000</f>
        <v>29.679786598344464</v>
      </c>
      <c r="AI8" s="2">
        <f t="shared" ref="AI8" si="83">Z8*146.2/1000</f>
        <v>29.679786598344464</v>
      </c>
    </row>
    <row r="9" spans="1:35" x14ac:dyDescent="0.3">
      <c r="A9" t="s">
        <v>15</v>
      </c>
      <c r="B9">
        <v>205</v>
      </c>
      <c r="C9">
        <v>0.192</v>
      </c>
      <c r="D9">
        <v>0.192</v>
      </c>
      <c r="E9">
        <v>0.191</v>
      </c>
      <c r="F9">
        <f t="shared" si="0"/>
        <v>7.3789822920414128E-3</v>
      </c>
      <c r="G9">
        <f t="shared" si="1"/>
        <v>7.3789822920414128E-3</v>
      </c>
      <c r="H9">
        <f t="shared" si="2"/>
        <v>7.3390094735579815E-3</v>
      </c>
      <c r="I9" s="2">
        <f t="shared" ref="I9" si="84">F9*430/3</f>
        <v>1.0576541285259358</v>
      </c>
      <c r="J9" s="2">
        <f t="shared" ref="J9" si="85">G9*430/3</f>
        <v>1.0576541285259358</v>
      </c>
      <c r="K9" s="2">
        <f t="shared" ref="K9" si="86">H9*430/3</f>
        <v>1.0519246912099773</v>
      </c>
      <c r="L9" s="2">
        <f t="shared" si="9"/>
        <v>2.832735871474064</v>
      </c>
      <c r="M9" s="2">
        <f t="shared" si="10"/>
        <v>2.832735871474064</v>
      </c>
      <c r="N9" s="2">
        <f t="shared" si="11"/>
        <v>2.8384653087900227</v>
      </c>
      <c r="O9" s="2">
        <f t="shared" si="12"/>
        <v>165.8186851594574</v>
      </c>
      <c r="P9" s="2">
        <f t="shared" si="13"/>
        <v>165.8186851594574</v>
      </c>
      <c r="Q9" s="2">
        <f t="shared" si="14"/>
        <v>166.15406685600135</v>
      </c>
      <c r="AA9" s="2"/>
      <c r="AB9" s="2"/>
      <c r="AC9" s="2"/>
      <c r="AD9" s="2"/>
      <c r="AE9" s="2"/>
      <c r="AF9" s="2"/>
      <c r="AG9" s="2"/>
      <c r="AH9" s="2"/>
      <c r="AI9" s="2"/>
    </row>
    <row r="10" spans="1:35" x14ac:dyDescent="0.3">
      <c r="A10" t="s">
        <v>16</v>
      </c>
      <c r="B10">
        <v>80.599999999999994</v>
      </c>
      <c r="C10">
        <v>0.23899999999999999</v>
      </c>
      <c r="D10">
        <v>0.23899999999999999</v>
      </c>
      <c r="E10">
        <v>0.23899999999999999</v>
      </c>
      <c r="F10">
        <f t="shared" si="0"/>
        <v>9.2577047607626823E-3</v>
      </c>
      <c r="G10">
        <f t="shared" si="1"/>
        <v>9.2577047607626823E-3</v>
      </c>
      <c r="H10">
        <f t="shared" si="2"/>
        <v>9.2577047607626823E-3</v>
      </c>
      <c r="I10" s="2">
        <f t="shared" ref="I10" si="87">F10*425/3</f>
        <v>1.3115081744413801</v>
      </c>
      <c r="J10" s="2">
        <f t="shared" ref="J10" si="88">G10*425/3</f>
        <v>1.3115081744413801</v>
      </c>
      <c r="K10" s="2">
        <f t="shared" ref="K10" si="89">H10*425/3</f>
        <v>1.3115081744413801</v>
      </c>
      <c r="L10" s="2">
        <f t="shared" si="9"/>
        <v>2.5788818255586197</v>
      </c>
      <c r="M10" s="2">
        <f t="shared" si="10"/>
        <v>2.5788818255586197</v>
      </c>
      <c r="N10" s="2">
        <f t="shared" si="11"/>
        <v>2.5788818255586197</v>
      </c>
      <c r="O10" s="2">
        <f t="shared" si="12"/>
        <v>383.95262911542733</v>
      </c>
      <c r="P10" s="2">
        <f t="shared" si="13"/>
        <v>383.95262911542733</v>
      </c>
      <c r="Q10" s="2">
        <f t="shared" si="14"/>
        <v>383.95262911542733</v>
      </c>
      <c r="R10" s="2">
        <f t="shared" ref="R10" si="90">O10-O11</f>
        <v>209.61160204924383</v>
      </c>
      <c r="S10" s="2">
        <f t="shared" ref="S10" si="91">P10-P11</f>
        <v>209.95451101578496</v>
      </c>
      <c r="T10" s="2">
        <f t="shared" ref="T10" si="92">Q10-Q11</f>
        <v>209.95451101578496</v>
      </c>
      <c r="U10" s="2">
        <f t="shared" ref="U10" si="93">O10-P11</f>
        <v>209.95451101578496</v>
      </c>
      <c r="V10" s="2">
        <f t="shared" ref="V10" si="94">O10-Q11</f>
        <v>209.95451101578496</v>
      </c>
      <c r="W10" s="2">
        <f t="shared" ref="W10" si="95">P10-O11</f>
        <v>209.61160204924383</v>
      </c>
      <c r="X10" s="2">
        <f t="shared" ref="X10" si="96">P10-Q11</f>
        <v>209.95451101578496</v>
      </c>
      <c r="Y10" s="2">
        <f t="shared" ref="Y10" si="97">Q10-O11</f>
        <v>209.61160204924383</v>
      </c>
      <c r="Z10" s="2">
        <f t="shared" ref="Z10" si="98">Q10-P11</f>
        <v>209.95451101578496</v>
      </c>
      <c r="AA10" s="2">
        <f t="shared" ref="AA10" si="99">R10*146.2/1000</f>
        <v>30.645216219599448</v>
      </c>
      <c r="AB10" s="2">
        <f t="shared" ref="AB10" si="100">S10*146.2/1000</f>
        <v>30.695349510507761</v>
      </c>
      <c r="AC10" s="2">
        <f t="shared" ref="AC10" si="101">T10*146.2/1000</f>
        <v>30.695349510507761</v>
      </c>
      <c r="AD10" s="2">
        <f t="shared" ref="AD10" si="102">U10*146.2/1000</f>
        <v>30.695349510507761</v>
      </c>
      <c r="AE10" s="2">
        <f t="shared" ref="AE10" si="103">V10*146.2/1000</f>
        <v>30.695349510507761</v>
      </c>
      <c r="AF10" s="2">
        <f t="shared" ref="AF10" si="104">W10*146.2/1000</f>
        <v>30.645216219599448</v>
      </c>
      <c r="AG10" s="2">
        <f t="shared" ref="AG10" si="105">X10*146.2/1000</f>
        <v>30.695349510507761</v>
      </c>
      <c r="AH10" s="2">
        <f t="shared" ref="AH10" si="106">Y10*146.2/1000</f>
        <v>30.645216219599448</v>
      </c>
      <c r="AI10" s="2">
        <f t="shared" ref="AI10" si="107">Z10*146.2/1000</f>
        <v>30.695349510507761</v>
      </c>
    </row>
    <row r="11" spans="1:35" x14ac:dyDescent="0.3">
      <c r="A11" t="s">
        <v>17</v>
      </c>
      <c r="B11">
        <v>200.5</v>
      </c>
      <c r="C11">
        <v>0.17799999999999999</v>
      </c>
      <c r="D11">
        <v>0.17899999999999999</v>
      </c>
      <c r="E11">
        <v>0.17899999999999999</v>
      </c>
      <c r="F11">
        <f t="shared" si="0"/>
        <v>6.8193628332733746E-3</v>
      </c>
      <c r="G11">
        <f t="shared" si="1"/>
        <v>6.8593356517568059E-3</v>
      </c>
      <c r="H11">
        <f t="shared" si="2"/>
        <v>6.8593356517568059E-3</v>
      </c>
      <c r="I11" s="2">
        <f t="shared" ref="I11" si="108">F11*430/3</f>
        <v>0.97744200610251708</v>
      </c>
      <c r="J11" s="2">
        <f t="shared" ref="J11" si="109">G11*430/3</f>
        <v>0.98317144341847562</v>
      </c>
      <c r="K11" s="2">
        <f t="shared" ref="K11" si="110">H11*430/3</f>
        <v>0.98317144341847562</v>
      </c>
      <c r="L11" s="2">
        <f t="shared" si="9"/>
        <v>2.9129479938974829</v>
      </c>
      <c r="M11" s="2">
        <f t="shared" si="10"/>
        <v>2.9072185565815243</v>
      </c>
      <c r="N11" s="2">
        <f t="shared" si="11"/>
        <v>2.9072185565815243</v>
      </c>
      <c r="O11" s="2">
        <f t="shared" si="12"/>
        <v>174.3410270661835</v>
      </c>
      <c r="P11" s="2">
        <f t="shared" si="13"/>
        <v>173.99811809964237</v>
      </c>
      <c r="Q11" s="2">
        <f t="shared" si="14"/>
        <v>173.99811809964237</v>
      </c>
      <c r="AA11" s="2"/>
      <c r="AB11" s="2"/>
      <c r="AC11" s="2"/>
      <c r="AD11" s="2"/>
      <c r="AE11" s="2"/>
      <c r="AF11" s="2"/>
      <c r="AG11" s="2"/>
      <c r="AH11" s="2"/>
      <c r="AI11" s="2"/>
    </row>
    <row r="12" spans="1:35" x14ac:dyDescent="0.3">
      <c r="A12" t="s">
        <v>18</v>
      </c>
      <c r="B12">
        <v>80.599999999999994</v>
      </c>
      <c r="C12">
        <v>0.23599999999999999</v>
      </c>
      <c r="D12">
        <v>0.23200000000000001</v>
      </c>
      <c r="E12">
        <v>0.23200000000000001</v>
      </c>
      <c r="F12">
        <f t="shared" si="0"/>
        <v>9.1377863053123884E-3</v>
      </c>
      <c r="G12">
        <f t="shared" si="1"/>
        <v>8.9778950313786632E-3</v>
      </c>
      <c r="H12">
        <f t="shared" si="2"/>
        <v>8.9778950313786632E-3</v>
      </c>
      <c r="I12" s="2">
        <f t="shared" ref="I12" si="111">F12*425/3</f>
        <v>1.2945197265859216</v>
      </c>
      <c r="J12" s="2">
        <f t="shared" ref="J12" si="112">G12*425/3</f>
        <v>1.2718684627786441</v>
      </c>
      <c r="K12" s="2">
        <f t="shared" ref="K12" si="113">H12*425/3</f>
        <v>1.2718684627786441</v>
      </c>
      <c r="L12" s="2">
        <f t="shared" si="9"/>
        <v>2.5958702734140786</v>
      </c>
      <c r="M12" s="2">
        <f t="shared" si="10"/>
        <v>2.6185215372213557</v>
      </c>
      <c r="N12" s="2">
        <f t="shared" si="11"/>
        <v>2.6185215372213557</v>
      </c>
      <c r="O12" s="2">
        <f t="shared" si="12"/>
        <v>386.48192656289018</v>
      </c>
      <c r="P12" s="2">
        <f t="shared" si="13"/>
        <v>389.85432315950709</v>
      </c>
      <c r="Q12" s="2">
        <f t="shared" si="14"/>
        <v>389.85432315950709</v>
      </c>
      <c r="R12" s="2">
        <f t="shared" ref="R12" si="114">O12-O13</f>
        <v>215.31245150483292</v>
      </c>
      <c r="S12" s="2">
        <f t="shared" ref="S12" si="115">P12-P13</f>
        <v>218.342110076567</v>
      </c>
      <c r="T12" s="2">
        <f t="shared" ref="T12" si="116">Q12-Q13</f>
        <v>216.97115797703557</v>
      </c>
      <c r="U12" s="2">
        <f t="shared" ref="U12" si="117">O12-P13</f>
        <v>214.96971347995009</v>
      </c>
      <c r="V12" s="2">
        <f t="shared" ref="V12" si="118">O12-Q13</f>
        <v>213.59876138041867</v>
      </c>
      <c r="W12" s="2">
        <f t="shared" ref="W12" si="119">P12-O13</f>
        <v>218.68484810144983</v>
      </c>
      <c r="X12" s="2">
        <f t="shared" ref="X12" si="120">P12-Q13</f>
        <v>216.97115797703557</v>
      </c>
      <c r="Y12" s="2">
        <f t="shared" ref="Y12" si="121">Q12-O13</f>
        <v>218.68484810144983</v>
      </c>
      <c r="Z12" s="2">
        <f t="shared" ref="Z12" si="122">Q12-P13</f>
        <v>218.342110076567</v>
      </c>
      <c r="AA12" s="2">
        <f t="shared" ref="AA12" si="123">R12*146.2/1000</f>
        <v>31.478680410006572</v>
      </c>
      <c r="AB12" s="2">
        <f t="shared" ref="AB12" si="124">S12*146.2/1000</f>
        <v>31.92161649319409</v>
      </c>
      <c r="AC12" s="2">
        <f t="shared" ref="AC12" si="125">T12*146.2/1000</f>
        <v>31.721183296242597</v>
      </c>
      <c r="AD12" s="2">
        <f t="shared" ref="AD12" si="126">U12*146.2/1000</f>
        <v>31.428572110768698</v>
      </c>
      <c r="AE12" s="2">
        <f t="shared" ref="AE12" si="127">V12*146.2/1000</f>
        <v>31.228138913817205</v>
      </c>
      <c r="AF12" s="2">
        <f t="shared" ref="AF12" si="128">W12*146.2/1000</f>
        <v>31.971724792431964</v>
      </c>
      <c r="AG12" s="2">
        <f t="shared" ref="AG12" si="129">X12*146.2/1000</f>
        <v>31.721183296242597</v>
      </c>
      <c r="AH12" s="2">
        <f t="shared" ref="AH12" si="130">Y12*146.2/1000</f>
        <v>31.971724792431964</v>
      </c>
      <c r="AI12" s="2">
        <f t="shared" ref="AI12" si="131">Z12*146.2/1000</f>
        <v>31.92161649319409</v>
      </c>
    </row>
    <row r="13" spans="1:35" x14ac:dyDescent="0.3">
      <c r="A13" t="s">
        <v>19</v>
      </c>
      <c r="B13">
        <v>200.6</v>
      </c>
      <c r="C13">
        <v>0.187</v>
      </c>
      <c r="D13">
        <v>0.186</v>
      </c>
      <c r="E13">
        <v>0.182</v>
      </c>
      <c r="F13">
        <f t="shared" si="0"/>
        <v>7.1791181996242563E-3</v>
      </c>
      <c r="G13">
        <f t="shared" si="1"/>
        <v>7.139145381140825E-3</v>
      </c>
      <c r="H13">
        <f t="shared" si="2"/>
        <v>6.9792541072070998E-3</v>
      </c>
      <c r="I13" s="2">
        <f t="shared" ref="I13" si="132">F13*430/3</f>
        <v>1.0290069419461434</v>
      </c>
      <c r="J13" s="2">
        <f t="shared" ref="J13" si="133">G13*430/3</f>
        <v>1.023277504630185</v>
      </c>
      <c r="K13" s="2">
        <f t="shared" ref="K13" si="134">H13*430/3</f>
        <v>1.000359755366351</v>
      </c>
      <c r="L13" s="2">
        <f t="shared" si="9"/>
        <v>2.8613830580538568</v>
      </c>
      <c r="M13" s="2">
        <f t="shared" si="10"/>
        <v>2.8671124953698151</v>
      </c>
      <c r="N13" s="2">
        <f t="shared" si="11"/>
        <v>2.8900302446336488</v>
      </c>
      <c r="O13" s="2">
        <f t="shared" si="12"/>
        <v>171.16947505805726</v>
      </c>
      <c r="P13" s="2">
        <f t="shared" si="13"/>
        <v>171.51221308294009</v>
      </c>
      <c r="Q13" s="2">
        <f t="shared" si="14"/>
        <v>172.88316518247152</v>
      </c>
      <c r="AA13" s="2"/>
      <c r="AB13" s="2"/>
      <c r="AC13" s="2"/>
      <c r="AD13" s="2"/>
      <c r="AE13" s="2"/>
      <c r="AF13" s="2"/>
      <c r="AG13" s="2"/>
      <c r="AH13" s="2"/>
      <c r="AI13" s="2"/>
    </row>
    <row r="17" spans="1:10" ht="14.4" customHeight="1" x14ac:dyDescent="0.3">
      <c r="A17" t="s">
        <v>35</v>
      </c>
      <c r="B17" t="s">
        <v>74</v>
      </c>
      <c r="C17" t="s">
        <v>75</v>
      </c>
      <c r="D17" t="s">
        <v>76</v>
      </c>
      <c r="G17" t="s">
        <v>123</v>
      </c>
    </row>
    <row r="18" spans="1:10" x14ac:dyDescent="0.3">
      <c r="A18" t="s">
        <v>45</v>
      </c>
      <c r="B18" s="2">
        <v>32.693530451604587</v>
      </c>
      <c r="C18" s="2">
        <v>52.54</v>
      </c>
      <c r="D18" s="2">
        <f>B18*(100-C18)/100</f>
        <v>15.516349552331537</v>
      </c>
      <c r="E18" s="2">
        <f>AVERAGE(D18:D21)</f>
        <v>15.572369016687079</v>
      </c>
      <c r="F18" s="2">
        <v>85.979921991884495</v>
      </c>
      <c r="G18">
        <f>B18*100/F18</f>
        <v>38.024610506962865</v>
      </c>
      <c r="H18" t="s">
        <v>45</v>
      </c>
      <c r="I18" s="2">
        <v>15.572369016687079</v>
      </c>
    </row>
    <row r="19" spans="1:10" x14ac:dyDescent="0.3">
      <c r="A19" t="s">
        <v>45</v>
      </c>
      <c r="B19" s="2">
        <v>33.07310701618421</v>
      </c>
      <c r="C19" s="2">
        <v>52.54</v>
      </c>
      <c r="D19" s="2">
        <f t="shared" ref="D19:D71" si="135">B19*(100-C19)/100</f>
        <v>15.696496589881026</v>
      </c>
      <c r="E19" s="2"/>
      <c r="F19" s="2">
        <v>85.979921991884495</v>
      </c>
      <c r="G19">
        <f t="shared" ref="G19:G71" si="136">B19*100/F19</f>
        <v>38.466081673470143</v>
      </c>
      <c r="I19" s="2">
        <v>13.263847293968801</v>
      </c>
    </row>
    <row r="20" spans="1:10" x14ac:dyDescent="0.3">
      <c r="A20" t="s">
        <v>45</v>
      </c>
      <c r="B20" s="2">
        <v>32.2832566765275</v>
      </c>
      <c r="C20" s="2">
        <v>52.54</v>
      </c>
      <c r="D20" s="2">
        <f t="shared" si="135"/>
        <v>15.321633618679952</v>
      </c>
      <c r="E20" s="2"/>
      <c r="F20" s="2">
        <v>85.979921991884495</v>
      </c>
      <c r="G20">
        <f t="shared" si="136"/>
        <v>37.547436574290757</v>
      </c>
      <c r="H20" t="s">
        <v>46</v>
      </c>
      <c r="I20" s="2">
        <v>15.462792643185844</v>
      </c>
    </row>
    <row r="21" spans="1:10" x14ac:dyDescent="0.3">
      <c r="A21" t="s">
        <v>45</v>
      </c>
      <c r="B21" s="2">
        <v>33.196368111790555</v>
      </c>
      <c r="C21" s="2">
        <v>52.54</v>
      </c>
      <c r="D21" s="2">
        <f t="shared" si="135"/>
        <v>15.754996305855798</v>
      </c>
      <c r="E21" s="2"/>
      <c r="F21" s="2">
        <v>85.979921991884495</v>
      </c>
      <c r="G21">
        <f t="shared" si="136"/>
        <v>38.609441998474843</v>
      </c>
      <c r="I21" s="2">
        <v>13.240214795887677</v>
      </c>
    </row>
    <row r="22" spans="1:10" x14ac:dyDescent="0.3">
      <c r="A22" t="s">
        <v>45</v>
      </c>
      <c r="B22" s="2">
        <v>33.14608434577196</v>
      </c>
      <c r="C22" s="2">
        <v>52.54</v>
      </c>
      <c r="D22" s="2">
        <f t="shared" si="135"/>
        <v>15.731131630503373</v>
      </c>
      <c r="E22" s="2">
        <f>AVERAGE(D22:D26)</f>
        <v>15.462792643185844</v>
      </c>
      <c r="F22" s="2">
        <v>85.979921991884495</v>
      </c>
      <c r="G22">
        <f t="shared" si="136"/>
        <v>38.550958849323642</v>
      </c>
      <c r="H22" t="s">
        <v>47</v>
      </c>
      <c r="I22" s="2">
        <v>14.76546640559264</v>
      </c>
    </row>
    <row r="23" spans="1:10" x14ac:dyDescent="0.3">
      <c r="A23" t="s">
        <v>45</v>
      </c>
      <c r="B23" s="2">
        <v>32.570269355998235</v>
      </c>
      <c r="C23" s="2">
        <v>52.54</v>
      </c>
      <c r="D23" s="2">
        <f t="shared" si="135"/>
        <v>15.457849836356763</v>
      </c>
      <c r="E23" s="2"/>
      <c r="F23" s="2">
        <v>85.979921991884495</v>
      </c>
      <c r="G23">
        <f t="shared" si="136"/>
        <v>37.881250181958166</v>
      </c>
      <c r="I23" s="2">
        <v>14.644613262223022</v>
      </c>
    </row>
    <row r="24" spans="1:10" x14ac:dyDescent="0.3">
      <c r="A24" t="s">
        <v>45</v>
      </c>
      <c r="B24" s="2">
        <v>33.022823250165601</v>
      </c>
      <c r="C24" s="2">
        <v>52.54</v>
      </c>
      <c r="D24" s="2">
        <f t="shared" si="135"/>
        <v>15.672631914528594</v>
      </c>
      <c r="E24" s="2"/>
      <c r="F24" s="2">
        <v>85.979921991884495</v>
      </c>
      <c r="G24">
        <f t="shared" si="136"/>
        <v>38.407598524318935</v>
      </c>
      <c r="H24" t="s">
        <v>48</v>
      </c>
      <c r="I24" s="2">
        <v>14.004626366094044</v>
      </c>
    </row>
    <row r="25" spans="1:10" x14ac:dyDescent="0.3">
      <c r="A25" t="s">
        <v>45</v>
      </c>
      <c r="B25" s="2">
        <v>31.830702782360131</v>
      </c>
      <c r="C25" s="2">
        <v>52.54</v>
      </c>
      <c r="D25" s="2">
        <f t="shared" si="135"/>
        <v>15.106851540508119</v>
      </c>
      <c r="E25" s="2"/>
      <c r="F25" s="2">
        <v>85.979921991884495</v>
      </c>
      <c r="G25">
        <f t="shared" si="136"/>
        <v>37.021088231929987</v>
      </c>
      <c r="H25" s="2"/>
      <c r="I25" s="2">
        <v>13.959361195746041</v>
      </c>
      <c r="J25" s="2"/>
    </row>
    <row r="26" spans="1:10" x14ac:dyDescent="0.3">
      <c r="A26" t="s">
        <v>45</v>
      </c>
      <c r="B26" s="2">
        <v>32.333540442546102</v>
      </c>
      <c r="C26" s="2">
        <v>52.54</v>
      </c>
      <c r="D26" s="2">
        <f t="shared" si="135"/>
        <v>15.34549829403238</v>
      </c>
      <c r="E26" s="2"/>
      <c r="F26" s="2">
        <v>85.979921991884495</v>
      </c>
      <c r="G26">
        <f t="shared" si="136"/>
        <v>37.605919723441957</v>
      </c>
      <c r="H26" s="2" t="s">
        <v>49</v>
      </c>
      <c r="I26" s="2">
        <v>14.209212176561238</v>
      </c>
      <c r="J26" s="2"/>
    </row>
    <row r="27" spans="1:10" x14ac:dyDescent="0.3">
      <c r="A27" t="s">
        <v>46</v>
      </c>
      <c r="B27" s="2">
        <v>29.208767515894614</v>
      </c>
      <c r="C27" s="2">
        <v>54.61</v>
      </c>
      <c r="D27" s="2">
        <f t="shared" si="135"/>
        <v>13.257859575464565</v>
      </c>
      <c r="E27" s="2">
        <f>AVERAGE(D27:D30)</f>
        <v>13.263847293968801</v>
      </c>
      <c r="F27" s="2">
        <v>85.402922894643595</v>
      </c>
      <c r="G27">
        <f t="shared" si="136"/>
        <v>34.201133317097003</v>
      </c>
      <c r="H27" s="2"/>
      <c r="I27" s="2">
        <v>14.20572966750829</v>
      </c>
      <c r="J27" s="2"/>
    </row>
    <row r="28" spans="1:10" x14ac:dyDescent="0.3">
      <c r="A28" t="s">
        <v>46</v>
      </c>
      <c r="B28" s="2">
        <v>29.432302658562147</v>
      </c>
      <c r="C28" s="2">
        <v>54.61</v>
      </c>
      <c r="D28" s="2">
        <f t="shared" si="135"/>
        <v>13.35932217672136</v>
      </c>
      <c r="E28" s="2"/>
      <c r="F28" s="2">
        <v>85.402922894643595</v>
      </c>
      <c r="G28">
        <f t="shared" si="136"/>
        <v>34.462875111278095</v>
      </c>
      <c r="H28" s="2" t="s">
        <v>50</v>
      </c>
      <c r="I28" s="2">
        <v>14.274845900591909</v>
      </c>
      <c r="J28" s="2"/>
    </row>
    <row r="29" spans="1:10" x14ac:dyDescent="0.3">
      <c r="A29" t="s">
        <v>46</v>
      </c>
      <c r="B29" s="2">
        <v>28.938031797573494</v>
      </c>
      <c r="C29" s="2">
        <v>54.61</v>
      </c>
      <c r="D29" s="2">
        <f t="shared" si="135"/>
        <v>13.134972632918609</v>
      </c>
      <c r="E29" s="2"/>
      <c r="F29" s="2">
        <v>85.402922894643595</v>
      </c>
      <c r="G29">
        <f t="shared" si="136"/>
        <v>33.884123419607768</v>
      </c>
      <c r="H29" s="2"/>
      <c r="I29" s="2">
        <v>14.331410399119751</v>
      </c>
      <c r="J29" s="2"/>
    </row>
    <row r="30" spans="1:10" x14ac:dyDescent="0.3">
      <c r="A30" t="s">
        <v>46</v>
      </c>
      <c r="B30" s="2">
        <v>29.308734943314985</v>
      </c>
      <c r="C30" s="2">
        <v>54.61</v>
      </c>
      <c r="D30" s="2">
        <f t="shared" si="135"/>
        <v>13.30323479077067</v>
      </c>
      <c r="E30" s="2"/>
      <c r="F30" s="2">
        <v>85.402922894643595</v>
      </c>
      <c r="G30">
        <f t="shared" si="136"/>
        <v>34.318187188360511</v>
      </c>
      <c r="H30" s="2"/>
      <c r="I30" s="2"/>
      <c r="J30" s="2"/>
    </row>
    <row r="31" spans="1:10" x14ac:dyDescent="0.3">
      <c r="A31" t="s">
        <v>46</v>
      </c>
      <c r="B31" s="2">
        <v>29.308734943314985</v>
      </c>
      <c r="C31" s="2">
        <v>54.61</v>
      </c>
      <c r="D31" s="2">
        <f t="shared" si="135"/>
        <v>13.30323479077067</v>
      </c>
      <c r="E31" s="2">
        <f>AVERAGE(D31:D35)</f>
        <v>13.240214795887677</v>
      </c>
      <c r="F31" s="2">
        <v>85.402922894643595</v>
      </c>
      <c r="G31">
        <f t="shared" si="136"/>
        <v>34.318187188360511</v>
      </c>
      <c r="H31" s="2"/>
      <c r="I31" s="2"/>
      <c r="J31" s="2"/>
    </row>
    <row r="32" spans="1:10" x14ac:dyDescent="0.3">
      <c r="A32" t="s">
        <v>46</v>
      </c>
      <c r="B32" s="2">
        <v>29.33233523114178</v>
      </c>
      <c r="C32" s="2">
        <v>54.61</v>
      </c>
      <c r="D32" s="2">
        <f t="shared" si="135"/>
        <v>13.313946961415255</v>
      </c>
      <c r="E32" s="2"/>
      <c r="F32" s="2">
        <v>85.402922894643595</v>
      </c>
      <c r="G32">
        <f t="shared" si="136"/>
        <v>34.345821240014587</v>
      </c>
      <c r="H32" s="2"/>
      <c r="I32" s="2"/>
      <c r="J32" s="2"/>
    </row>
    <row r="33" spans="1:10" x14ac:dyDescent="0.3">
      <c r="A33" t="s">
        <v>46</v>
      </c>
      <c r="B33" s="2">
        <v>29.432302658562147</v>
      </c>
      <c r="C33" s="2">
        <v>54.61</v>
      </c>
      <c r="D33" s="2">
        <f t="shared" si="135"/>
        <v>13.35932217672136</v>
      </c>
      <c r="E33" s="2"/>
      <c r="F33" s="2">
        <v>85.402922894643595</v>
      </c>
      <c r="G33">
        <f t="shared" si="136"/>
        <v>34.462875111278095</v>
      </c>
      <c r="H33" s="2"/>
      <c r="I33" s="2"/>
      <c r="J33" s="2"/>
    </row>
    <row r="34" spans="1:10" x14ac:dyDescent="0.3">
      <c r="A34" t="s">
        <v>46</v>
      </c>
      <c r="B34" s="2">
        <v>28.838064370153127</v>
      </c>
      <c r="C34" s="2">
        <v>54.61</v>
      </c>
      <c r="D34" s="2">
        <f t="shared" si="135"/>
        <v>13.089597417612504</v>
      </c>
      <c r="E34" s="2"/>
      <c r="F34" s="2">
        <v>85.402922894643595</v>
      </c>
      <c r="G34">
        <f t="shared" si="136"/>
        <v>33.767069548344267</v>
      </c>
      <c r="H34" s="2"/>
      <c r="I34" s="2"/>
      <c r="J34" s="2"/>
    </row>
    <row r="35" spans="1:10" x14ac:dyDescent="0.3">
      <c r="A35" t="s">
        <v>46</v>
      </c>
      <c r="B35" s="2">
        <v>28.938031797573494</v>
      </c>
      <c r="C35" s="2">
        <v>54.61</v>
      </c>
      <c r="D35" s="2">
        <f t="shared" si="135"/>
        <v>13.134972632918609</v>
      </c>
      <c r="E35" s="2"/>
      <c r="F35" s="2">
        <v>85.402922894643595</v>
      </c>
      <c r="G35">
        <f t="shared" si="136"/>
        <v>33.884123419607768</v>
      </c>
      <c r="H35" s="2"/>
      <c r="I35" s="2"/>
      <c r="J35" s="2"/>
    </row>
    <row r="36" spans="1:10" x14ac:dyDescent="0.3">
      <c r="A36" t="s">
        <v>47</v>
      </c>
      <c r="B36" s="2">
        <v>30.613393968518444</v>
      </c>
      <c r="C36" s="2">
        <v>51.11</v>
      </c>
      <c r="D36" s="2">
        <f t="shared" si="135"/>
        <v>14.966888311208669</v>
      </c>
      <c r="E36" s="2">
        <f>AVERAGE(D36:D39)</f>
        <v>14.76546640559264</v>
      </c>
      <c r="F36" s="2">
        <v>87.668177317806993</v>
      </c>
      <c r="G36">
        <f t="shared" si="136"/>
        <v>34.919619530290277</v>
      </c>
      <c r="H36" s="2"/>
      <c r="I36" s="2"/>
      <c r="J36" s="2"/>
    </row>
    <row r="37" spans="1:10" x14ac:dyDescent="0.3">
      <c r="A37" t="s">
        <v>47</v>
      </c>
      <c r="B37" s="2">
        <v>30.49568254309342</v>
      </c>
      <c r="C37" s="2">
        <v>51.11</v>
      </c>
      <c r="D37" s="2">
        <f t="shared" si="135"/>
        <v>14.909339195318374</v>
      </c>
      <c r="E37" s="2"/>
      <c r="F37" s="2">
        <v>87.668177317806993</v>
      </c>
      <c r="G37">
        <f t="shared" si="136"/>
        <v>34.785350256049178</v>
      </c>
      <c r="H37" s="2"/>
      <c r="I37" s="2"/>
      <c r="J37" s="2"/>
    </row>
    <row r="38" spans="1:10" x14ac:dyDescent="0.3">
      <c r="A38" t="s">
        <v>47</v>
      </c>
      <c r="B38" s="2">
        <v>29.083145437993135</v>
      </c>
      <c r="C38" s="2">
        <v>51.11</v>
      </c>
      <c r="D38" s="2">
        <f t="shared" si="135"/>
        <v>14.218749804634845</v>
      </c>
      <c r="E38" s="2"/>
      <c r="F38" s="2">
        <v>87.668177317806993</v>
      </c>
      <c r="G38">
        <f t="shared" si="136"/>
        <v>33.174118965155927</v>
      </c>
      <c r="H38" s="2"/>
      <c r="I38" s="2"/>
      <c r="J38" s="2"/>
    </row>
    <row r="39" spans="1:10" x14ac:dyDescent="0.3">
      <c r="A39" t="s">
        <v>47</v>
      </c>
      <c r="B39" s="2">
        <v>30.613393968518444</v>
      </c>
      <c r="C39" s="2">
        <v>51.11</v>
      </c>
      <c r="D39" s="2">
        <f t="shared" si="135"/>
        <v>14.966888311208669</v>
      </c>
      <c r="E39" s="2"/>
      <c r="F39" s="2">
        <v>87.668177317806993</v>
      </c>
      <c r="G39">
        <f t="shared" si="136"/>
        <v>34.919619530290277</v>
      </c>
      <c r="H39" s="2"/>
      <c r="I39" s="2"/>
      <c r="J39" s="2"/>
    </row>
    <row r="40" spans="1:10" x14ac:dyDescent="0.3">
      <c r="A40" t="s">
        <v>47</v>
      </c>
      <c r="B40" s="2">
        <v>30.613393968518444</v>
      </c>
      <c r="C40" s="2">
        <v>51.11</v>
      </c>
      <c r="D40" s="2">
        <f t="shared" si="135"/>
        <v>14.966888311208669</v>
      </c>
      <c r="E40" s="2">
        <f>AVERAGE(D40:D44)</f>
        <v>14.644613262223022</v>
      </c>
      <c r="F40" s="2">
        <v>87.668177317806993</v>
      </c>
      <c r="G40">
        <f t="shared" si="136"/>
        <v>34.919619530290277</v>
      </c>
      <c r="H40" s="2"/>
      <c r="I40" s="2"/>
      <c r="J40" s="2"/>
    </row>
    <row r="41" spans="1:10" x14ac:dyDescent="0.3">
      <c r="A41" t="s">
        <v>47</v>
      </c>
      <c r="B41" s="2">
        <v>30.49568254309342</v>
      </c>
      <c r="C41" s="2">
        <v>51.11</v>
      </c>
      <c r="D41" s="2">
        <f t="shared" si="135"/>
        <v>14.909339195318374</v>
      </c>
      <c r="E41" s="2"/>
      <c r="F41" s="2">
        <v>87.668177317806993</v>
      </c>
      <c r="G41">
        <f t="shared" si="136"/>
        <v>34.785350256049178</v>
      </c>
      <c r="H41" s="2"/>
      <c r="I41" s="2"/>
      <c r="J41" s="2"/>
    </row>
    <row r="42" spans="1:10" x14ac:dyDescent="0.3">
      <c r="A42" t="s">
        <v>47</v>
      </c>
      <c r="B42" s="2">
        <v>30.49568254309342</v>
      </c>
      <c r="C42" s="2">
        <v>51.11</v>
      </c>
      <c r="D42" s="2">
        <f t="shared" si="135"/>
        <v>14.909339195318374</v>
      </c>
      <c r="E42" s="2"/>
      <c r="F42" s="2">
        <v>87.668177317806993</v>
      </c>
      <c r="G42">
        <f t="shared" si="136"/>
        <v>34.785350256049178</v>
      </c>
      <c r="H42" s="2"/>
      <c r="I42" s="2"/>
      <c r="J42" s="2"/>
    </row>
    <row r="43" spans="1:10" x14ac:dyDescent="0.3">
      <c r="A43" t="s">
        <v>47</v>
      </c>
      <c r="B43" s="2">
        <v>29.083145437993135</v>
      </c>
      <c r="C43" s="2">
        <v>51.11</v>
      </c>
      <c r="D43" s="2">
        <f t="shared" si="135"/>
        <v>14.218749804634845</v>
      </c>
      <c r="E43" s="2"/>
      <c r="F43" s="2">
        <v>87.668177317806993</v>
      </c>
      <c r="G43">
        <f t="shared" si="136"/>
        <v>33.174118965155927</v>
      </c>
      <c r="H43" s="2"/>
      <c r="I43" s="2"/>
      <c r="J43" s="2"/>
    </row>
    <row r="44" spans="1:10" x14ac:dyDescent="0.3">
      <c r="A44" t="s">
        <v>47</v>
      </c>
      <c r="B44" s="2">
        <v>29.083145437993135</v>
      </c>
      <c r="C44" s="2">
        <v>51.11</v>
      </c>
      <c r="D44" s="2">
        <f t="shared" si="135"/>
        <v>14.218749804634845</v>
      </c>
      <c r="E44" s="2"/>
      <c r="F44" s="2">
        <v>87.668177317806993</v>
      </c>
      <c r="G44">
        <f t="shared" si="136"/>
        <v>33.174118965155927</v>
      </c>
      <c r="H44" s="2"/>
      <c r="I44" s="2"/>
      <c r="J44" s="2"/>
    </row>
    <row r="45" spans="1:10" x14ac:dyDescent="0.3">
      <c r="A45" t="s">
        <v>48</v>
      </c>
      <c r="B45" s="2">
        <v>30.279716810051717</v>
      </c>
      <c r="C45" s="2">
        <v>53.5</v>
      </c>
      <c r="D45" s="2">
        <f t="shared" si="135"/>
        <v>14.080068316674049</v>
      </c>
      <c r="E45" s="2">
        <f>AVERAGE(D45:D48)</f>
        <v>14.004626366094044</v>
      </c>
      <c r="F45" s="2">
        <v>87.511772179697786</v>
      </c>
      <c r="G45">
        <f t="shared" si="136"/>
        <v>34.600735484907062</v>
      </c>
      <c r="H45" s="2"/>
      <c r="I45" s="2"/>
      <c r="J45" s="2"/>
    </row>
    <row r="46" spans="1:10" x14ac:dyDescent="0.3">
      <c r="A46" t="s">
        <v>48</v>
      </c>
      <c r="B46" s="2">
        <v>30.279716810051717</v>
      </c>
      <c r="C46" s="2">
        <v>53.5</v>
      </c>
      <c r="D46" s="2">
        <f t="shared" si="135"/>
        <v>14.080068316674049</v>
      </c>
      <c r="E46" s="2"/>
      <c r="F46" s="2">
        <v>87.511772179697786</v>
      </c>
      <c r="G46">
        <f t="shared" si="136"/>
        <v>34.600735484907062</v>
      </c>
      <c r="H46" s="2"/>
      <c r="I46" s="2"/>
      <c r="J46" s="2"/>
    </row>
    <row r="47" spans="1:10" x14ac:dyDescent="0.3">
      <c r="A47" t="s">
        <v>48</v>
      </c>
      <c r="B47" s="2">
        <v>29.630753794309737</v>
      </c>
      <c r="C47" s="2">
        <v>53.5</v>
      </c>
      <c r="D47" s="2">
        <f t="shared" si="135"/>
        <v>13.778300514354028</v>
      </c>
      <c r="E47" s="2"/>
      <c r="F47" s="2">
        <v>87.511772179697786</v>
      </c>
      <c r="G47">
        <f t="shared" si="136"/>
        <v>33.859163237450581</v>
      </c>
      <c r="H47" s="2"/>
      <c r="I47" s="2"/>
      <c r="J47" s="2"/>
    </row>
    <row r="48" spans="1:10" x14ac:dyDescent="0.3">
      <c r="A48" t="s">
        <v>48</v>
      </c>
      <c r="B48" s="2">
        <v>30.279716810051717</v>
      </c>
      <c r="C48" s="2">
        <v>53.5</v>
      </c>
      <c r="D48" s="2">
        <f t="shared" si="135"/>
        <v>14.080068316674049</v>
      </c>
      <c r="E48" s="2"/>
      <c r="F48" s="2">
        <v>87.511772179697786</v>
      </c>
      <c r="G48">
        <f t="shared" si="136"/>
        <v>34.600735484907062</v>
      </c>
      <c r="H48" s="2"/>
      <c r="I48" s="2"/>
      <c r="J48" s="2"/>
    </row>
    <row r="49" spans="1:10" x14ac:dyDescent="0.3">
      <c r="A49" t="s">
        <v>48</v>
      </c>
      <c r="B49" s="2">
        <v>30.23068400601699</v>
      </c>
      <c r="C49" s="2">
        <v>53.5</v>
      </c>
      <c r="D49" s="2">
        <f t="shared" si="135"/>
        <v>14.057268062797901</v>
      </c>
      <c r="E49" s="2">
        <f>AVERAGE(D49:D53)</f>
        <v>13.959361195746041</v>
      </c>
      <c r="F49" s="2">
        <v>87.511772179697786</v>
      </c>
      <c r="G49">
        <f t="shared" si="136"/>
        <v>34.544705532806397</v>
      </c>
      <c r="H49" s="2"/>
      <c r="I49" s="2"/>
      <c r="J49" s="2"/>
    </row>
    <row r="50" spans="1:10" x14ac:dyDescent="0.3">
      <c r="A50" t="s">
        <v>48</v>
      </c>
      <c r="B50" s="2">
        <v>30.279716810051717</v>
      </c>
      <c r="C50" s="2">
        <v>53.5</v>
      </c>
      <c r="D50" s="2">
        <f t="shared" si="135"/>
        <v>14.080068316674049</v>
      </c>
      <c r="E50" s="2"/>
      <c r="F50" s="2">
        <v>87.511772179697786</v>
      </c>
      <c r="G50">
        <f t="shared" si="136"/>
        <v>34.600735484907062</v>
      </c>
      <c r="H50" s="2"/>
      <c r="I50" s="2"/>
      <c r="J50" s="2"/>
    </row>
    <row r="51" spans="1:10" x14ac:dyDescent="0.3">
      <c r="A51" t="s">
        <v>48</v>
      </c>
      <c r="B51" s="2">
        <v>30.23068400601699</v>
      </c>
      <c r="C51" s="2">
        <v>53.5</v>
      </c>
      <c r="D51" s="2">
        <f t="shared" si="135"/>
        <v>14.057268062797901</v>
      </c>
      <c r="E51" s="2"/>
      <c r="F51" s="2">
        <v>87.511772179697786</v>
      </c>
      <c r="G51">
        <f t="shared" si="136"/>
        <v>34.544705532806397</v>
      </c>
      <c r="H51" s="2"/>
      <c r="I51" s="2"/>
      <c r="J51" s="2"/>
    </row>
    <row r="52" spans="1:10" x14ac:dyDescent="0.3">
      <c r="A52" t="s">
        <v>48</v>
      </c>
      <c r="B52" s="2">
        <v>29.679786598344464</v>
      </c>
      <c r="C52" s="2">
        <v>53.5</v>
      </c>
      <c r="D52" s="2">
        <f t="shared" si="135"/>
        <v>13.801100768230176</v>
      </c>
      <c r="E52" s="2"/>
      <c r="F52" s="2">
        <v>87.511772179697786</v>
      </c>
      <c r="G52">
        <f t="shared" si="136"/>
        <v>33.915193189551246</v>
      </c>
      <c r="H52" s="2"/>
      <c r="I52" s="2"/>
      <c r="J52" s="2"/>
    </row>
    <row r="53" spans="1:10" x14ac:dyDescent="0.3">
      <c r="A53" t="s">
        <v>48</v>
      </c>
      <c r="B53" s="2">
        <v>29.679786598344464</v>
      </c>
      <c r="C53" s="2">
        <v>53.5</v>
      </c>
      <c r="D53" s="2">
        <f t="shared" si="135"/>
        <v>13.801100768230176</v>
      </c>
      <c r="E53" s="2"/>
      <c r="F53" s="2">
        <v>87.511772179697786</v>
      </c>
      <c r="G53">
        <f t="shared" si="136"/>
        <v>33.915193189551246</v>
      </c>
      <c r="H53" s="2"/>
      <c r="I53" s="2"/>
      <c r="J53" s="2"/>
    </row>
    <row r="54" spans="1:10" x14ac:dyDescent="0.3">
      <c r="A54" t="s">
        <v>49</v>
      </c>
      <c r="B54" s="2">
        <v>30.645216219599448</v>
      </c>
      <c r="C54" s="2">
        <v>53.69</v>
      </c>
      <c r="D54" s="2">
        <f t="shared" si="135"/>
        <v>14.191799631296506</v>
      </c>
      <c r="E54" s="2">
        <f>AVERAGE(D54:D57)</f>
        <v>14.209212176561238</v>
      </c>
      <c r="F54" s="2">
        <v>86.456165045047115</v>
      </c>
      <c r="G54">
        <f t="shared" si="136"/>
        <v>35.445958311512044</v>
      </c>
      <c r="H54" s="2"/>
      <c r="I54" s="2"/>
      <c r="J54" s="2"/>
    </row>
    <row r="55" spans="1:10" x14ac:dyDescent="0.3">
      <c r="A55" t="s">
        <v>49</v>
      </c>
      <c r="B55" s="2">
        <v>30.695349510507761</v>
      </c>
      <c r="C55" s="2">
        <v>53.69</v>
      </c>
      <c r="D55" s="2">
        <f t="shared" si="135"/>
        <v>14.215016358316145</v>
      </c>
      <c r="E55" s="2"/>
      <c r="F55" s="2">
        <v>86.456165045047115</v>
      </c>
      <c r="G55">
        <f t="shared" si="136"/>
        <v>35.503945258865301</v>
      </c>
      <c r="H55" s="2"/>
      <c r="I55" s="2"/>
      <c r="J55" s="2"/>
    </row>
    <row r="56" spans="1:10" x14ac:dyDescent="0.3">
      <c r="A56" t="s">
        <v>49</v>
      </c>
      <c r="B56" s="2">
        <v>30.695349510507761</v>
      </c>
      <c r="C56" s="2">
        <v>53.69</v>
      </c>
      <c r="D56" s="2">
        <f t="shared" si="135"/>
        <v>14.215016358316145</v>
      </c>
      <c r="E56" s="2"/>
      <c r="F56" s="2">
        <v>86.456165045047115</v>
      </c>
      <c r="G56">
        <f t="shared" si="136"/>
        <v>35.503945258865301</v>
      </c>
      <c r="H56" s="2"/>
      <c r="I56" s="2"/>
      <c r="J56" s="2"/>
    </row>
    <row r="57" spans="1:10" x14ac:dyDescent="0.3">
      <c r="A57" t="s">
        <v>49</v>
      </c>
      <c r="B57" s="2">
        <v>30.695349510507761</v>
      </c>
      <c r="C57" s="2">
        <v>53.69</v>
      </c>
      <c r="D57" s="2">
        <f t="shared" si="135"/>
        <v>14.215016358316145</v>
      </c>
      <c r="E57" s="2"/>
      <c r="F57" s="2">
        <v>86.456165045047115</v>
      </c>
      <c r="G57">
        <f t="shared" si="136"/>
        <v>35.503945258865301</v>
      </c>
      <c r="H57" s="2"/>
      <c r="I57" s="2"/>
      <c r="J57" s="2"/>
    </row>
    <row r="58" spans="1:10" x14ac:dyDescent="0.3">
      <c r="A58" t="s">
        <v>49</v>
      </c>
      <c r="B58" s="2">
        <v>30.695349510507761</v>
      </c>
      <c r="C58" s="2">
        <v>53.69</v>
      </c>
      <c r="D58" s="2">
        <f t="shared" si="135"/>
        <v>14.215016358316145</v>
      </c>
      <c r="E58" s="2">
        <f>AVERAGE(D58:D62)</f>
        <v>14.20572966750829</v>
      </c>
      <c r="F58" s="2">
        <v>86.456165045047115</v>
      </c>
      <c r="G58">
        <f t="shared" si="136"/>
        <v>35.503945258865301</v>
      </c>
      <c r="H58" s="2"/>
      <c r="I58" s="2"/>
      <c r="J58" s="2"/>
    </row>
    <row r="59" spans="1:10" x14ac:dyDescent="0.3">
      <c r="A59" t="s">
        <v>49</v>
      </c>
      <c r="B59" s="2">
        <v>30.645216219599448</v>
      </c>
      <c r="C59" s="2">
        <v>53.69</v>
      </c>
      <c r="D59" s="2">
        <f t="shared" si="135"/>
        <v>14.191799631296506</v>
      </c>
      <c r="E59" s="2"/>
      <c r="F59" s="2">
        <v>86.456165045047115</v>
      </c>
      <c r="G59">
        <f t="shared" si="136"/>
        <v>35.445958311512044</v>
      </c>
      <c r="H59" s="2"/>
      <c r="I59" s="2"/>
      <c r="J59" s="2"/>
    </row>
    <row r="60" spans="1:10" x14ac:dyDescent="0.3">
      <c r="A60" t="s">
        <v>49</v>
      </c>
      <c r="B60" s="2">
        <v>30.695349510507761</v>
      </c>
      <c r="C60" s="2">
        <v>53.69</v>
      </c>
      <c r="D60" s="2">
        <f t="shared" si="135"/>
        <v>14.215016358316145</v>
      </c>
      <c r="E60" s="2"/>
      <c r="F60" s="2">
        <v>86.456165045047115</v>
      </c>
      <c r="G60">
        <f t="shared" si="136"/>
        <v>35.503945258865301</v>
      </c>
      <c r="H60" s="2"/>
      <c r="I60" s="2"/>
      <c r="J60" s="2"/>
    </row>
    <row r="61" spans="1:10" x14ac:dyDescent="0.3">
      <c r="A61" t="s">
        <v>49</v>
      </c>
      <c r="B61" s="2">
        <v>30.645216219599448</v>
      </c>
      <c r="C61" s="2">
        <v>53.69</v>
      </c>
      <c r="D61" s="2">
        <f t="shared" si="135"/>
        <v>14.191799631296506</v>
      </c>
      <c r="E61" s="2"/>
      <c r="F61" s="2">
        <v>86.456165045047115</v>
      </c>
      <c r="G61">
        <f t="shared" si="136"/>
        <v>35.445958311512044</v>
      </c>
      <c r="H61" s="2"/>
      <c r="I61" s="2"/>
      <c r="J61" s="2"/>
    </row>
    <row r="62" spans="1:10" x14ac:dyDescent="0.3">
      <c r="A62" t="s">
        <v>49</v>
      </c>
      <c r="B62" s="2">
        <v>30.695349510507761</v>
      </c>
      <c r="C62" s="2">
        <v>53.69</v>
      </c>
      <c r="D62" s="2">
        <f t="shared" si="135"/>
        <v>14.215016358316145</v>
      </c>
      <c r="E62" s="2"/>
      <c r="F62" s="2">
        <v>86.456165045047115</v>
      </c>
      <c r="G62">
        <f t="shared" si="136"/>
        <v>35.503945258865301</v>
      </c>
      <c r="H62" s="2"/>
      <c r="I62" s="2"/>
      <c r="J62" s="2"/>
    </row>
    <row r="63" spans="1:10" x14ac:dyDescent="0.3">
      <c r="A63" t="s">
        <v>50</v>
      </c>
      <c r="B63" s="2">
        <v>31.478680410006572</v>
      </c>
      <c r="C63" s="2">
        <v>54.88</v>
      </c>
      <c r="D63" s="2">
        <f t="shared" si="135"/>
        <v>14.203180600994965</v>
      </c>
      <c r="E63" s="2">
        <f>AVERAGE(D63:D66)</f>
        <v>14.274845900591909</v>
      </c>
      <c r="F63" s="2">
        <v>86.846329486525235</v>
      </c>
      <c r="G63">
        <f t="shared" si="136"/>
        <v>36.246414323003357</v>
      </c>
    </row>
    <row r="64" spans="1:10" x14ac:dyDescent="0.3">
      <c r="A64" t="s">
        <v>50</v>
      </c>
      <c r="B64" s="2">
        <v>31.92161649319409</v>
      </c>
      <c r="C64" s="2">
        <v>54.88</v>
      </c>
      <c r="D64" s="2">
        <f t="shared" si="135"/>
        <v>14.403033361729172</v>
      </c>
      <c r="E64" s="2"/>
      <c r="F64" s="2">
        <v>86.846329486525235</v>
      </c>
      <c r="G64">
        <f t="shared" si="136"/>
        <v>36.756437125125636</v>
      </c>
    </row>
    <row r="65" spans="1:7" x14ac:dyDescent="0.3">
      <c r="A65" t="s">
        <v>50</v>
      </c>
      <c r="B65" s="2">
        <v>31.721183296242597</v>
      </c>
      <c r="C65" s="2">
        <v>54.88</v>
      </c>
      <c r="D65" s="2">
        <f t="shared" si="135"/>
        <v>14.31259790326466</v>
      </c>
      <c r="E65" s="2"/>
      <c r="F65" s="2">
        <v>86.846329486525235</v>
      </c>
      <c r="G65">
        <f t="shared" si="136"/>
        <v>36.525646488219564</v>
      </c>
    </row>
    <row r="66" spans="1:7" x14ac:dyDescent="0.3">
      <c r="A66" t="s">
        <v>50</v>
      </c>
      <c r="B66" s="2">
        <v>31.428572110768698</v>
      </c>
      <c r="C66" s="2">
        <v>54.88</v>
      </c>
      <c r="D66" s="2">
        <f t="shared" si="135"/>
        <v>14.180571736378836</v>
      </c>
      <c r="E66" s="2"/>
      <c r="F66" s="2">
        <v>86.846329486525235</v>
      </c>
      <c r="G66">
        <f t="shared" si="136"/>
        <v>36.188716663776844</v>
      </c>
    </row>
    <row r="67" spans="1:7" x14ac:dyDescent="0.3">
      <c r="A67" t="s">
        <v>50</v>
      </c>
      <c r="B67" s="2">
        <v>31.228138913817205</v>
      </c>
      <c r="C67" s="2">
        <v>54.88</v>
      </c>
      <c r="D67" s="2">
        <f t="shared" si="135"/>
        <v>14.09013627791432</v>
      </c>
      <c r="E67" s="2">
        <f>AVERAGE(D67:D71)</f>
        <v>14.331410399119751</v>
      </c>
      <c r="F67" s="2">
        <v>86.846329486525235</v>
      </c>
      <c r="G67">
        <f t="shared" si="136"/>
        <v>35.957926026870773</v>
      </c>
    </row>
    <row r="68" spans="1:7" x14ac:dyDescent="0.3">
      <c r="A68" t="s">
        <v>50</v>
      </c>
      <c r="B68" s="2">
        <v>31.971724792431964</v>
      </c>
      <c r="C68" s="2">
        <v>54.88</v>
      </c>
      <c r="D68" s="2">
        <f t="shared" si="135"/>
        <v>14.425642226345301</v>
      </c>
      <c r="E68" s="2"/>
      <c r="F68" s="2">
        <v>86.846329486525235</v>
      </c>
      <c r="G68">
        <f t="shared" si="136"/>
        <v>36.814134784352149</v>
      </c>
    </row>
    <row r="69" spans="1:7" x14ac:dyDescent="0.3">
      <c r="A69" t="s">
        <v>50</v>
      </c>
      <c r="B69" s="2">
        <v>31.721183296242597</v>
      </c>
      <c r="C69" s="2">
        <v>54.88</v>
      </c>
      <c r="D69" s="2">
        <f t="shared" si="135"/>
        <v>14.31259790326466</v>
      </c>
      <c r="E69" s="2"/>
      <c r="F69" s="2">
        <v>86.846329486525235</v>
      </c>
      <c r="G69">
        <f t="shared" si="136"/>
        <v>36.525646488219564</v>
      </c>
    </row>
    <row r="70" spans="1:7" x14ac:dyDescent="0.3">
      <c r="A70" t="s">
        <v>50</v>
      </c>
      <c r="B70" s="2">
        <v>31.971724792431964</v>
      </c>
      <c r="C70" s="2">
        <v>54.88</v>
      </c>
      <c r="D70" s="2">
        <f t="shared" si="135"/>
        <v>14.425642226345301</v>
      </c>
      <c r="E70" s="2"/>
      <c r="F70" s="2">
        <v>86.846329486525235</v>
      </c>
      <c r="G70">
        <f t="shared" si="136"/>
        <v>36.814134784352149</v>
      </c>
    </row>
    <row r="71" spans="1:7" x14ac:dyDescent="0.3">
      <c r="A71" t="s">
        <v>50</v>
      </c>
      <c r="B71" s="2">
        <v>31.92161649319409</v>
      </c>
      <c r="C71" s="2">
        <v>54.88</v>
      </c>
      <c r="D71" s="2">
        <f t="shared" si="135"/>
        <v>14.403033361729172</v>
      </c>
      <c r="E71" s="2"/>
      <c r="F71" s="2">
        <v>86.846329486525235</v>
      </c>
      <c r="G71">
        <f t="shared" si="136"/>
        <v>36.756437125125636</v>
      </c>
    </row>
  </sheetData>
  <mergeCells count="6">
    <mergeCell ref="AA1:AI1"/>
    <mergeCell ref="F1:H1"/>
    <mergeCell ref="I1:K1"/>
    <mergeCell ref="L1:N1"/>
    <mergeCell ref="O1:Q1"/>
    <mergeCell ref="R1:Z1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E3B56-A4F0-4D88-B045-301FC96950A5}">
  <dimension ref="A1:M7"/>
  <sheetViews>
    <sheetView workbookViewId="0">
      <selection activeCell="J2" sqref="J2:J7"/>
    </sheetView>
  </sheetViews>
  <sheetFormatPr defaultRowHeight="14.4" x14ac:dyDescent="0.3"/>
  <cols>
    <col min="11" max="11" width="4.33203125" customWidth="1"/>
  </cols>
  <sheetData>
    <row r="1" spans="1:13" x14ac:dyDescent="0.3">
      <c r="A1" t="s">
        <v>76</v>
      </c>
      <c r="B1" t="s">
        <v>77</v>
      </c>
      <c r="C1" t="s">
        <v>78</v>
      </c>
      <c r="D1" t="s">
        <v>79</v>
      </c>
      <c r="E1" t="s">
        <v>80</v>
      </c>
      <c r="J1" t="s">
        <v>76</v>
      </c>
      <c r="M1" t="s">
        <v>81</v>
      </c>
    </row>
    <row r="2" spans="1:13" x14ac:dyDescent="0.3">
      <c r="A2" s="2" t="s">
        <v>50</v>
      </c>
      <c r="B2" s="2">
        <v>14.30556</v>
      </c>
      <c r="C2" s="2">
        <v>0.1236033</v>
      </c>
      <c r="D2" s="2">
        <v>9</v>
      </c>
      <c r="E2" s="2">
        <v>14.09</v>
      </c>
      <c r="F2" s="2">
        <v>14.43</v>
      </c>
      <c r="I2" t="s">
        <v>45</v>
      </c>
      <c r="J2" s="2">
        <v>15.512219999999999</v>
      </c>
      <c r="K2" t="s">
        <v>86</v>
      </c>
      <c r="L2" s="2">
        <v>0.22134690000000001</v>
      </c>
    </row>
    <row r="3" spans="1:13" x14ac:dyDescent="0.3">
      <c r="A3" s="2" t="s">
        <v>49</v>
      </c>
      <c r="B3" s="2">
        <v>14.21</v>
      </c>
      <c r="C3" s="2">
        <v>1.4999999999999999E-2</v>
      </c>
      <c r="D3" s="2">
        <v>9</v>
      </c>
      <c r="E3" s="2">
        <v>14.19</v>
      </c>
      <c r="F3" s="2">
        <v>14.22</v>
      </c>
      <c r="I3" t="s">
        <v>46</v>
      </c>
      <c r="J3" s="2">
        <v>13.248889999999999</v>
      </c>
      <c r="K3" t="s">
        <v>87</v>
      </c>
      <c r="L3" s="2">
        <v>0.1044563</v>
      </c>
    </row>
    <row r="4" spans="1:13" x14ac:dyDescent="0.3">
      <c r="A4" s="2" t="s">
        <v>48</v>
      </c>
      <c r="B4" s="2">
        <v>13.98</v>
      </c>
      <c r="C4" s="2">
        <v>0.1403567</v>
      </c>
      <c r="D4" s="2">
        <v>9</v>
      </c>
      <c r="E4" s="2">
        <v>13.78</v>
      </c>
      <c r="F4" s="2">
        <v>14.08</v>
      </c>
      <c r="I4" t="s">
        <v>47</v>
      </c>
      <c r="J4" s="2">
        <v>14.7</v>
      </c>
      <c r="K4" t="s">
        <v>88</v>
      </c>
      <c r="L4" s="2">
        <v>0.36093629999999999</v>
      </c>
    </row>
    <row r="5" spans="1:13" x14ac:dyDescent="0.3">
      <c r="A5" s="2" t="s">
        <v>45</v>
      </c>
      <c r="B5" s="2">
        <v>15.512219999999999</v>
      </c>
      <c r="C5" s="2">
        <v>0.22134690000000001</v>
      </c>
      <c r="D5" s="2">
        <v>9</v>
      </c>
      <c r="E5" s="2">
        <v>15.11</v>
      </c>
      <c r="F5" s="2">
        <v>15.75</v>
      </c>
      <c r="I5" t="s">
        <v>48</v>
      </c>
      <c r="J5" s="2">
        <v>13.98</v>
      </c>
      <c r="K5" t="s">
        <v>89</v>
      </c>
      <c r="L5" s="2">
        <v>0.1403567</v>
      </c>
    </row>
    <row r="6" spans="1:13" x14ac:dyDescent="0.3">
      <c r="A6" s="2" t="s">
        <v>46</v>
      </c>
      <c r="B6" s="2">
        <v>13.248889999999999</v>
      </c>
      <c r="C6" s="2">
        <v>0.1044563</v>
      </c>
      <c r="D6" s="2">
        <v>9</v>
      </c>
      <c r="E6" s="2">
        <v>13.09</v>
      </c>
      <c r="F6" s="2">
        <v>13.36</v>
      </c>
      <c r="I6" t="s">
        <v>49</v>
      </c>
      <c r="J6" s="2">
        <v>14.21</v>
      </c>
      <c r="K6" t="s">
        <v>90</v>
      </c>
      <c r="L6" s="2">
        <v>1.4999999999999999E-2</v>
      </c>
    </row>
    <row r="7" spans="1:13" x14ac:dyDescent="0.3">
      <c r="A7" s="2" t="s">
        <v>47</v>
      </c>
      <c r="B7" s="2">
        <v>14.7</v>
      </c>
      <c r="C7" s="2">
        <v>0.36093629999999999</v>
      </c>
      <c r="D7" s="2">
        <v>9</v>
      </c>
      <c r="E7" s="2">
        <v>14.22</v>
      </c>
      <c r="F7" s="2">
        <v>14.97</v>
      </c>
      <c r="I7" t="s">
        <v>50</v>
      </c>
      <c r="J7" s="2">
        <v>14.30556</v>
      </c>
      <c r="K7" t="s">
        <v>90</v>
      </c>
      <c r="L7" s="2">
        <v>0.1236033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1D6AD-6E14-40EE-9146-804A9BEC653C}">
  <dimension ref="A1:Y40"/>
  <sheetViews>
    <sheetView topLeftCell="A15" workbookViewId="0">
      <selection activeCell="F16" activeCellId="1" sqref="A16:A40 F16:F40"/>
    </sheetView>
  </sheetViews>
  <sheetFormatPr defaultRowHeight="14.4" x14ac:dyDescent="0.3"/>
  <cols>
    <col min="16" max="16" width="8.88671875" customWidth="1"/>
  </cols>
  <sheetData>
    <row r="1" spans="1:23" x14ac:dyDescent="0.3">
      <c r="A1" t="s">
        <v>2</v>
      </c>
      <c r="B1" t="s">
        <v>10</v>
      </c>
      <c r="C1" t="s">
        <v>6</v>
      </c>
      <c r="D1" t="s">
        <v>7</v>
      </c>
      <c r="E1" t="s">
        <v>23</v>
      </c>
      <c r="G1" t="s">
        <v>24</v>
      </c>
      <c r="I1" t="s">
        <v>25</v>
      </c>
      <c r="O1" s="8" t="s">
        <v>28</v>
      </c>
      <c r="P1" s="8"/>
      <c r="Q1" s="8"/>
      <c r="R1" s="8"/>
      <c r="S1" s="8" t="s">
        <v>30</v>
      </c>
      <c r="T1" s="8"/>
      <c r="U1" s="8"/>
      <c r="V1" s="8"/>
    </row>
    <row r="2" spans="1:23" x14ac:dyDescent="0.3">
      <c r="A2" t="s">
        <v>3</v>
      </c>
      <c r="B2">
        <v>80.3</v>
      </c>
      <c r="C2">
        <v>0.24299999999999999</v>
      </c>
      <c r="D2">
        <v>0.23799999999999999</v>
      </c>
      <c r="E2">
        <f t="shared" ref="E2:E13" si="0">(C2-Intercept.A.K)/Slope.A.K</f>
        <v>9.7660511535819627E-3</v>
      </c>
      <c r="F2">
        <f t="shared" ref="F2:F13" si="1">(D2-Intercept.A.K)/Slope.A.K</f>
        <v>9.5640227887995484E-3</v>
      </c>
      <c r="G2">
        <f>425*E2/3</f>
        <v>1.3835239134241115</v>
      </c>
      <c r="H2">
        <f>425*F2/3</f>
        <v>1.3549032284132692</v>
      </c>
      <c r="I2">
        <f>3.90391916-G2</f>
        <v>2.5203952465758883</v>
      </c>
      <c r="J2">
        <f>3.90391916-H2</f>
        <v>2.5490159315867311</v>
      </c>
      <c r="K2">
        <f>I2*1000/B2</f>
        <v>31.387238438055896</v>
      </c>
      <c r="L2">
        <f>J2*1000/B2</f>
        <v>31.743660418265648</v>
      </c>
      <c r="M2" s="3">
        <f>K2*12</f>
        <v>376.64686125667072</v>
      </c>
      <c r="N2" s="3">
        <f>L2*12</f>
        <v>380.92392501918778</v>
      </c>
      <c r="O2" s="3">
        <f>M2-M3</f>
        <v>213.55659886659356</v>
      </c>
      <c r="P2" s="3">
        <f>N2-N3</f>
        <v>219.54543005485323</v>
      </c>
      <c r="Q2" s="3">
        <f>M2-N3</f>
        <v>215.26836629233617</v>
      </c>
      <c r="R2" s="3">
        <f>N2-M3</f>
        <v>217.83366262911062</v>
      </c>
      <c r="S2" s="2">
        <f>O2*146.2/1000</f>
        <v>31.221974754295978</v>
      </c>
      <c r="T2" s="2">
        <f t="shared" ref="T2:V2" si="2">P2*146.2/1000</f>
        <v>32.097541874019541</v>
      </c>
      <c r="U2" s="2">
        <f t="shared" si="2"/>
        <v>31.472235151939547</v>
      </c>
      <c r="V2" s="2">
        <f t="shared" si="2"/>
        <v>31.847281476375972</v>
      </c>
    </row>
    <row r="3" spans="1:23" x14ac:dyDescent="0.3">
      <c r="A3" t="s">
        <v>4</v>
      </c>
      <c r="B3">
        <v>203</v>
      </c>
      <c r="C3">
        <v>0.19900000000000001</v>
      </c>
      <c r="D3">
        <v>0.20399999999999999</v>
      </c>
      <c r="E3">
        <f t="shared" si="0"/>
        <v>7.988201543496708E-3</v>
      </c>
      <c r="F3">
        <f t="shared" si="1"/>
        <v>8.1902299082791223E-3</v>
      </c>
      <c r="G3">
        <f>430*E3/3</f>
        <v>1.1449755545678615</v>
      </c>
      <c r="H3">
        <f>430*F3/3</f>
        <v>1.1739329535200076</v>
      </c>
      <c r="I3">
        <f t="shared" ref="I3:I13" si="3">3.90391916-G3</f>
        <v>2.7589436054321386</v>
      </c>
      <c r="J3">
        <f t="shared" ref="J3:J13" si="4">3.90391916-H3</f>
        <v>2.7299862064799925</v>
      </c>
      <c r="K3">
        <f>I3*1000/B3</f>
        <v>13.590855199173097</v>
      </c>
      <c r="L3">
        <f>J3*1000/B3</f>
        <v>13.448207913694546</v>
      </c>
      <c r="M3" s="3">
        <f t="shared" ref="M3:M13" si="5">K3*12</f>
        <v>163.09026239007716</v>
      </c>
      <c r="N3" s="3">
        <f t="shared" ref="N3:N13" si="6">L3*12</f>
        <v>161.37849496433455</v>
      </c>
      <c r="P3" s="4"/>
      <c r="S3" s="2"/>
      <c r="T3" s="2"/>
      <c r="U3" s="2"/>
      <c r="V3" s="2"/>
    </row>
    <row r="4" spans="1:23" x14ac:dyDescent="0.3">
      <c r="A4" t="s">
        <v>5</v>
      </c>
      <c r="B4">
        <v>81.7</v>
      </c>
      <c r="C4">
        <v>0.27800000000000002</v>
      </c>
      <c r="D4">
        <v>0.28599999999999998</v>
      </c>
      <c r="E4">
        <f t="shared" si="0"/>
        <v>1.1180249707058871E-2</v>
      </c>
      <c r="F4">
        <f t="shared" si="1"/>
        <v>1.1503495090710735E-2</v>
      </c>
      <c r="G4">
        <f t="shared" ref="G4" si="7">425*E4/3</f>
        <v>1.5838687085000067</v>
      </c>
      <c r="H4">
        <f t="shared" ref="H4" si="8">425*F4/3</f>
        <v>1.6296618045173543</v>
      </c>
      <c r="I4">
        <f t="shared" si="3"/>
        <v>2.3200504514999931</v>
      </c>
      <c r="J4">
        <f t="shared" si="4"/>
        <v>2.2742573554826455</v>
      </c>
      <c r="K4">
        <f t="shared" ref="K4:K13" si="9">I4*1000/B4</f>
        <v>28.397190348837121</v>
      </c>
      <c r="L4">
        <f t="shared" ref="L4:L13" si="10">J4*1000/B4</f>
        <v>27.836687337608879</v>
      </c>
      <c r="M4" s="3">
        <f t="shared" si="5"/>
        <v>340.76628418604548</v>
      </c>
      <c r="N4" s="3">
        <f t="shared" si="6"/>
        <v>334.04024805130655</v>
      </c>
      <c r="O4" s="3">
        <f t="shared" ref="O4" si="11">M4-M5</f>
        <v>182.45179064115061</v>
      </c>
      <c r="P4" s="3">
        <f t="shared" ref="P4" si="12">N4-N5</f>
        <v>172.28697382926418</v>
      </c>
      <c r="Q4" s="3">
        <f t="shared" ref="Q4" si="13">M4-N5</f>
        <v>179.01300996400312</v>
      </c>
      <c r="R4" s="3">
        <f t="shared" ref="R4" si="14">N4-M5</f>
        <v>175.72575450641168</v>
      </c>
      <c r="S4" s="2">
        <f t="shared" ref="S4" si="15">O4*146.2/1000</f>
        <v>26.674451791736217</v>
      </c>
      <c r="T4" s="2">
        <f t="shared" ref="T4" si="16">P4*146.2/1000</f>
        <v>25.188355573838422</v>
      </c>
      <c r="U4" s="2">
        <f t="shared" ref="U4" si="17">Q4*146.2/1000</f>
        <v>26.171702056737253</v>
      </c>
      <c r="V4" s="2">
        <f t="shared" ref="V4" si="18">R4*146.2/1000</f>
        <v>25.691105308837386</v>
      </c>
    </row>
    <row r="5" spans="1:23" x14ac:dyDescent="0.3">
      <c r="A5" t="s">
        <v>11</v>
      </c>
      <c r="B5">
        <v>202.1</v>
      </c>
      <c r="C5">
        <v>0.215</v>
      </c>
      <c r="D5">
        <v>0.20499999999999999</v>
      </c>
      <c r="E5">
        <f t="shared" si="0"/>
        <v>8.6346923108004368E-3</v>
      </c>
      <c r="F5">
        <f t="shared" si="1"/>
        <v>8.2306355812356048E-3</v>
      </c>
      <c r="G5">
        <f t="shared" ref="G5" si="19">430*E5/3</f>
        <v>1.2376392312147293</v>
      </c>
      <c r="H5">
        <f t="shared" ref="H5" si="20">430*F5/3</f>
        <v>1.1797244333104366</v>
      </c>
      <c r="I5">
        <f t="shared" si="3"/>
        <v>2.6662799287852708</v>
      </c>
      <c r="J5">
        <f t="shared" si="4"/>
        <v>2.7241947266895634</v>
      </c>
      <c r="K5">
        <f t="shared" si="9"/>
        <v>13.192874462074572</v>
      </c>
      <c r="L5">
        <f t="shared" si="10"/>
        <v>13.479439518503531</v>
      </c>
      <c r="M5" s="3">
        <f t="shared" si="5"/>
        <v>158.31449354489487</v>
      </c>
      <c r="N5" s="3">
        <f t="shared" si="6"/>
        <v>161.75327422204236</v>
      </c>
      <c r="P5" s="4"/>
      <c r="S5" s="2"/>
      <c r="T5" s="2"/>
      <c r="U5" s="2"/>
      <c r="V5" s="2"/>
    </row>
    <row r="6" spans="1:23" x14ac:dyDescent="0.3">
      <c r="A6" t="s">
        <v>12</v>
      </c>
      <c r="B6">
        <v>79.400000000000006</v>
      </c>
      <c r="C6">
        <v>0.254</v>
      </c>
      <c r="D6">
        <v>0.23300000000000001</v>
      </c>
      <c r="E6">
        <f t="shared" si="0"/>
        <v>1.0210513556103277E-2</v>
      </c>
      <c r="F6">
        <f t="shared" si="1"/>
        <v>9.3619944240171324E-3</v>
      </c>
      <c r="G6">
        <f t="shared" ref="G6" si="21">425*E6/3</f>
        <v>1.4464894204479641</v>
      </c>
      <c r="H6">
        <f t="shared" ref="H6" si="22">425*F6/3</f>
        <v>1.326282543402427</v>
      </c>
      <c r="I6">
        <f t="shared" si="3"/>
        <v>2.4574297395520359</v>
      </c>
      <c r="J6">
        <f t="shared" si="4"/>
        <v>2.577636616597573</v>
      </c>
      <c r="K6">
        <f t="shared" si="9"/>
        <v>30.949996719798936</v>
      </c>
      <c r="L6">
        <f t="shared" si="10"/>
        <v>32.463937236745252</v>
      </c>
      <c r="M6" s="3">
        <f t="shared" si="5"/>
        <v>371.39996063758724</v>
      </c>
      <c r="N6" s="3">
        <f t="shared" si="6"/>
        <v>389.56724684094303</v>
      </c>
      <c r="O6" s="3">
        <f t="shared" ref="O6" si="23">M6-M7</f>
        <v>208.52356310783352</v>
      </c>
      <c r="P6" s="3">
        <f t="shared" ref="P6" si="24">N6-N7</f>
        <v>224.99908306276791</v>
      </c>
      <c r="Q6" s="3">
        <f t="shared" ref="Q6" si="25">M6-N7</f>
        <v>206.83179685941212</v>
      </c>
      <c r="R6" s="3">
        <f t="shared" ref="R6" si="26">N6-M7</f>
        <v>226.69084931118931</v>
      </c>
      <c r="S6" s="2">
        <f t="shared" ref="S6" si="27">O6*146.2/1000</f>
        <v>30.486144926365256</v>
      </c>
      <c r="T6" s="2">
        <f t="shared" ref="T6" si="28">P6*146.2/1000</f>
        <v>32.894865943776672</v>
      </c>
      <c r="U6" s="2">
        <f t="shared" ref="U6" si="29">Q6*146.2/1000</f>
        <v>30.23880870084605</v>
      </c>
      <c r="V6" s="2">
        <f t="shared" ref="V6" si="30">R6*146.2/1000</f>
        <v>33.142202169295871</v>
      </c>
    </row>
    <row r="7" spans="1:23" x14ac:dyDescent="0.3">
      <c r="A7" t="s">
        <v>13</v>
      </c>
      <c r="B7">
        <v>205.4</v>
      </c>
      <c r="C7">
        <v>0.19400000000000001</v>
      </c>
      <c r="D7">
        <v>0.189</v>
      </c>
      <c r="E7">
        <f t="shared" si="0"/>
        <v>7.786173178714292E-3</v>
      </c>
      <c r="F7">
        <f t="shared" si="1"/>
        <v>7.5841448139318769E-3</v>
      </c>
      <c r="G7">
        <f t="shared" ref="G7" si="31">430*E7/3</f>
        <v>1.1160181556157152</v>
      </c>
      <c r="H7">
        <f t="shared" ref="H7" si="32">430*F7/3</f>
        <v>1.087060756663569</v>
      </c>
      <c r="I7">
        <f t="shared" si="3"/>
        <v>2.7879010043842847</v>
      </c>
      <c r="J7">
        <f t="shared" si="4"/>
        <v>2.8168584033364308</v>
      </c>
      <c r="K7">
        <f t="shared" si="9"/>
        <v>13.573033127479476</v>
      </c>
      <c r="L7">
        <f t="shared" si="10"/>
        <v>13.714013648181259</v>
      </c>
      <c r="M7" s="3">
        <f t="shared" si="5"/>
        <v>162.87639752975372</v>
      </c>
      <c r="N7" s="3">
        <f t="shared" si="6"/>
        <v>164.56816377817512</v>
      </c>
      <c r="P7" s="4"/>
      <c r="S7" s="2"/>
      <c r="T7" s="2"/>
      <c r="U7" s="2"/>
      <c r="V7" s="2"/>
    </row>
    <row r="8" spans="1:23" x14ac:dyDescent="0.3">
      <c r="A8" t="s">
        <v>14</v>
      </c>
      <c r="B8">
        <v>80.8</v>
      </c>
      <c r="C8">
        <v>0.20699999999999999</v>
      </c>
      <c r="D8">
        <v>0.219</v>
      </c>
      <c r="E8">
        <f t="shared" si="0"/>
        <v>8.3114469271485716E-3</v>
      </c>
      <c r="F8">
        <f t="shared" si="1"/>
        <v>8.7963150026263686E-3</v>
      </c>
      <c r="G8">
        <f t="shared" ref="G8" si="33">425*E8/3</f>
        <v>1.1774549813460478</v>
      </c>
      <c r="H8">
        <f t="shared" ref="H8" si="34">425*F8/3</f>
        <v>1.2461446253720689</v>
      </c>
      <c r="I8">
        <f t="shared" si="3"/>
        <v>2.7264641786539521</v>
      </c>
      <c r="J8">
        <f t="shared" si="4"/>
        <v>2.6577745346279311</v>
      </c>
      <c r="K8">
        <f t="shared" si="9"/>
        <v>33.743368547697422</v>
      </c>
      <c r="L8">
        <f t="shared" si="10"/>
        <v>32.893249190939741</v>
      </c>
      <c r="M8" s="3">
        <f t="shared" si="5"/>
        <v>404.92042257236903</v>
      </c>
      <c r="N8" s="3">
        <f t="shared" si="6"/>
        <v>394.7189902912769</v>
      </c>
      <c r="O8" s="3">
        <f t="shared" ref="O8" si="35">M8-M9</f>
        <v>236.01969510470821</v>
      </c>
      <c r="P8" s="3">
        <f t="shared" ref="P8" si="36">N8-N9</f>
        <v>221.70190996171178</v>
      </c>
      <c r="Q8" s="3">
        <f t="shared" ref="Q8" si="37">M8-N9</f>
        <v>231.90334224280392</v>
      </c>
      <c r="R8" s="3">
        <f t="shared" ref="R8" si="38">N8-M9</f>
        <v>225.81826282361607</v>
      </c>
      <c r="S8" s="2">
        <f t="shared" ref="S8" si="39">O8*146.2/1000</f>
        <v>34.506079424308339</v>
      </c>
      <c r="T8" s="2">
        <f t="shared" ref="T8" si="40">P8*146.2/1000</f>
        <v>32.412819236402257</v>
      </c>
      <c r="U8" s="2">
        <f t="shared" ref="U8" si="41">Q8*146.2/1000</f>
        <v>33.904268635897928</v>
      </c>
      <c r="V8" s="2">
        <f t="shared" ref="V8" si="42">R8*146.2/1000</f>
        <v>33.014630024812668</v>
      </c>
    </row>
    <row r="9" spans="1:23" x14ac:dyDescent="0.3">
      <c r="A9" t="s">
        <v>15</v>
      </c>
      <c r="B9">
        <v>202.6</v>
      </c>
      <c r="C9">
        <v>0.183</v>
      </c>
      <c r="D9">
        <v>0.17100000000000001</v>
      </c>
      <c r="E9">
        <f t="shared" si="0"/>
        <v>7.3417107761929775E-3</v>
      </c>
      <c r="F9">
        <f t="shared" si="1"/>
        <v>6.8568427007151813E-3</v>
      </c>
      <c r="G9">
        <f t="shared" ref="G9" si="43">430*E9/3</f>
        <v>1.0523118779209935</v>
      </c>
      <c r="H9">
        <f t="shared" ref="H9" si="44">430*F9/3</f>
        <v>0.9828141204358426</v>
      </c>
      <c r="I9">
        <f t="shared" si="3"/>
        <v>2.8516072820790068</v>
      </c>
      <c r="J9">
        <f t="shared" si="4"/>
        <v>2.9211050395641576</v>
      </c>
      <c r="K9">
        <f t="shared" si="9"/>
        <v>14.075060622305068</v>
      </c>
      <c r="L9">
        <f t="shared" si="10"/>
        <v>14.41809002746376</v>
      </c>
      <c r="M9" s="3">
        <f t="shared" si="5"/>
        <v>168.90072746766083</v>
      </c>
      <c r="N9" s="3">
        <f t="shared" si="6"/>
        <v>173.01708032956512</v>
      </c>
      <c r="P9" s="4"/>
      <c r="S9" s="2"/>
      <c r="T9" s="2"/>
      <c r="U9" s="2"/>
      <c r="V9" s="2"/>
    </row>
    <row r="10" spans="1:23" x14ac:dyDescent="0.3">
      <c r="A10" t="s">
        <v>16</v>
      </c>
      <c r="B10">
        <v>81.7</v>
      </c>
      <c r="C10">
        <v>0.21299999999999999</v>
      </c>
      <c r="D10">
        <v>0.20599999999999999</v>
      </c>
      <c r="E10">
        <f t="shared" si="0"/>
        <v>8.5538809648874701E-3</v>
      </c>
      <c r="F10">
        <f t="shared" si="1"/>
        <v>8.2710412541920891E-3</v>
      </c>
      <c r="G10">
        <f t="shared" ref="G10" si="45">425*E10/3</f>
        <v>1.2117998033590582</v>
      </c>
      <c r="H10">
        <f t="shared" ref="H10" si="46">425*F10/3</f>
        <v>1.1717308443438792</v>
      </c>
      <c r="I10">
        <f t="shared" si="3"/>
        <v>2.6921193566409416</v>
      </c>
      <c r="J10">
        <f t="shared" si="4"/>
        <v>2.7321883156561206</v>
      </c>
      <c r="K10">
        <f t="shared" si="9"/>
        <v>32.951277315066605</v>
      </c>
      <c r="L10">
        <f t="shared" si="10"/>
        <v>33.441717449891314</v>
      </c>
      <c r="M10" s="3">
        <f t="shared" si="5"/>
        <v>395.41532778079926</v>
      </c>
      <c r="N10" s="3">
        <f t="shared" si="6"/>
        <v>401.30060939869577</v>
      </c>
      <c r="O10" s="3">
        <f t="shared" ref="O10" si="47">M10-M11</f>
        <v>217.64382657434061</v>
      </c>
      <c r="P10" s="3">
        <f t="shared" ref="P10" si="48">N10-N11</f>
        <v>227.68443001496661</v>
      </c>
      <c r="Q10" s="3">
        <f t="shared" ref="Q10" si="49">M10-N11</f>
        <v>221.7991483970701</v>
      </c>
      <c r="R10" s="3">
        <f t="shared" ref="R10" si="50">N10-M11</f>
        <v>223.52910819223712</v>
      </c>
      <c r="S10" s="2">
        <f t="shared" ref="S10" si="51">O10*146.2/1000</f>
        <v>31.819527445168596</v>
      </c>
      <c r="T10" s="2">
        <f t="shared" ref="T10" si="52">P10*146.2/1000</f>
        <v>33.287463668188117</v>
      </c>
      <c r="U10" s="2">
        <f t="shared" ref="U10" si="53">Q10*146.2/1000</f>
        <v>32.427035495651644</v>
      </c>
      <c r="V10" s="2">
        <f t="shared" ref="V10" si="54">R10*146.2/1000</f>
        <v>32.679955617705062</v>
      </c>
    </row>
    <row r="11" spans="1:23" x14ac:dyDescent="0.3">
      <c r="A11" t="s">
        <v>17</v>
      </c>
      <c r="B11">
        <v>200.7</v>
      </c>
      <c r="C11">
        <v>0.16200000000000001</v>
      </c>
      <c r="D11">
        <v>0.17399999999999999</v>
      </c>
      <c r="E11">
        <f t="shared" si="0"/>
        <v>6.4931916441068336E-3</v>
      </c>
      <c r="F11">
        <f t="shared" si="1"/>
        <v>6.9780597195846297E-3</v>
      </c>
      <c r="G11">
        <f t="shared" ref="G11" si="55">430*E11/3</f>
        <v>0.93069080232197943</v>
      </c>
      <c r="H11">
        <f t="shared" ref="H11" si="56">430*F11/3</f>
        <v>1.0001885598071303</v>
      </c>
      <c r="I11">
        <f t="shared" si="3"/>
        <v>2.9732283576780207</v>
      </c>
      <c r="J11">
        <f t="shared" si="4"/>
        <v>2.90373060019287</v>
      </c>
      <c r="K11">
        <f t="shared" si="9"/>
        <v>14.814291767204887</v>
      </c>
      <c r="L11">
        <f t="shared" si="10"/>
        <v>14.468014948644097</v>
      </c>
      <c r="M11" s="3">
        <f t="shared" si="5"/>
        <v>177.77150120645865</v>
      </c>
      <c r="N11" s="3">
        <f t="shared" si="6"/>
        <v>173.61617938372916</v>
      </c>
      <c r="P11" s="4"/>
      <c r="S11" s="2"/>
      <c r="T11" s="2"/>
      <c r="U11" s="2"/>
      <c r="V11" s="2"/>
    </row>
    <row r="12" spans="1:23" x14ac:dyDescent="0.3">
      <c r="A12" t="s">
        <v>18</v>
      </c>
      <c r="B12">
        <v>83.2</v>
      </c>
      <c r="C12">
        <v>0.20899999999999999</v>
      </c>
      <c r="D12">
        <v>0.21199999999999999</v>
      </c>
      <c r="E12">
        <f t="shared" si="0"/>
        <v>8.3922582730615383E-3</v>
      </c>
      <c r="F12">
        <f t="shared" si="1"/>
        <v>8.5134752919309876E-3</v>
      </c>
      <c r="G12">
        <f t="shared" ref="G12" si="57">425*E12/3</f>
        <v>1.1889032553503847</v>
      </c>
      <c r="H12">
        <f t="shared" ref="H12" si="58">425*F12/3</f>
        <v>1.2060756663568899</v>
      </c>
      <c r="I12">
        <f t="shared" si="3"/>
        <v>2.7150159046496154</v>
      </c>
      <c r="J12">
        <f t="shared" si="4"/>
        <v>2.6978434936431102</v>
      </c>
      <c r="K12">
        <f t="shared" si="9"/>
        <v>32.63240270011557</v>
      </c>
      <c r="L12">
        <f t="shared" si="10"/>
        <v>32.426003529364309</v>
      </c>
      <c r="M12" s="3">
        <f t="shared" si="5"/>
        <v>391.58883240138687</v>
      </c>
      <c r="N12" s="3">
        <f t="shared" si="6"/>
        <v>389.1120423523717</v>
      </c>
      <c r="O12" s="3">
        <f t="shared" ref="O12" si="59">M12-M13</f>
        <v>213.35540824308222</v>
      </c>
      <c r="P12" s="3">
        <f t="shared" ref="P12" si="60">N12-N13</f>
        <v>209.48448063167686</v>
      </c>
      <c r="Q12" s="3">
        <f t="shared" ref="Q12" si="61">M12-N13</f>
        <v>211.96127068069202</v>
      </c>
      <c r="R12" s="3">
        <f t="shared" ref="R12" si="62">N12-M13</f>
        <v>210.87861819406706</v>
      </c>
      <c r="S12" s="2">
        <f t="shared" ref="S12" si="63">O12*146.2/1000</f>
        <v>31.19256068513862</v>
      </c>
      <c r="T12" s="2">
        <f t="shared" ref="T12" si="64">P12*146.2/1000</f>
        <v>30.626631068351156</v>
      </c>
      <c r="U12" s="2">
        <f t="shared" ref="U12" si="65">Q12*146.2/1000</f>
        <v>30.988737773517173</v>
      </c>
      <c r="V12" s="2">
        <f t="shared" ref="V12" si="66">R12*146.2/1000</f>
        <v>30.830453979972599</v>
      </c>
    </row>
    <row r="13" spans="1:23" x14ac:dyDescent="0.3">
      <c r="A13" t="s">
        <v>19</v>
      </c>
      <c r="B13">
        <v>199.4</v>
      </c>
      <c r="C13">
        <v>0.16400000000000001</v>
      </c>
      <c r="D13">
        <v>0.16</v>
      </c>
      <c r="E13">
        <f t="shared" si="0"/>
        <v>6.5740029900197994E-3</v>
      </c>
      <c r="F13">
        <f t="shared" si="1"/>
        <v>6.4123802981938668E-3</v>
      </c>
      <c r="G13">
        <f t="shared" ref="G13:H13" si="67">430*E13/3</f>
        <v>0.94227376190283785</v>
      </c>
      <c r="H13">
        <f t="shared" si="67"/>
        <v>0.9191078427411209</v>
      </c>
      <c r="I13">
        <f t="shared" si="3"/>
        <v>2.9616453980971622</v>
      </c>
      <c r="J13">
        <f t="shared" si="4"/>
        <v>2.9848113172588793</v>
      </c>
      <c r="K13">
        <f t="shared" si="9"/>
        <v>14.852785346525387</v>
      </c>
      <c r="L13">
        <f t="shared" si="10"/>
        <v>14.96896347672457</v>
      </c>
      <c r="M13" s="3">
        <f t="shared" si="5"/>
        <v>178.23342415830464</v>
      </c>
      <c r="N13" s="3">
        <f t="shared" si="6"/>
        <v>179.62756172069484</v>
      </c>
      <c r="P13" s="4"/>
      <c r="S13" s="2"/>
      <c r="T13" s="2"/>
      <c r="U13" s="2"/>
      <c r="V13" s="2"/>
    </row>
    <row r="16" spans="1:23" x14ac:dyDescent="0.3">
      <c r="A16" t="s">
        <v>35</v>
      </c>
      <c r="B16" t="s">
        <v>91</v>
      </c>
      <c r="C16" t="s">
        <v>92</v>
      </c>
      <c r="D16" t="s">
        <v>76</v>
      </c>
      <c r="F16" t="s">
        <v>121</v>
      </c>
      <c r="I16" t="s">
        <v>30</v>
      </c>
      <c r="Q16" t="s">
        <v>52</v>
      </c>
      <c r="T16" t="s">
        <v>52</v>
      </c>
      <c r="W16" t="s">
        <v>53</v>
      </c>
    </row>
    <row r="17" spans="1:25" x14ac:dyDescent="0.3">
      <c r="A17" t="s">
        <v>45</v>
      </c>
      <c r="B17" s="2">
        <v>31.221974754295978</v>
      </c>
      <c r="C17">
        <v>21.54</v>
      </c>
      <c r="D17" s="2">
        <f>B17*(100-C17)/100</f>
        <v>24.496761392220627</v>
      </c>
      <c r="E17" s="2">
        <v>81.804919414068152</v>
      </c>
      <c r="F17">
        <f>B17*100/E17</f>
        <v>38.166377985486619</v>
      </c>
      <c r="H17" t="s">
        <v>45</v>
      </c>
      <c r="I17" s="2">
        <v>31.221974754295978</v>
      </c>
      <c r="J17" s="2">
        <v>32.097541874019541</v>
      </c>
      <c r="K17" s="2">
        <v>31.472235151939547</v>
      </c>
      <c r="L17" s="2">
        <v>31.847281476375972</v>
      </c>
      <c r="P17" t="s">
        <v>117</v>
      </c>
      <c r="Q17" t="s">
        <v>118</v>
      </c>
      <c r="R17" t="s">
        <v>119</v>
      </c>
      <c r="S17" t="s">
        <v>120</v>
      </c>
      <c r="T17" t="s">
        <v>118</v>
      </c>
      <c r="U17" t="s">
        <v>119</v>
      </c>
      <c r="V17" t="s">
        <v>120</v>
      </c>
      <c r="W17" t="s">
        <v>118</v>
      </c>
      <c r="X17" t="s">
        <v>119</v>
      </c>
      <c r="Y17" t="s">
        <v>120</v>
      </c>
    </row>
    <row r="18" spans="1:25" x14ac:dyDescent="0.3">
      <c r="A18" t="s">
        <v>45</v>
      </c>
      <c r="B18" s="2">
        <v>32.097541874019541</v>
      </c>
      <c r="C18">
        <v>21.54</v>
      </c>
      <c r="D18" s="2">
        <f t="shared" ref="D18:D40" si="68">B18*(100-C18)/100</f>
        <v>25.183731354355732</v>
      </c>
      <c r="E18" s="2">
        <v>81.804919414068152</v>
      </c>
      <c r="F18">
        <f t="shared" ref="F18:F40" si="69">B18*100/E18</f>
        <v>39.236689069459146</v>
      </c>
      <c r="I18" s="2"/>
      <c r="J18" s="2"/>
      <c r="K18" s="2"/>
      <c r="L18" s="2"/>
      <c r="P18" t="s">
        <v>45</v>
      </c>
      <c r="Q18" s="2">
        <v>85.979921991884495</v>
      </c>
      <c r="R18" s="2">
        <v>0.328277235295381</v>
      </c>
      <c r="S18" s="2">
        <v>4.3133330000000001</v>
      </c>
      <c r="T18" s="2">
        <v>81.804919414068152</v>
      </c>
      <c r="U18" s="2">
        <v>0.21042637380520923</v>
      </c>
      <c r="V18" s="2">
        <v>5.2833329999999998</v>
      </c>
      <c r="W18" s="2">
        <v>78.870236929063424</v>
      </c>
      <c r="X18" s="2">
        <v>0.25432696047762987</v>
      </c>
      <c r="Y18" s="2">
        <v>3.4033329999999999</v>
      </c>
    </row>
    <row r="19" spans="1:25" x14ac:dyDescent="0.3">
      <c r="A19" t="s">
        <v>45</v>
      </c>
      <c r="B19" s="2">
        <v>31.472235151939547</v>
      </c>
      <c r="C19">
        <v>21.54</v>
      </c>
      <c r="D19" s="2">
        <f t="shared" si="68"/>
        <v>24.69311570021177</v>
      </c>
      <c r="E19" s="2">
        <v>81.804919414068152</v>
      </c>
      <c r="F19">
        <f t="shared" si="69"/>
        <v>38.472301393804941</v>
      </c>
      <c r="H19" t="s">
        <v>46</v>
      </c>
      <c r="I19" s="2">
        <v>26.674451791736217</v>
      </c>
      <c r="J19" s="2">
        <v>25.188355573838422</v>
      </c>
      <c r="K19" s="2">
        <v>26.171702056737253</v>
      </c>
      <c r="L19" s="2">
        <v>25.691105308837386</v>
      </c>
      <c r="P19" t="s">
        <v>46</v>
      </c>
      <c r="Q19" s="2">
        <v>85.402922894643595</v>
      </c>
      <c r="R19" s="2">
        <v>0.24758080280792236</v>
      </c>
      <c r="S19" s="2">
        <v>5.5766669999999996</v>
      </c>
      <c r="T19" s="2">
        <v>81.912100686660196</v>
      </c>
      <c r="U19" s="2">
        <v>0.27207876469188214</v>
      </c>
      <c r="V19" s="2">
        <v>5.0466670000000002</v>
      </c>
      <c r="W19" s="2">
        <v>80.820187742514918</v>
      </c>
      <c r="X19" s="2">
        <v>0.18679480144730154</v>
      </c>
      <c r="Y19" s="2">
        <v>3.87</v>
      </c>
    </row>
    <row r="20" spans="1:25" x14ac:dyDescent="0.3">
      <c r="A20" t="s">
        <v>45</v>
      </c>
      <c r="B20" s="2">
        <v>31.847281476375972</v>
      </c>
      <c r="C20">
        <v>21.54</v>
      </c>
      <c r="D20" s="2">
        <f t="shared" si="68"/>
        <v>24.987377046364589</v>
      </c>
      <c r="E20" s="2">
        <v>81.804919414068152</v>
      </c>
      <c r="F20">
        <f t="shared" si="69"/>
        <v>38.930765661140832</v>
      </c>
      <c r="I20" s="2"/>
      <c r="J20" s="2"/>
      <c r="K20" s="2"/>
      <c r="L20" s="2"/>
      <c r="P20" t="s">
        <v>47</v>
      </c>
      <c r="Q20" s="2">
        <v>87.668177317806993</v>
      </c>
      <c r="R20" s="2">
        <v>0.28841405369151318</v>
      </c>
      <c r="S20" s="2">
        <v>3.8233329999999999</v>
      </c>
      <c r="T20" s="2">
        <v>80.320596806846467</v>
      </c>
      <c r="U20" s="2">
        <v>0.27406935700344687</v>
      </c>
      <c r="V20" s="2">
        <v>5.65</v>
      </c>
      <c r="W20" s="2">
        <v>82.030981284382435</v>
      </c>
      <c r="X20" s="2">
        <v>0.30113667494864221</v>
      </c>
      <c r="Y20" s="2">
        <v>3.2966669999999998</v>
      </c>
    </row>
    <row r="21" spans="1:25" x14ac:dyDescent="0.3">
      <c r="A21" t="s">
        <v>46</v>
      </c>
      <c r="B21" s="2">
        <v>26.674451791736217</v>
      </c>
      <c r="C21">
        <v>24.7</v>
      </c>
      <c r="D21" s="2">
        <f t="shared" si="68"/>
        <v>20.08586219917737</v>
      </c>
      <c r="E21" s="2">
        <v>81.912100686660196</v>
      </c>
      <c r="F21">
        <f t="shared" si="69"/>
        <v>32.564726784110285</v>
      </c>
      <c r="H21" t="s">
        <v>47</v>
      </c>
      <c r="I21" s="2">
        <v>30.486144926365256</v>
      </c>
      <c r="J21" s="2">
        <v>32.894865943776672</v>
      </c>
      <c r="K21" s="2">
        <v>30.23880870084605</v>
      </c>
      <c r="L21" s="2">
        <v>33.142202169295871</v>
      </c>
      <c r="P21" t="s">
        <v>48</v>
      </c>
      <c r="Q21" s="2">
        <v>87.511772179697786</v>
      </c>
      <c r="R21" s="2">
        <v>0.36477517321909753</v>
      </c>
      <c r="S21" s="2">
        <v>3.4</v>
      </c>
      <c r="T21" s="2">
        <v>82.599809419337745</v>
      </c>
      <c r="U21" s="2">
        <v>0.32666666666666666</v>
      </c>
      <c r="V21" s="2">
        <v>5.62</v>
      </c>
      <c r="W21" s="2">
        <v>81.212269435574925</v>
      </c>
      <c r="X21" s="2">
        <v>0.30585752846067732</v>
      </c>
      <c r="Y21" s="2">
        <v>3.3466670000000001</v>
      </c>
    </row>
    <row r="22" spans="1:25" x14ac:dyDescent="0.3">
      <c r="A22" t="s">
        <v>46</v>
      </c>
      <c r="B22" s="2">
        <v>25.188355573838422</v>
      </c>
      <c r="C22">
        <v>24.7</v>
      </c>
      <c r="D22" s="2">
        <f t="shared" si="68"/>
        <v>18.966831747100329</v>
      </c>
      <c r="E22" s="2">
        <v>81.912100686660196</v>
      </c>
      <c r="F22">
        <f t="shared" si="69"/>
        <v>30.750469543189819</v>
      </c>
      <c r="I22" s="2"/>
      <c r="J22" s="2"/>
      <c r="K22" s="2"/>
      <c r="L22" s="2"/>
      <c r="P22" t="s">
        <v>49</v>
      </c>
      <c r="Q22" s="2">
        <v>86.456165045047115</v>
      </c>
      <c r="R22" s="2">
        <v>0.44611163208649779</v>
      </c>
      <c r="S22" s="2">
        <v>3.806667</v>
      </c>
      <c r="T22" s="2">
        <v>78.989325194636805</v>
      </c>
      <c r="U22" s="2">
        <v>0.22333333333333336</v>
      </c>
      <c r="V22" s="2">
        <v>6.2033329999999998</v>
      </c>
      <c r="W22" s="2">
        <v>78.715361970519623</v>
      </c>
      <c r="X22" s="2">
        <v>0.3867869680153273</v>
      </c>
      <c r="Y22" s="2">
        <v>4.3866670000000001</v>
      </c>
    </row>
    <row r="23" spans="1:25" x14ac:dyDescent="0.3">
      <c r="A23" t="s">
        <v>46</v>
      </c>
      <c r="B23" s="2">
        <v>26.171702056737253</v>
      </c>
      <c r="C23">
        <v>24.7</v>
      </c>
      <c r="D23" s="2">
        <f t="shared" si="68"/>
        <v>19.70729164872315</v>
      </c>
      <c r="E23" s="2">
        <v>81.912100686660196</v>
      </c>
      <c r="F23">
        <f t="shared" si="69"/>
        <v>31.950959427658102</v>
      </c>
      <c r="H23" t="s">
        <v>48</v>
      </c>
      <c r="I23" s="2">
        <v>34.506079424308339</v>
      </c>
      <c r="J23" s="2">
        <v>32.412819236402257</v>
      </c>
      <c r="K23" s="2">
        <v>33.904268635897928</v>
      </c>
      <c r="L23" s="2">
        <v>33.014630024812668</v>
      </c>
      <c r="P23" t="s">
        <v>50</v>
      </c>
      <c r="Q23" s="2">
        <v>86.846329486525235</v>
      </c>
      <c r="R23" s="2">
        <v>0.27357670687730751</v>
      </c>
      <c r="S23" s="2">
        <v>3.5466669999999998</v>
      </c>
      <c r="T23" s="2">
        <v>78.801417046339921</v>
      </c>
      <c r="U23" s="2">
        <v>0.24333333333333332</v>
      </c>
      <c r="V23" s="2">
        <v>5.66</v>
      </c>
      <c r="W23" s="2">
        <v>78.479597709029875</v>
      </c>
      <c r="X23" s="2">
        <v>0.26970992627647494</v>
      </c>
      <c r="Y23" s="2">
        <v>4.6633329999999997</v>
      </c>
    </row>
    <row r="24" spans="1:25" x14ac:dyDescent="0.3">
      <c r="A24" t="s">
        <v>46</v>
      </c>
      <c r="B24" s="2">
        <v>25.691105308837386</v>
      </c>
      <c r="C24">
        <v>24.7</v>
      </c>
      <c r="D24" s="2">
        <f t="shared" si="68"/>
        <v>19.34540229755455</v>
      </c>
      <c r="E24" s="2">
        <v>81.912100686660196</v>
      </c>
      <c r="F24">
        <f t="shared" si="69"/>
        <v>31.364236899642002</v>
      </c>
      <c r="I24" s="2"/>
      <c r="J24" s="2"/>
      <c r="K24" s="2"/>
      <c r="L24" s="2"/>
    </row>
    <row r="25" spans="1:25" x14ac:dyDescent="0.3">
      <c r="A25" t="s">
        <v>47</v>
      </c>
      <c r="B25" s="2">
        <v>30.486144926365256</v>
      </c>
      <c r="C25">
        <v>23.52</v>
      </c>
      <c r="D25" s="2">
        <f t="shared" si="68"/>
        <v>23.315803639684148</v>
      </c>
      <c r="E25" s="2">
        <v>80.320596806846467</v>
      </c>
      <c r="F25">
        <f t="shared" si="69"/>
        <v>37.955575703300347</v>
      </c>
      <c r="H25" t="s">
        <v>49</v>
      </c>
      <c r="I25" s="2">
        <v>31.819527445168596</v>
      </c>
      <c r="J25" s="2">
        <v>33.287463668188117</v>
      </c>
      <c r="K25" s="2">
        <v>32.427035495651644</v>
      </c>
      <c r="L25" s="2">
        <v>32.679955617705062</v>
      </c>
    </row>
    <row r="26" spans="1:25" x14ac:dyDescent="0.3">
      <c r="A26" t="s">
        <v>47</v>
      </c>
      <c r="B26" s="2">
        <v>32.894865943776672</v>
      </c>
      <c r="C26">
        <v>23.52</v>
      </c>
      <c r="D26" s="2">
        <f t="shared" si="68"/>
        <v>25.157993473800403</v>
      </c>
      <c r="E26" s="2">
        <v>80.320596806846467</v>
      </c>
      <c r="F26">
        <f t="shared" si="69"/>
        <v>40.954459069672573</v>
      </c>
      <c r="I26" s="2"/>
      <c r="J26" s="2"/>
      <c r="K26" s="2"/>
      <c r="L26" s="2"/>
    </row>
    <row r="27" spans="1:25" x14ac:dyDescent="0.3">
      <c r="A27" t="s">
        <v>47</v>
      </c>
      <c r="B27" s="2">
        <v>30.23880870084605</v>
      </c>
      <c r="C27">
        <v>23.52</v>
      </c>
      <c r="D27" s="2">
        <f t="shared" si="68"/>
        <v>23.126640894407061</v>
      </c>
      <c r="E27" s="2">
        <v>80.320596806846467</v>
      </c>
      <c r="F27">
        <f t="shared" si="69"/>
        <v>37.647639463590885</v>
      </c>
      <c r="H27" t="s">
        <v>50</v>
      </c>
      <c r="I27" s="2">
        <v>31.19256068513862</v>
      </c>
      <c r="J27" s="2">
        <v>30.626631068351156</v>
      </c>
      <c r="K27" s="2">
        <v>30.988737773517173</v>
      </c>
      <c r="L27" s="2">
        <v>30.830453979972599</v>
      </c>
    </row>
    <row r="28" spans="1:25" x14ac:dyDescent="0.3">
      <c r="A28" t="s">
        <v>47</v>
      </c>
      <c r="B28" s="2">
        <v>33.142202169295871</v>
      </c>
      <c r="C28">
        <v>23.52</v>
      </c>
      <c r="D28" s="2">
        <f t="shared" si="68"/>
        <v>25.347156219077483</v>
      </c>
      <c r="E28" s="2">
        <v>80.320596806846467</v>
      </c>
      <c r="F28">
        <f t="shared" si="69"/>
        <v>41.262395309382029</v>
      </c>
    </row>
    <row r="29" spans="1:25" x14ac:dyDescent="0.3">
      <c r="A29" t="s">
        <v>48</v>
      </c>
      <c r="B29" s="2">
        <v>34.506079424308339</v>
      </c>
      <c r="C29">
        <v>21.91</v>
      </c>
      <c r="D29" s="2">
        <f t="shared" si="68"/>
        <v>26.945797422442382</v>
      </c>
      <c r="E29" s="2">
        <v>82.599809419337745</v>
      </c>
      <c r="F29">
        <f t="shared" si="69"/>
        <v>41.775010943584569</v>
      </c>
    </row>
    <row r="30" spans="1:25" x14ac:dyDescent="0.3">
      <c r="A30" t="s">
        <v>48</v>
      </c>
      <c r="B30" s="2">
        <v>32.412819236402257</v>
      </c>
      <c r="C30">
        <v>21.91</v>
      </c>
      <c r="D30" s="2">
        <f t="shared" si="68"/>
        <v>25.311170541706524</v>
      </c>
      <c r="E30" s="2">
        <v>82.599809419337745</v>
      </c>
      <c r="F30">
        <f t="shared" si="69"/>
        <v>39.240791793902098</v>
      </c>
    </row>
    <row r="31" spans="1:25" x14ac:dyDescent="0.3">
      <c r="A31" t="s">
        <v>48</v>
      </c>
      <c r="B31" s="2">
        <v>33.904268635897928</v>
      </c>
      <c r="C31">
        <v>21.91</v>
      </c>
      <c r="D31" s="2">
        <f t="shared" si="68"/>
        <v>26.475843377772694</v>
      </c>
      <c r="E31" s="2">
        <v>82.599809419337745</v>
      </c>
      <c r="F31">
        <f t="shared" si="69"/>
        <v>41.046424772937158</v>
      </c>
    </row>
    <row r="32" spans="1:25" x14ac:dyDescent="0.3">
      <c r="A32" t="s">
        <v>48</v>
      </c>
      <c r="B32" s="2">
        <v>33.014630024812668</v>
      </c>
      <c r="C32">
        <v>21.91</v>
      </c>
      <c r="D32" s="2">
        <f t="shared" si="68"/>
        <v>25.781124586376212</v>
      </c>
      <c r="E32" s="2">
        <v>82.599809419337745</v>
      </c>
      <c r="F32">
        <f t="shared" si="69"/>
        <v>39.969377964549508</v>
      </c>
    </row>
    <row r="33" spans="1:6" x14ac:dyDescent="0.3">
      <c r="A33" t="s">
        <v>49</v>
      </c>
      <c r="B33" s="2">
        <v>31.819527445168596</v>
      </c>
      <c r="C33">
        <v>25.58</v>
      </c>
      <c r="D33" s="2">
        <f t="shared" si="68"/>
        <v>23.680092324694471</v>
      </c>
      <c r="E33" s="2">
        <v>78.989325194636805</v>
      </c>
      <c r="F33">
        <f t="shared" si="69"/>
        <v>40.283326090914713</v>
      </c>
    </row>
    <row r="34" spans="1:6" x14ac:dyDescent="0.3">
      <c r="A34" t="s">
        <v>49</v>
      </c>
      <c r="B34" s="2">
        <v>33.287463668188117</v>
      </c>
      <c r="C34">
        <v>25.58</v>
      </c>
      <c r="D34" s="2">
        <f t="shared" si="68"/>
        <v>24.7725304618656</v>
      </c>
      <c r="E34" s="2">
        <v>78.989325194636805</v>
      </c>
      <c r="F34">
        <f t="shared" si="69"/>
        <v>42.14172432308392</v>
      </c>
    </row>
    <row r="35" spans="1:6" x14ac:dyDescent="0.3">
      <c r="A35" t="s">
        <v>49</v>
      </c>
      <c r="B35" s="2">
        <v>32.427035495651644</v>
      </c>
      <c r="C35">
        <v>25.58</v>
      </c>
      <c r="D35" s="2">
        <f t="shared" si="68"/>
        <v>24.132199815863956</v>
      </c>
      <c r="E35" s="2">
        <v>78.989325194636805</v>
      </c>
      <c r="F35">
        <f t="shared" si="69"/>
        <v>41.052427547328087</v>
      </c>
    </row>
    <row r="36" spans="1:6" x14ac:dyDescent="0.3">
      <c r="A36" t="s">
        <v>49</v>
      </c>
      <c r="B36" s="2">
        <v>32.679955617705062</v>
      </c>
      <c r="C36">
        <v>25.58</v>
      </c>
      <c r="D36" s="2">
        <f t="shared" si="68"/>
        <v>24.320422970696107</v>
      </c>
      <c r="E36" s="2">
        <v>78.989325194636805</v>
      </c>
      <c r="F36">
        <f t="shared" si="69"/>
        <v>41.372622866670547</v>
      </c>
    </row>
    <row r="37" spans="1:6" x14ac:dyDescent="0.3">
      <c r="A37" t="s">
        <v>50</v>
      </c>
      <c r="B37" s="2">
        <v>31.19256068513862</v>
      </c>
      <c r="C37">
        <v>24.14</v>
      </c>
      <c r="D37" s="2">
        <f t="shared" si="68"/>
        <v>23.662676535746158</v>
      </c>
      <c r="E37" s="2">
        <v>78.801417046339921</v>
      </c>
      <c r="F37">
        <f t="shared" si="69"/>
        <v>39.583756046919227</v>
      </c>
    </row>
    <row r="38" spans="1:6" x14ac:dyDescent="0.3">
      <c r="A38" t="s">
        <v>50</v>
      </c>
      <c r="B38" s="2">
        <v>30.626631068351156</v>
      </c>
      <c r="C38">
        <v>24.14</v>
      </c>
      <c r="D38" s="2">
        <f t="shared" si="68"/>
        <v>23.233362328451186</v>
      </c>
      <c r="E38" s="2">
        <v>78.801417046339921</v>
      </c>
      <c r="F38">
        <f t="shared" si="69"/>
        <v>38.865584168798485</v>
      </c>
    </row>
    <row r="39" spans="1:6" x14ac:dyDescent="0.3">
      <c r="A39" t="s">
        <v>50</v>
      </c>
      <c r="B39" s="2">
        <v>30.988737773517173</v>
      </c>
      <c r="C39">
        <v>24.14</v>
      </c>
      <c r="D39" s="2">
        <f t="shared" si="68"/>
        <v>23.508056474990127</v>
      </c>
      <c r="E39" s="2">
        <v>78.801417046339921</v>
      </c>
      <c r="F39">
        <f t="shared" si="69"/>
        <v>39.325102180959455</v>
      </c>
    </row>
    <row r="40" spans="1:6" x14ac:dyDescent="0.3">
      <c r="A40" t="s">
        <v>50</v>
      </c>
      <c r="B40" s="2">
        <v>30.830453979972599</v>
      </c>
      <c r="C40">
        <v>24.14</v>
      </c>
      <c r="D40" s="2">
        <f t="shared" si="68"/>
        <v>23.387982389207213</v>
      </c>
      <c r="E40" s="2">
        <v>78.801417046339921</v>
      </c>
      <c r="F40">
        <f t="shared" si="69"/>
        <v>39.124238034758257</v>
      </c>
    </row>
  </sheetData>
  <mergeCells count="2">
    <mergeCell ref="O1:R1"/>
    <mergeCell ref="S1:V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82679-D70F-406C-82F3-D97FD3BB3DE7}">
  <dimension ref="A1:D25"/>
  <sheetViews>
    <sheetView workbookViewId="0">
      <selection activeCell="B2" sqref="B2:B3"/>
    </sheetView>
  </sheetViews>
  <sheetFormatPr defaultRowHeight="14.4" x14ac:dyDescent="0.3"/>
  <sheetData>
    <row r="1" spans="1:4" x14ac:dyDescent="0.3">
      <c r="A1" t="s">
        <v>35</v>
      </c>
      <c r="B1" t="s">
        <v>91</v>
      </c>
      <c r="C1" t="s">
        <v>92</v>
      </c>
      <c r="D1" t="s">
        <v>76</v>
      </c>
    </row>
    <row r="2" spans="1:4" x14ac:dyDescent="0.3">
      <c r="A2" t="s">
        <v>45</v>
      </c>
      <c r="B2" s="2">
        <v>31.221974754295978</v>
      </c>
      <c r="C2">
        <v>21.54</v>
      </c>
      <c r="D2" s="2">
        <f>B2*(100-C2)/100</f>
        <v>24.496761392220627</v>
      </c>
    </row>
    <row r="3" spans="1:4" x14ac:dyDescent="0.3">
      <c r="A3" t="s">
        <v>45</v>
      </c>
      <c r="B3" s="2">
        <v>32.097541874019541</v>
      </c>
      <c r="C3">
        <v>21.54</v>
      </c>
      <c r="D3" s="2">
        <f t="shared" ref="D3:D25" si="0">B3*(100-C3)/100</f>
        <v>25.183731354355732</v>
      </c>
    </row>
    <row r="4" spans="1:4" x14ac:dyDescent="0.3">
      <c r="A4" t="s">
        <v>45</v>
      </c>
      <c r="B4" s="2">
        <v>31.472235151939547</v>
      </c>
      <c r="C4">
        <v>21.54</v>
      </c>
      <c r="D4" s="2">
        <f t="shared" si="0"/>
        <v>24.69311570021177</v>
      </c>
    </row>
    <row r="5" spans="1:4" x14ac:dyDescent="0.3">
      <c r="A5" t="s">
        <v>45</v>
      </c>
      <c r="B5" s="2">
        <v>31.847281476375972</v>
      </c>
      <c r="C5">
        <v>21.54</v>
      </c>
      <c r="D5" s="2">
        <f t="shared" si="0"/>
        <v>24.987377046364589</v>
      </c>
    </row>
    <row r="6" spans="1:4" x14ac:dyDescent="0.3">
      <c r="A6" t="s">
        <v>46</v>
      </c>
      <c r="B6" s="2">
        <v>26.674451791736217</v>
      </c>
      <c r="C6">
        <v>24.7</v>
      </c>
      <c r="D6" s="2">
        <f t="shared" si="0"/>
        <v>20.08586219917737</v>
      </c>
    </row>
    <row r="7" spans="1:4" x14ac:dyDescent="0.3">
      <c r="A7" t="s">
        <v>46</v>
      </c>
      <c r="B7" s="2">
        <v>25.188355573838422</v>
      </c>
      <c r="C7">
        <v>24.7</v>
      </c>
      <c r="D7" s="2">
        <f t="shared" si="0"/>
        <v>18.966831747100329</v>
      </c>
    </row>
    <row r="8" spans="1:4" x14ac:dyDescent="0.3">
      <c r="A8" t="s">
        <v>46</v>
      </c>
      <c r="B8" s="2">
        <v>26.171702056737253</v>
      </c>
      <c r="C8">
        <v>24.7</v>
      </c>
      <c r="D8" s="2">
        <f t="shared" si="0"/>
        <v>19.70729164872315</v>
      </c>
    </row>
    <row r="9" spans="1:4" x14ac:dyDescent="0.3">
      <c r="A9" t="s">
        <v>46</v>
      </c>
      <c r="B9" s="2">
        <v>25.691105308837386</v>
      </c>
      <c r="C9">
        <v>24.7</v>
      </c>
      <c r="D9" s="2">
        <f t="shared" si="0"/>
        <v>19.34540229755455</v>
      </c>
    </row>
    <row r="10" spans="1:4" x14ac:dyDescent="0.3">
      <c r="A10" t="s">
        <v>47</v>
      </c>
      <c r="B10" s="2">
        <v>30.486144926365256</v>
      </c>
      <c r="C10">
        <v>23.52</v>
      </c>
      <c r="D10" s="2">
        <f t="shared" si="0"/>
        <v>23.315803639684148</v>
      </c>
    </row>
    <row r="11" spans="1:4" x14ac:dyDescent="0.3">
      <c r="A11" t="s">
        <v>47</v>
      </c>
      <c r="B11" s="2">
        <v>32.894865943776672</v>
      </c>
      <c r="C11">
        <v>23.52</v>
      </c>
      <c r="D11" s="2">
        <f t="shared" si="0"/>
        <v>25.157993473800403</v>
      </c>
    </row>
    <row r="12" spans="1:4" x14ac:dyDescent="0.3">
      <c r="A12" t="s">
        <v>47</v>
      </c>
      <c r="B12" s="2">
        <v>30.23880870084605</v>
      </c>
      <c r="C12">
        <v>23.52</v>
      </c>
      <c r="D12" s="2">
        <f t="shared" si="0"/>
        <v>23.126640894407061</v>
      </c>
    </row>
    <row r="13" spans="1:4" x14ac:dyDescent="0.3">
      <c r="A13" t="s">
        <v>47</v>
      </c>
      <c r="B13" s="2">
        <v>33.142202169295871</v>
      </c>
      <c r="C13">
        <v>23.52</v>
      </c>
      <c r="D13" s="2">
        <f t="shared" si="0"/>
        <v>25.347156219077483</v>
      </c>
    </row>
    <row r="14" spans="1:4" x14ac:dyDescent="0.3">
      <c r="A14" t="s">
        <v>48</v>
      </c>
      <c r="B14" s="2">
        <v>34.506079424308339</v>
      </c>
      <c r="C14">
        <v>21.91</v>
      </c>
      <c r="D14" s="2">
        <f t="shared" si="0"/>
        <v>26.945797422442382</v>
      </c>
    </row>
    <row r="15" spans="1:4" x14ac:dyDescent="0.3">
      <c r="A15" t="s">
        <v>48</v>
      </c>
      <c r="B15" s="2">
        <v>32.412819236402257</v>
      </c>
      <c r="C15">
        <v>21.91</v>
      </c>
      <c r="D15" s="2">
        <f t="shared" si="0"/>
        <v>25.311170541706524</v>
      </c>
    </row>
    <row r="16" spans="1:4" x14ac:dyDescent="0.3">
      <c r="A16" t="s">
        <v>48</v>
      </c>
      <c r="B16" s="2">
        <v>33.904268635897928</v>
      </c>
      <c r="C16">
        <v>21.91</v>
      </c>
      <c r="D16" s="2">
        <f t="shared" si="0"/>
        <v>26.475843377772694</v>
      </c>
    </row>
    <row r="17" spans="1:4" x14ac:dyDescent="0.3">
      <c r="A17" t="s">
        <v>48</v>
      </c>
      <c r="B17" s="2">
        <v>33.014630024812668</v>
      </c>
      <c r="C17">
        <v>21.91</v>
      </c>
      <c r="D17" s="2">
        <f t="shared" si="0"/>
        <v>25.781124586376212</v>
      </c>
    </row>
    <row r="18" spans="1:4" x14ac:dyDescent="0.3">
      <c r="A18" t="s">
        <v>49</v>
      </c>
      <c r="B18" s="2">
        <v>31.819527445168596</v>
      </c>
      <c r="C18">
        <v>25.58</v>
      </c>
      <c r="D18" s="2">
        <f t="shared" si="0"/>
        <v>23.680092324694471</v>
      </c>
    </row>
    <row r="19" spans="1:4" x14ac:dyDescent="0.3">
      <c r="A19" t="s">
        <v>49</v>
      </c>
      <c r="B19" s="2">
        <v>33.287463668188117</v>
      </c>
      <c r="C19">
        <v>25.58</v>
      </c>
      <c r="D19" s="2">
        <f t="shared" si="0"/>
        <v>24.7725304618656</v>
      </c>
    </row>
    <row r="20" spans="1:4" x14ac:dyDescent="0.3">
      <c r="A20" t="s">
        <v>49</v>
      </c>
      <c r="B20" s="2">
        <v>32.427035495651644</v>
      </c>
      <c r="C20">
        <v>25.58</v>
      </c>
      <c r="D20" s="2">
        <f t="shared" si="0"/>
        <v>24.132199815863956</v>
      </c>
    </row>
    <row r="21" spans="1:4" x14ac:dyDescent="0.3">
      <c r="A21" t="s">
        <v>49</v>
      </c>
      <c r="B21" s="2">
        <v>32.679955617705062</v>
      </c>
      <c r="C21">
        <v>25.58</v>
      </c>
      <c r="D21" s="2">
        <f t="shared" si="0"/>
        <v>24.320422970696107</v>
      </c>
    </row>
    <row r="22" spans="1:4" x14ac:dyDescent="0.3">
      <c r="A22" t="s">
        <v>50</v>
      </c>
      <c r="B22" s="2">
        <v>31.19256068513862</v>
      </c>
      <c r="C22">
        <v>24.14</v>
      </c>
      <c r="D22" s="2">
        <f t="shared" si="0"/>
        <v>23.662676535746158</v>
      </c>
    </row>
    <row r="23" spans="1:4" x14ac:dyDescent="0.3">
      <c r="A23" t="s">
        <v>50</v>
      </c>
      <c r="B23" s="2">
        <v>30.626631068351156</v>
      </c>
      <c r="C23">
        <v>24.14</v>
      </c>
      <c r="D23" s="2">
        <f t="shared" si="0"/>
        <v>23.233362328451186</v>
      </c>
    </row>
    <row r="24" spans="1:4" x14ac:dyDescent="0.3">
      <c r="A24" t="s">
        <v>50</v>
      </c>
      <c r="B24" s="2">
        <v>30.988737773517173</v>
      </c>
      <c r="C24">
        <v>24.14</v>
      </c>
      <c r="D24" s="2">
        <f t="shared" si="0"/>
        <v>23.508056474990127</v>
      </c>
    </row>
    <row r="25" spans="1:4" x14ac:dyDescent="0.3">
      <c r="A25" t="s">
        <v>50</v>
      </c>
      <c r="B25" s="2">
        <v>30.830453979972599</v>
      </c>
      <c r="C25">
        <v>24.14</v>
      </c>
      <c r="D25" s="2">
        <f t="shared" si="0"/>
        <v>23.387982389207213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97170-3040-42B0-A3A3-09188FCCDE37}">
  <dimension ref="A2:S8"/>
  <sheetViews>
    <sheetView workbookViewId="0">
      <selection activeCell="I29" sqref="I29"/>
    </sheetView>
  </sheetViews>
  <sheetFormatPr defaultRowHeight="14.4" x14ac:dyDescent="0.3"/>
  <sheetData>
    <row r="2" spans="1:19" x14ac:dyDescent="0.3">
      <c r="B2" t="s">
        <v>76</v>
      </c>
      <c r="C2" t="s">
        <v>77</v>
      </c>
      <c r="D2" t="s">
        <v>78</v>
      </c>
      <c r="E2" t="s">
        <v>79</v>
      </c>
      <c r="F2" t="s">
        <v>80</v>
      </c>
      <c r="K2" t="s">
        <v>76</v>
      </c>
      <c r="L2" t="s">
        <v>81</v>
      </c>
      <c r="P2" t="s">
        <v>45</v>
      </c>
      <c r="Q2">
        <v>24.84</v>
      </c>
      <c r="R2" t="s">
        <v>94</v>
      </c>
      <c r="S2">
        <v>0.3034249</v>
      </c>
    </row>
    <row r="3" spans="1:19" x14ac:dyDescent="0.3">
      <c r="A3" t="s">
        <v>50</v>
      </c>
      <c r="B3">
        <v>23.447500000000002</v>
      </c>
      <c r="C3">
        <v>0.1822773</v>
      </c>
      <c r="D3">
        <v>4</v>
      </c>
      <c r="E3">
        <v>23.23</v>
      </c>
      <c r="F3">
        <v>23.66</v>
      </c>
      <c r="K3" t="s">
        <v>48</v>
      </c>
      <c r="L3">
        <v>26.13</v>
      </c>
      <c r="M3" t="s">
        <v>82</v>
      </c>
      <c r="N3">
        <v>0.72796519999999998</v>
      </c>
      <c r="P3" t="s">
        <v>46</v>
      </c>
      <c r="Q3">
        <v>19.53</v>
      </c>
      <c r="R3" t="s">
        <v>89</v>
      </c>
      <c r="S3">
        <v>0.48027769999999997</v>
      </c>
    </row>
    <row r="4" spans="1:19" x14ac:dyDescent="0.3">
      <c r="A4" t="s">
        <v>49</v>
      </c>
      <c r="B4">
        <v>24.225000000000001</v>
      </c>
      <c r="C4">
        <v>0.4517005</v>
      </c>
      <c r="D4">
        <v>4</v>
      </c>
      <c r="E4">
        <v>23.68</v>
      </c>
      <c r="F4">
        <v>24.77</v>
      </c>
      <c r="K4" t="s">
        <v>45</v>
      </c>
      <c r="L4">
        <v>24.84</v>
      </c>
      <c r="M4" t="s">
        <v>83</v>
      </c>
      <c r="N4">
        <v>0.3034249</v>
      </c>
      <c r="P4" t="s">
        <v>47</v>
      </c>
      <c r="Q4">
        <v>24.24</v>
      </c>
      <c r="R4" t="s">
        <v>95</v>
      </c>
      <c r="S4">
        <v>1.1771434000000001</v>
      </c>
    </row>
    <row r="5" spans="1:19" x14ac:dyDescent="0.3">
      <c r="A5" t="s">
        <v>48</v>
      </c>
      <c r="B5">
        <v>26.13</v>
      </c>
      <c r="C5">
        <v>0.72796519999999998</v>
      </c>
      <c r="D5">
        <v>4</v>
      </c>
      <c r="E5">
        <v>25.31</v>
      </c>
      <c r="F5">
        <v>26.95</v>
      </c>
      <c r="K5" t="s">
        <v>47</v>
      </c>
      <c r="L5">
        <v>24.24</v>
      </c>
      <c r="M5" t="s">
        <v>93</v>
      </c>
      <c r="N5">
        <v>1.1771434000000001</v>
      </c>
      <c r="P5" t="s">
        <v>48</v>
      </c>
      <c r="Q5">
        <v>26.13</v>
      </c>
      <c r="R5" t="s">
        <v>96</v>
      </c>
      <c r="S5">
        <v>0.72796519999999998</v>
      </c>
    </row>
    <row r="6" spans="1:19" x14ac:dyDescent="0.3">
      <c r="A6" t="s">
        <v>45</v>
      </c>
      <c r="B6">
        <v>24.84</v>
      </c>
      <c r="C6">
        <v>0.3034249</v>
      </c>
      <c r="D6">
        <v>4</v>
      </c>
      <c r="E6">
        <v>24.5</v>
      </c>
      <c r="F6">
        <v>25.18</v>
      </c>
      <c r="K6" t="s">
        <v>49</v>
      </c>
      <c r="L6">
        <v>24.225000000000001</v>
      </c>
      <c r="M6" t="s">
        <v>93</v>
      </c>
      <c r="N6">
        <v>0.4517005</v>
      </c>
      <c r="P6" t="s">
        <v>49</v>
      </c>
      <c r="Q6">
        <v>24.23</v>
      </c>
      <c r="R6" t="s">
        <v>95</v>
      </c>
      <c r="S6">
        <v>0.4517005</v>
      </c>
    </row>
    <row r="7" spans="1:19" x14ac:dyDescent="0.3">
      <c r="A7" t="s">
        <v>46</v>
      </c>
      <c r="B7">
        <v>19.53</v>
      </c>
      <c r="C7">
        <v>0.48027769999999997</v>
      </c>
      <c r="D7">
        <v>4</v>
      </c>
      <c r="E7">
        <v>18.97</v>
      </c>
      <c r="F7">
        <v>20.09</v>
      </c>
      <c r="K7" t="s">
        <v>50</v>
      </c>
      <c r="L7">
        <v>23.447500000000002</v>
      </c>
      <c r="M7" t="s">
        <v>84</v>
      </c>
      <c r="N7">
        <v>0.1822773</v>
      </c>
      <c r="P7" t="s">
        <v>50</v>
      </c>
      <c r="Q7">
        <v>23.45</v>
      </c>
      <c r="R7" t="s">
        <v>90</v>
      </c>
      <c r="S7">
        <v>0.1822773</v>
      </c>
    </row>
    <row r="8" spans="1:19" x14ac:dyDescent="0.3">
      <c r="A8" t="s">
        <v>47</v>
      </c>
      <c r="B8">
        <v>24.24</v>
      </c>
      <c r="C8">
        <v>1.1771434000000001</v>
      </c>
      <c r="D8">
        <v>4</v>
      </c>
      <c r="E8">
        <v>23.13</v>
      </c>
      <c r="F8">
        <v>25.35</v>
      </c>
      <c r="K8" t="s">
        <v>46</v>
      </c>
      <c r="L8">
        <v>19.53</v>
      </c>
      <c r="M8" t="s">
        <v>85</v>
      </c>
      <c r="N8">
        <v>0.48027769999999997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8A55E-25A7-4C4B-A7CE-2BF1E2901993}">
  <dimension ref="A1:Z41"/>
  <sheetViews>
    <sheetView tabSelected="1" topLeftCell="A16" workbookViewId="0">
      <selection activeCell="F18" sqref="F18"/>
    </sheetView>
  </sheetViews>
  <sheetFormatPr defaultRowHeight="14.4" x14ac:dyDescent="0.3"/>
  <sheetData>
    <row r="1" spans="1:26" x14ac:dyDescent="0.3">
      <c r="A1" t="s">
        <v>2</v>
      </c>
      <c r="B1" t="s">
        <v>10</v>
      </c>
      <c r="C1" t="s">
        <v>6</v>
      </c>
      <c r="D1" t="s">
        <v>7</v>
      </c>
      <c r="G1" t="s">
        <v>24</v>
      </c>
      <c r="I1" t="s">
        <v>26</v>
      </c>
      <c r="K1" t="s">
        <v>27</v>
      </c>
      <c r="M1" s="8" t="s">
        <v>28</v>
      </c>
      <c r="N1" s="8"/>
      <c r="O1" s="8"/>
      <c r="P1" s="8"/>
      <c r="Q1" s="8" t="s">
        <v>29</v>
      </c>
      <c r="R1" s="8"/>
      <c r="S1" s="8"/>
      <c r="T1" s="8"/>
    </row>
    <row r="2" spans="1:26" x14ac:dyDescent="0.3">
      <c r="A2" t="s">
        <v>3</v>
      </c>
      <c r="B2">
        <v>201.3</v>
      </c>
      <c r="C2">
        <v>6.5000000000000002E-2</v>
      </c>
      <c r="D2">
        <v>7.1999999999999995E-2</v>
      </c>
      <c r="E2">
        <f t="shared" ref="E2:E13" si="0">(C2-Intercept.A.K)/Slope.A.K</f>
        <v>2.573841367327973E-3</v>
      </c>
      <c r="F2">
        <f t="shared" ref="F2:F13" si="1">(D2-Intercept.A.K)/Slope.A.K</f>
        <v>2.8566810780233545E-3</v>
      </c>
      <c r="G2" s="2">
        <f>425*E2/3</f>
        <v>0.36462752703812956</v>
      </c>
      <c r="H2" s="2">
        <f>425*F2/3</f>
        <v>0.4046964860533086</v>
      </c>
      <c r="I2" s="2">
        <f>3.90391916-G2</f>
        <v>3.5392916329618704</v>
      </c>
      <c r="J2" s="2">
        <f>3.90391916-H2</f>
        <v>3.4992226739466914</v>
      </c>
      <c r="K2">
        <f>I2*12*1000/B2</f>
        <v>210.98608840309211</v>
      </c>
      <c r="L2">
        <f>J2*12*1000/B2</f>
        <v>208.59747683735864</v>
      </c>
      <c r="M2" s="2">
        <f>K2-K3</f>
        <v>41.51671063095003</v>
      </c>
      <c r="N2" s="2">
        <f>L2-L3</f>
        <v>38.436922958949481</v>
      </c>
      <c r="O2" s="2">
        <f>K2-L3</f>
        <v>40.825534524682951</v>
      </c>
      <c r="P2" s="2">
        <f>L2-K3</f>
        <v>39.12809906521656</v>
      </c>
      <c r="Q2" s="2">
        <f>M2*146.2/1000</f>
        <v>6.0697430942448936</v>
      </c>
      <c r="R2" s="2">
        <f t="shared" ref="R2:T2" si="2">N2*146.2/1000</f>
        <v>5.6194781365984134</v>
      </c>
      <c r="S2" s="2">
        <f t="shared" si="2"/>
        <v>5.9686931475086471</v>
      </c>
      <c r="T2" s="2">
        <f t="shared" si="2"/>
        <v>5.7205280833346608</v>
      </c>
      <c r="V2" s="2">
        <f>Q2*(100-24.44)/100</f>
        <v>4.5862978820114417</v>
      </c>
      <c r="W2" s="2">
        <f t="shared" ref="W2:Y2" si="3">R2*(100-24.44)/100</f>
        <v>4.2460776800137614</v>
      </c>
      <c r="X2" s="2">
        <f t="shared" si="3"/>
        <v>4.5099445422575339</v>
      </c>
      <c r="Y2" s="2">
        <f t="shared" si="3"/>
        <v>4.3224310197676701</v>
      </c>
      <c r="Z2" s="2"/>
    </row>
    <row r="3" spans="1:26" x14ac:dyDescent="0.3">
      <c r="A3" t="s">
        <v>4</v>
      </c>
      <c r="B3">
        <v>201.1</v>
      </c>
      <c r="C3">
        <v>0.185</v>
      </c>
      <c r="D3">
        <v>0.183</v>
      </c>
      <c r="E3">
        <f t="shared" si="0"/>
        <v>7.4225221221059443E-3</v>
      </c>
      <c r="F3">
        <f t="shared" si="1"/>
        <v>7.3417107761929775E-3</v>
      </c>
      <c r="G3" s="2">
        <f>430*E3/3</f>
        <v>1.063894837501852</v>
      </c>
      <c r="H3" s="2">
        <f>430*F3/3</f>
        <v>1.0523118779209935</v>
      </c>
      <c r="I3" s="2">
        <f t="shared" ref="I3:I13" si="4">3.90391916-G3</f>
        <v>2.8400243224981478</v>
      </c>
      <c r="J3" s="2">
        <f t="shared" ref="J3:J13" si="5">3.90391916-H3</f>
        <v>2.8516072820790068</v>
      </c>
      <c r="K3">
        <f t="shared" ref="K3:K13" si="6">I3*12*1000/B3</f>
        <v>169.46937777214208</v>
      </c>
      <c r="L3">
        <f t="shared" ref="L3:L13" si="7">J3*12*1000/B3</f>
        <v>170.16055387840916</v>
      </c>
      <c r="M3" s="2"/>
      <c r="N3" s="2"/>
      <c r="O3" s="2"/>
      <c r="P3" s="2"/>
      <c r="Q3" s="2"/>
      <c r="R3" s="2"/>
      <c r="S3" s="2"/>
      <c r="T3" s="2"/>
      <c r="V3" s="2"/>
      <c r="W3" s="2"/>
      <c r="X3" s="2"/>
      <c r="Y3" s="2"/>
    </row>
    <row r="4" spans="1:26" x14ac:dyDescent="0.3">
      <c r="A4" t="s">
        <v>5</v>
      </c>
      <c r="B4">
        <v>196.3</v>
      </c>
      <c r="C4">
        <v>5.7000000000000002E-2</v>
      </c>
      <c r="D4">
        <v>6.6000000000000003E-2</v>
      </c>
      <c r="E4">
        <f t="shared" si="0"/>
        <v>2.2505959836761082E-3</v>
      </c>
      <c r="F4">
        <f t="shared" si="1"/>
        <v>2.6142470402844564E-3</v>
      </c>
      <c r="G4" s="2">
        <f t="shared" ref="G4" si="8">425*E4/3</f>
        <v>0.31883443102078196</v>
      </c>
      <c r="H4" s="2">
        <f t="shared" ref="H4" si="9">425*F4/3</f>
        <v>0.37035166404029801</v>
      </c>
      <c r="I4" s="2">
        <f t="shared" si="4"/>
        <v>3.585084728979218</v>
      </c>
      <c r="J4" s="2">
        <f t="shared" si="5"/>
        <v>3.5335674959597019</v>
      </c>
      <c r="K4">
        <f t="shared" si="6"/>
        <v>219.15953513882124</v>
      </c>
      <c r="L4">
        <f t="shared" si="7"/>
        <v>216.01023918245755</v>
      </c>
      <c r="M4" s="2">
        <f t="shared" ref="M4" si="10">K4-K5</f>
        <v>43.951565225927936</v>
      </c>
      <c r="N4" s="2">
        <f t="shared" ref="N4" si="11">L4-L5</f>
        <v>42.574267165666981</v>
      </c>
      <c r="O4" s="2">
        <f t="shared" ref="O4" si="12">K4-L5</f>
        <v>45.723563122030669</v>
      </c>
      <c r="P4" s="2">
        <f t="shared" ref="P4" si="13">L4-K5</f>
        <v>40.802269269564249</v>
      </c>
      <c r="Q4" s="2">
        <f t="shared" ref="Q4" si="14">M4*146.2/1000</f>
        <v>6.4257188360306632</v>
      </c>
      <c r="R4" s="2">
        <f t="shared" ref="R4" si="15">N4*146.2/1000</f>
        <v>6.2243578596205129</v>
      </c>
      <c r="S4" s="2">
        <f t="shared" ref="S4" si="16">O4*146.2/1000</f>
        <v>6.6847849284408829</v>
      </c>
      <c r="T4" s="2">
        <f t="shared" ref="T4" si="17">P4*146.2/1000</f>
        <v>5.9652917672102932</v>
      </c>
      <c r="V4" s="2">
        <f t="shared" ref="V4:V12" si="18">Q4*(100-24.44)/100</f>
        <v>4.8552731525047692</v>
      </c>
      <c r="W4" s="2">
        <f t="shared" ref="W4:W12" si="19">R4*(100-24.44)/100</f>
        <v>4.7031247987292595</v>
      </c>
      <c r="X4" s="2">
        <f t="shared" ref="X4:X12" si="20">S4*(100-24.44)/100</f>
        <v>5.0510234919299313</v>
      </c>
      <c r="Y4" s="2">
        <f t="shared" ref="Y4:Y12" si="21">T4*(100-24.44)/100</f>
        <v>4.5073744593040974</v>
      </c>
    </row>
    <row r="5" spans="1:26" x14ac:dyDescent="0.3">
      <c r="A5" t="s">
        <v>11</v>
      </c>
      <c r="B5">
        <v>196.1</v>
      </c>
      <c r="C5">
        <v>0.18099999999999999</v>
      </c>
      <c r="D5">
        <v>0.186</v>
      </c>
      <c r="E5">
        <f t="shared" si="0"/>
        <v>7.2608994302800116E-3</v>
      </c>
      <c r="F5">
        <f t="shared" si="1"/>
        <v>7.4629277950624276E-3</v>
      </c>
      <c r="G5" s="2">
        <f t="shared" ref="G5" si="22">430*E5/3</f>
        <v>1.0407289183401349</v>
      </c>
      <c r="H5" s="2">
        <f t="shared" ref="H5" si="23">430*F5/3</f>
        <v>1.0696863172922813</v>
      </c>
      <c r="I5" s="2">
        <f t="shared" si="4"/>
        <v>2.8631902416598649</v>
      </c>
      <c r="J5" s="2">
        <f t="shared" si="5"/>
        <v>2.8342328427077188</v>
      </c>
      <c r="K5">
        <f t="shared" si="6"/>
        <v>175.2079699128933</v>
      </c>
      <c r="L5">
        <f t="shared" si="7"/>
        <v>173.43597201679057</v>
      </c>
      <c r="M5" s="2"/>
      <c r="N5" s="2"/>
      <c r="O5" s="2"/>
      <c r="P5" s="2"/>
      <c r="Q5" s="2"/>
      <c r="R5" s="2"/>
      <c r="S5" s="2"/>
      <c r="T5" s="2"/>
      <c r="V5" s="2"/>
      <c r="W5" s="2"/>
      <c r="X5" s="2"/>
      <c r="Y5" s="2"/>
    </row>
    <row r="6" spans="1:26" x14ac:dyDescent="0.3">
      <c r="A6" t="s">
        <v>12</v>
      </c>
      <c r="B6">
        <v>200.2</v>
      </c>
      <c r="C6">
        <v>7.9000000000000001E-2</v>
      </c>
      <c r="D6">
        <v>8.2000000000000003E-2</v>
      </c>
      <c r="E6">
        <f t="shared" si="0"/>
        <v>3.1395207887187364E-3</v>
      </c>
      <c r="F6">
        <f t="shared" si="1"/>
        <v>3.2607378075881857E-3</v>
      </c>
      <c r="G6" s="2">
        <f t="shared" ref="G6" si="24">425*E6/3</f>
        <v>0.44476544506848764</v>
      </c>
      <c r="H6" s="2">
        <f t="shared" ref="H6" si="25">425*F6/3</f>
        <v>0.46193785607499294</v>
      </c>
      <c r="I6" s="2">
        <f t="shared" si="4"/>
        <v>3.4591537149315124</v>
      </c>
      <c r="J6" s="2">
        <f t="shared" si="5"/>
        <v>3.4419813039250071</v>
      </c>
      <c r="K6">
        <f t="shared" si="6"/>
        <v>207.34188101487587</v>
      </c>
      <c r="L6">
        <f t="shared" si="7"/>
        <v>206.3125656698306</v>
      </c>
      <c r="M6" s="2">
        <f t="shared" ref="M6" si="26">K6-K7</f>
        <v>45.636261515102149</v>
      </c>
      <c r="N6" s="2">
        <f t="shared" ref="N6" si="27">L6-L7</f>
        <v>47.368903745224287</v>
      </c>
      <c r="O6" s="2">
        <f t="shared" ref="O6" si="28">K6-L7</f>
        <v>48.398219090269549</v>
      </c>
      <c r="P6" s="2">
        <f t="shared" ref="P6" si="29">L6-K7</f>
        <v>44.606946170056887</v>
      </c>
      <c r="Q6" s="2">
        <f t="shared" ref="Q6" si="30">M6*146.2/1000</f>
        <v>6.6720214335079335</v>
      </c>
      <c r="R6" s="2">
        <f t="shared" ref="R6" si="31">N6*146.2/1000</f>
        <v>6.9253337275517906</v>
      </c>
      <c r="S6" s="2">
        <f t="shared" ref="S6" si="32">O6*146.2/1000</f>
        <v>7.0758196309974073</v>
      </c>
      <c r="T6" s="2">
        <f t="shared" ref="T6" si="33">P6*146.2/1000</f>
        <v>6.5215355300623159</v>
      </c>
      <c r="V6" s="2">
        <f t="shared" si="18"/>
        <v>5.0413793951585948</v>
      </c>
      <c r="W6" s="2">
        <f t="shared" si="19"/>
        <v>5.2327821645381336</v>
      </c>
      <c r="X6" s="2">
        <f t="shared" si="20"/>
        <v>5.3464893131816416</v>
      </c>
      <c r="Y6" s="2">
        <f t="shared" si="21"/>
        <v>4.927672246515086</v>
      </c>
    </row>
    <row r="7" spans="1:26" x14ac:dyDescent="0.3">
      <c r="A7" t="s">
        <v>13</v>
      </c>
      <c r="B7">
        <v>201.3</v>
      </c>
      <c r="C7">
        <v>0.20699999999999999</v>
      </c>
      <c r="D7">
        <v>0.215</v>
      </c>
      <c r="E7">
        <f t="shared" si="0"/>
        <v>8.3114469271485716E-3</v>
      </c>
      <c r="F7">
        <f t="shared" si="1"/>
        <v>8.6346923108004368E-3</v>
      </c>
      <c r="G7" s="2">
        <f t="shared" ref="G7" si="34">430*E7/3</f>
        <v>1.1913073928912954</v>
      </c>
      <c r="H7" s="2">
        <f t="shared" ref="H7" si="35">430*F7/3</f>
        <v>1.2376392312147293</v>
      </c>
      <c r="I7" s="2">
        <f t="shared" si="4"/>
        <v>2.7126117671087044</v>
      </c>
      <c r="J7" s="2">
        <f t="shared" si="5"/>
        <v>2.6662799287852708</v>
      </c>
      <c r="K7">
        <f t="shared" si="6"/>
        <v>161.70561949977372</v>
      </c>
      <c r="L7">
        <f t="shared" si="7"/>
        <v>158.94366192460632</v>
      </c>
      <c r="M7" s="2"/>
      <c r="N7" s="2"/>
      <c r="O7" s="2"/>
      <c r="P7" s="2"/>
      <c r="Q7" s="2"/>
      <c r="R7" s="2"/>
      <c r="S7" s="2"/>
      <c r="T7" s="2"/>
      <c r="V7" s="2"/>
      <c r="W7" s="2"/>
      <c r="X7" s="2"/>
      <c r="Y7" s="2"/>
    </row>
    <row r="8" spans="1:26" x14ac:dyDescent="0.3">
      <c r="A8" t="s">
        <v>14</v>
      </c>
      <c r="B8">
        <v>208.5</v>
      </c>
      <c r="C8">
        <v>6.2E-2</v>
      </c>
      <c r="D8">
        <v>6.6000000000000003E-2</v>
      </c>
      <c r="E8">
        <f t="shared" si="0"/>
        <v>2.4526243484585238E-3</v>
      </c>
      <c r="F8">
        <f t="shared" si="1"/>
        <v>2.6142470402844564E-3</v>
      </c>
      <c r="G8" s="2">
        <f t="shared" ref="G8" si="36">425*E8/3</f>
        <v>0.34745511603162421</v>
      </c>
      <c r="H8" s="2">
        <f t="shared" ref="H8" si="37">425*F8/3</f>
        <v>0.37035166404029801</v>
      </c>
      <c r="I8" s="2">
        <f t="shared" si="4"/>
        <v>3.5564640439683757</v>
      </c>
      <c r="J8" s="2">
        <f t="shared" si="5"/>
        <v>3.5335674959597019</v>
      </c>
      <c r="K8">
        <f t="shared" si="6"/>
        <v>204.68857807012236</v>
      </c>
      <c r="L8">
        <f t="shared" si="7"/>
        <v>203.37079113437133</v>
      </c>
      <c r="M8" s="2">
        <f t="shared" ref="M8" si="38">K8-K9</f>
        <v>35.326617401950699</v>
      </c>
      <c r="N8" s="2">
        <f t="shared" ref="N8" si="39">L8-L9</f>
        <v>35.711372295821207</v>
      </c>
      <c r="O8" s="2">
        <f t="shared" ref="O8" si="40">K8-L9</f>
        <v>37.029159231572237</v>
      </c>
      <c r="P8" s="2">
        <f t="shared" ref="P8" si="41">L8-K9</f>
        <v>34.008830466199669</v>
      </c>
      <c r="Q8" s="2">
        <f t="shared" ref="Q8" si="42">M8*146.2/1000</f>
        <v>5.1647514641651915</v>
      </c>
      <c r="R8" s="2">
        <f t="shared" ref="R8" si="43">N8*146.2/1000</f>
        <v>5.2210026296490595</v>
      </c>
      <c r="S8" s="2">
        <f t="shared" ref="S8" si="44">O8*146.2/1000</f>
        <v>5.4136630796558602</v>
      </c>
      <c r="T8" s="2">
        <f t="shared" ref="T8" si="45">P8*146.2/1000</f>
        <v>4.9720910141583907</v>
      </c>
      <c r="V8" s="2">
        <f t="shared" si="18"/>
        <v>3.9024862063232191</v>
      </c>
      <c r="W8" s="2">
        <f t="shared" si="19"/>
        <v>3.9449895869628295</v>
      </c>
      <c r="X8" s="2">
        <f t="shared" si="20"/>
        <v>4.0905638229879679</v>
      </c>
      <c r="Y8" s="2">
        <f t="shared" si="21"/>
        <v>3.7569119702980798</v>
      </c>
    </row>
    <row r="9" spans="1:26" x14ac:dyDescent="0.3">
      <c r="A9" t="s">
        <v>15</v>
      </c>
      <c r="B9">
        <v>204.1</v>
      </c>
      <c r="C9">
        <v>0.17799999999999999</v>
      </c>
      <c r="D9">
        <v>0.183</v>
      </c>
      <c r="E9">
        <f t="shared" si="0"/>
        <v>7.1396824114105624E-3</v>
      </c>
      <c r="F9">
        <f t="shared" si="1"/>
        <v>7.3417107761929775E-3</v>
      </c>
      <c r="G9" s="2">
        <f t="shared" ref="G9" si="46">430*E9/3</f>
        <v>1.0233544789688473</v>
      </c>
      <c r="H9" s="2">
        <f t="shared" ref="H9" si="47">430*F9/3</f>
        <v>1.0523118779209935</v>
      </c>
      <c r="I9" s="2">
        <f t="shared" si="4"/>
        <v>2.8805646810311529</v>
      </c>
      <c r="J9" s="2">
        <f t="shared" si="5"/>
        <v>2.8516072820790068</v>
      </c>
      <c r="K9">
        <f t="shared" si="6"/>
        <v>169.36196066817166</v>
      </c>
      <c r="L9">
        <f t="shared" si="7"/>
        <v>167.65941883855012</v>
      </c>
      <c r="M9" s="2"/>
      <c r="N9" s="2"/>
      <c r="O9" s="2"/>
      <c r="P9" s="2"/>
      <c r="Q9" s="2"/>
      <c r="R9" s="2"/>
      <c r="S9" s="2"/>
      <c r="T9" s="2"/>
      <c r="V9" s="2"/>
      <c r="W9" s="2"/>
      <c r="X9" s="2"/>
      <c r="Y9" s="2"/>
    </row>
    <row r="10" spans="1:26" x14ac:dyDescent="0.3">
      <c r="A10" t="s">
        <v>16</v>
      </c>
      <c r="B10">
        <v>202.4</v>
      </c>
      <c r="C10">
        <v>5.3999999999999999E-2</v>
      </c>
      <c r="D10">
        <v>5.1999999999999998E-2</v>
      </c>
      <c r="E10">
        <f t="shared" si="0"/>
        <v>2.129378964806659E-3</v>
      </c>
      <c r="F10">
        <f t="shared" si="1"/>
        <v>2.0485676188936926E-3</v>
      </c>
      <c r="G10" s="2">
        <f t="shared" ref="G10" si="48">425*E10/3</f>
        <v>0.30166202001427672</v>
      </c>
      <c r="H10" s="2">
        <f t="shared" ref="H10" si="49">425*F10/3</f>
        <v>0.29021374600993982</v>
      </c>
      <c r="I10" s="2">
        <f t="shared" si="4"/>
        <v>3.6022571399857233</v>
      </c>
      <c r="J10" s="2">
        <f t="shared" si="5"/>
        <v>3.6137054139900604</v>
      </c>
      <c r="K10">
        <f t="shared" si="6"/>
        <v>213.57255770666342</v>
      </c>
      <c r="L10">
        <f t="shared" si="7"/>
        <v>214.25130912984545</v>
      </c>
      <c r="M10" s="2">
        <f t="shared" ref="M10" si="50">K10-K11</f>
        <v>35.784940011986322</v>
      </c>
      <c r="N10" s="2">
        <f t="shared" ref="N10" si="51">L10-L11</f>
        <v>32.987065247817156</v>
      </c>
      <c r="O10" s="2">
        <f t="shared" ref="O10" si="52">K10-L11</f>
        <v>32.308313824635121</v>
      </c>
      <c r="P10" s="2">
        <f t="shared" ref="P10" si="53">L10-K11</f>
        <v>36.463691435168357</v>
      </c>
      <c r="Q10" s="2">
        <f t="shared" ref="Q10" si="54">M10*146.2/1000</f>
        <v>5.2317582297523995</v>
      </c>
      <c r="R10" s="2">
        <f t="shared" ref="R10" si="55">N10*146.2/1000</f>
        <v>4.8227089392308677</v>
      </c>
      <c r="S10" s="2">
        <f t="shared" ref="S10" si="56">O10*146.2/1000</f>
        <v>4.7234754811616542</v>
      </c>
      <c r="T10" s="2">
        <f t="shared" ref="T10" si="57">P10*146.2/1000</f>
        <v>5.3309916878216139</v>
      </c>
      <c r="V10" s="2">
        <f t="shared" si="18"/>
        <v>3.9531165184009129</v>
      </c>
      <c r="W10" s="2">
        <f t="shared" si="19"/>
        <v>3.6440388744828436</v>
      </c>
      <c r="X10" s="2">
        <f t="shared" si="20"/>
        <v>3.569058073565746</v>
      </c>
      <c r="Y10" s="2">
        <f t="shared" si="21"/>
        <v>4.028097319318011</v>
      </c>
    </row>
    <row r="11" spans="1:26" x14ac:dyDescent="0.3">
      <c r="A11" t="s">
        <v>17</v>
      </c>
      <c r="B11">
        <v>199.9</v>
      </c>
      <c r="C11">
        <v>0.16400000000000001</v>
      </c>
      <c r="D11">
        <v>0.154</v>
      </c>
      <c r="E11">
        <f t="shared" si="0"/>
        <v>6.5740029900197994E-3</v>
      </c>
      <c r="F11">
        <f t="shared" si="1"/>
        <v>6.1699462604549683E-3</v>
      </c>
      <c r="G11" s="2">
        <f t="shared" ref="G11" si="58">430*E11/3</f>
        <v>0.94227376190283785</v>
      </c>
      <c r="H11" s="2">
        <f t="shared" ref="H11" si="59">430*F11/3</f>
        <v>0.88435896399854552</v>
      </c>
      <c r="I11" s="2">
        <f t="shared" si="4"/>
        <v>2.9616453980971622</v>
      </c>
      <c r="J11" s="2">
        <f t="shared" si="5"/>
        <v>3.0195601960014544</v>
      </c>
      <c r="K11">
        <f t="shared" si="6"/>
        <v>177.7876176946771</v>
      </c>
      <c r="L11">
        <f t="shared" si="7"/>
        <v>181.2642438820283</v>
      </c>
      <c r="M11" s="2"/>
      <c r="N11" s="2"/>
      <c r="O11" s="2"/>
      <c r="P11" s="2"/>
      <c r="Q11" s="2"/>
      <c r="R11" s="2"/>
      <c r="S11" s="2"/>
      <c r="T11" s="2"/>
      <c r="V11" s="2"/>
      <c r="W11" s="2"/>
      <c r="X11" s="2"/>
      <c r="Y11" s="2"/>
    </row>
    <row r="12" spans="1:26" x14ac:dyDescent="0.3">
      <c r="A12" t="s">
        <v>18</v>
      </c>
      <c r="B12">
        <v>201.6</v>
      </c>
      <c r="C12">
        <v>5.7000000000000002E-2</v>
      </c>
      <c r="D12">
        <v>5.3999999999999999E-2</v>
      </c>
      <c r="E12">
        <f t="shared" si="0"/>
        <v>2.2505959836761082E-3</v>
      </c>
      <c r="F12">
        <f t="shared" si="1"/>
        <v>2.129378964806659E-3</v>
      </c>
      <c r="G12" s="2">
        <f t="shared" ref="G12" si="60">425*E12/3</f>
        <v>0.31883443102078196</v>
      </c>
      <c r="H12" s="2">
        <f t="shared" ref="H12" si="61">425*F12/3</f>
        <v>0.30166202001427672</v>
      </c>
      <c r="I12" s="2">
        <f t="shared" si="4"/>
        <v>3.585084728979218</v>
      </c>
      <c r="J12" s="2">
        <f t="shared" si="5"/>
        <v>3.6022571399857233</v>
      </c>
      <c r="K12">
        <f t="shared" si="6"/>
        <v>213.39790053447723</v>
      </c>
      <c r="L12">
        <f t="shared" si="7"/>
        <v>214.42006785629306</v>
      </c>
      <c r="M12" s="2">
        <f t="shared" ref="M12" si="62">K12-K13</f>
        <v>39.694599134720619</v>
      </c>
      <c r="N12" s="2">
        <f t="shared" ref="N12" si="63">L12-L13</f>
        <v>43.108528021905443</v>
      </c>
      <c r="O12" s="2">
        <f t="shared" ref="O12" si="64">K12-L13</f>
        <v>42.086360700089614</v>
      </c>
      <c r="P12" s="2">
        <f t="shared" ref="P12" si="65">L12-K13</f>
        <v>40.716766456536448</v>
      </c>
      <c r="Q12" s="2">
        <f t="shared" ref="Q12" si="66">M12*146.2/1000</f>
        <v>5.8033503934961539</v>
      </c>
      <c r="R12" s="2">
        <f t="shared" ref="R12" si="67">N12*146.2/1000</f>
        <v>6.3024667968025749</v>
      </c>
      <c r="S12" s="2">
        <f t="shared" ref="S12" si="68">O12*146.2/1000</f>
        <v>6.1530259343531011</v>
      </c>
      <c r="T12" s="2">
        <f t="shared" ref="T12" si="69">P12*146.2/1000</f>
        <v>5.9527912559456277</v>
      </c>
      <c r="V12" s="2">
        <f t="shared" si="18"/>
        <v>4.3850115573256936</v>
      </c>
      <c r="W12" s="2">
        <f t="shared" si="19"/>
        <v>4.7621439116640252</v>
      </c>
      <c r="X12" s="2">
        <f t="shared" si="20"/>
        <v>4.6492263959972036</v>
      </c>
      <c r="Y12" s="2">
        <f t="shared" si="21"/>
        <v>4.4979290729925161</v>
      </c>
    </row>
    <row r="13" spans="1:26" x14ac:dyDescent="0.3">
      <c r="A13" t="s">
        <v>19</v>
      </c>
      <c r="B13">
        <v>203.4</v>
      </c>
      <c r="C13">
        <v>0.16700000000000001</v>
      </c>
      <c r="D13">
        <v>0.17399999999999999</v>
      </c>
      <c r="E13">
        <f t="shared" si="0"/>
        <v>6.6952200088892487E-3</v>
      </c>
      <c r="F13">
        <f t="shared" si="1"/>
        <v>6.9780597195846297E-3</v>
      </c>
      <c r="G13" s="2">
        <f t="shared" ref="G13:H13" si="70">430*E13/3</f>
        <v>0.95964820127412576</v>
      </c>
      <c r="H13" s="2">
        <f t="shared" si="70"/>
        <v>1.0001885598071303</v>
      </c>
      <c r="I13" s="2">
        <f t="shared" si="4"/>
        <v>2.9442709587258742</v>
      </c>
      <c r="J13" s="2">
        <f t="shared" si="5"/>
        <v>2.90373060019287</v>
      </c>
      <c r="K13">
        <f t="shared" si="6"/>
        <v>173.70330139975661</v>
      </c>
      <c r="L13">
        <f t="shared" si="7"/>
        <v>171.31153983438762</v>
      </c>
      <c r="M13" s="2"/>
      <c r="N13" s="2"/>
      <c r="O13" s="2"/>
      <c r="P13" s="2"/>
    </row>
    <row r="17" spans="1:10" x14ac:dyDescent="0.3">
      <c r="A17" t="s">
        <v>35</v>
      </c>
      <c r="B17" t="s">
        <v>97</v>
      </c>
      <c r="C17" t="s">
        <v>92</v>
      </c>
      <c r="D17" t="s">
        <v>76</v>
      </c>
      <c r="F17" t="s">
        <v>122</v>
      </c>
    </row>
    <row r="18" spans="1:10" x14ac:dyDescent="0.3">
      <c r="A18" t="s">
        <v>45</v>
      </c>
      <c r="B18" s="2">
        <v>6.0697430942448936</v>
      </c>
      <c r="C18" s="2">
        <v>24.33</v>
      </c>
      <c r="D18" s="2">
        <f>B18*(100-C18)/100</f>
        <v>4.5929745994151112</v>
      </c>
      <c r="E18">
        <v>78.870236929063424</v>
      </c>
      <c r="F18">
        <f>B18*100/E18</f>
        <v>7.6958600995506998</v>
      </c>
      <c r="J18" t="s">
        <v>98</v>
      </c>
    </row>
    <row r="19" spans="1:10" x14ac:dyDescent="0.3">
      <c r="A19" t="s">
        <v>45</v>
      </c>
      <c r="B19" s="2">
        <v>5.6194781365984134</v>
      </c>
      <c r="C19" s="2">
        <v>24.33</v>
      </c>
      <c r="D19" s="2">
        <f t="shared" ref="D19:D41" si="71">B19*(100-C19)/100</f>
        <v>4.2522591059640193</v>
      </c>
      <c r="E19">
        <v>78.870236929063424</v>
      </c>
      <c r="F19">
        <f t="shared" ref="F19:F41" si="72">B19*100/E19</f>
        <v>7.1249667243330599</v>
      </c>
      <c r="J19" t="s">
        <v>99</v>
      </c>
    </row>
    <row r="20" spans="1:10" x14ac:dyDescent="0.3">
      <c r="A20" t="s">
        <v>45</v>
      </c>
      <c r="B20" s="2">
        <v>5.9686931475086471</v>
      </c>
      <c r="C20" s="2">
        <v>24.33</v>
      </c>
      <c r="D20" s="2">
        <f t="shared" si="71"/>
        <v>4.516510104719794</v>
      </c>
      <c r="E20">
        <v>78.870236929063424</v>
      </c>
      <c r="F20">
        <f t="shared" si="72"/>
        <v>7.5677383255193487</v>
      </c>
      <c r="J20" t="s">
        <v>100</v>
      </c>
    </row>
    <row r="21" spans="1:10" x14ac:dyDescent="0.3">
      <c r="A21" t="s">
        <v>45</v>
      </c>
      <c r="B21" s="2">
        <v>5.7205280833346608</v>
      </c>
      <c r="C21" s="2">
        <v>24.33</v>
      </c>
      <c r="D21" s="2">
        <f t="shared" si="71"/>
        <v>4.3287236006593375</v>
      </c>
      <c r="E21">
        <v>78.870236929063424</v>
      </c>
      <c r="F21">
        <f t="shared" si="72"/>
        <v>7.2530884983644119</v>
      </c>
      <c r="J21" t="s">
        <v>101</v>
      </c>
    </row>
    <row r="22" spans="1:10" x14ac:dyDescent="0.3">
      <c r="A22" t="s">
        <v>46</v>
      </c>
      <c r="B22" s="2">
        <v>6.4257188360306632</v>
      </c>
      <c r="C22" s="2">
        <v>24.44</v>
      </c>
      <c r="D22" s="2">
        <f t="shared" si="71"/>
        <v>4.8552731525047692</v>
      </c>
      <c r="E22">
        <v>80.820187742514918</v>
      </c>
      <c r="F22">
        <f t="shared" si="72"/>
        <v>7.9506358689766534</v>
      </c>
      <c r="J22" t="s">
        <v>102</v>
      </c>
    </row>
    <row r="23" spans="1:10" x14ac:dyDescent="0.3">
      <c r="A23" t="s">
        <v>46</v>
      </c>
      <c r="B23" s="2">
        <v>6.2243578596205129</v>
      </c>
      <c r="C23" s="2">
        <v>24.44</v>
      </c>
      <c r="D23" s="2">
        <f t="shared" si="71"/>
        <v>4.7031247987292595</v>
      </c>
      <c r="E23">
        <v>80.820187742514918</v>
      </c>
      <c r="F23">
        <f t="shared" si="72"/>
        <v>7.7014889886802766</v>
      </c>
      <c r="J23" t="s">
        <v>103</v>
      </c>
    </row>
    <row r="24" spans="1:10" x14ac:dyDescent="0.3">
      <c r="A24" t="s">
        <v>46</v>
      </c>
      <c r="B24" s="2">
        <v>6.6847849284408829</v>
      </c>
      <c r="C24" s="2">
        <v>24.44</v>
      </c>
      <c r="D24" s="2">
        <f t="shared" si="71"/>
        <v>5.0510234919299313</v>
      </c>
      <c r="E24">
        <v>80.820187742514918</v>
      </c>
      <c r="F24">
        <f t="shared" si="72"/>
        <v>8.2711821330308499</v>
      </c>
      <c r="J24" t="s">
        <v>104</v>
      </c>
    </row>
    <row r="25" spans="1:10" x14ac:dyDescent="0.3">
      <c r="A25" t="s">
        <v>46</v>
      </c>
      <c r="B25" s="2">
        <v>5.9652917672102932</v>
      </c>
      <c r="C25" s="2">
        <v>24.44</v>
      </c>
      <c r="D25" s="2">
        <f t="shared" si="71"/>
        <v>4.5073744593040974</v>
      </c>
      <c r="E25">
        <v>80.820187742514918</v>
      </c>
      <c r="F25">
        <f t="shared" si="72"/>
        <v>7.3809427246260793</v>
      </c>
    </row>
    <row r="26" spans="1:10" x14ac:dyDescent="0.3">
      <c r="A26" t="s">
        <v>47</v>
      </c>
      <c r="B26" s="2">
        <v>6.6720214335079335</v>
      </c>
      <c r="C26" s="2">
        <v>25.65</v>
      </c>
      <c r="D26" s="2">
        <f t="shared" si="71"/>
        <v>4.9606479358131477</v>
      </c>
      <c r="E26">
        <v>82.030981284382435</v>
      </c>
      <c r="F26">
        <f t="shared" si="72"/>
        <v>8.1335384863647775</v>
      </c>
    </row>
    <row r="27" spans="1:10" x14ac:dyDescent="0.3">
      <c r="A27" t="s">
        <v>47</v>
      </c>
      <c r="B27" s="2">
        <v>6.9253337275517906</v>
      </c>
      <c r="C27" s="2">
        <v>25.65</v>
      </c>
      <c r="D27" s="2">
        <f t="shared" si="71"/>
        <v>5.1489856264347553</v>
      </c>
      <c r="E27">
        <v>82.030981284382435</v>
      </c>
      <c r="F27">
        <f t="shared" si="72"/>
        <v>8.4423392468551128</v>
      </c>
    </row>
    <row r="28" spans="1:10" x14ac:dyDescent="0.3">
      <c r="A28" t="s">
        <v>47</v>
      </c>
      <c r="B28" s="2">
        <v>7.0758196309974073</v>
      </c>
      <c r="C28" s="2">
        <v>25.65</v>
      </c>
      <c r="D28" s="2">
        <f t="shared" si="71"/>
        <v>5.260871895646571</v>
      </c>
      <c r="E28">
        <v>82.030981284382435</v>
      </c>
      <c r="F28">
        <f t="shared" si="72"/>
        <v>8.625789330091246</v>
      </c>
    </row>
    <row r="29" spans="1:10" x14ac:dyDescent="0.3">
      <c r="A29" t="s">
        <v>47</v>
      </c>
      <c r="B29" s="2">
        <v>6.5215355300623159</v>
      </c>
      <c r="C29" s="2">
        <v>25.65</v>
      </c>
      <c r="D29" s="2">
        <f t="shared" si="71"/>
        <v>4.8487616666013311</v>
      </c>
      <c r="E29">
        <v>82.030981284382435</v>
      </c>
      <c r="F29">
        <f t="shared" si="72"/>
        <v>7.9500884031286434</v>
      </c>
    </row>
    <row r="30" spans="1:10" x14ac:dyDescent="0.3">
      <c r="A30" t="s">
        <v>48</v>
      </c>
      <c r="B30" s="2">
        <v>5.1647514641651915</v>
      </c>
      <c r="C30" s="2">
        <v>24.42</v>
      </c>
      <c r="D30" s="2">
        <f t="shared" si="71"/>
        <v>3.9035191566160519</v>
      </c>
      <c r="E30">
        <v>81.212269435574925</v>
      </c>
      <c r="F30">
        <f t="shared" si="72"/>
        <v>6.3595704196671283</v>
      </c>
    </row>
    <row r="31" spans="1:10" x14ac:dyDescent="0.3">
      <c r="A31" t="s">
        <v>48</v>
      </c>
      <c r="B31" s="2">
        <v>5.2210026296490595</v>
      </c>
      <c r="C31" s="2">
        <v>24.42</v>
      </c>
      <c r="D31" s="2">
        <f t="shared" si="71"/>
        <v>3.946033787488759</v>
      </c>
      <c r="E31">
        <v>81.212269435574925</v>
      </c>
      <c r="F31">
        <f t="shared" si="72"/>
        <v>6.4288347880622165</v>
      </c>
    </row>
    <row r="32" spans="1:10" x14ac:dyDescent="0.3">
      <c r="A32" t="s">
        <v>48</v>
      </c>
      <c r="B32" s="2">
        <v>5.4136630796558602</v>
      </c>
      <c r="C32" s="2">
        <v>24.42</v>
      </c>
      <c r="D32" s="2">
        <f t="shared" si="71"/>
        <v>4.0916465556038988</v>
      </c>
      <c r="E32">
        <v>81.212269435574925</v>
      </c>
      <c r="F32">
        <f t="shared" si="72"/>
        <v>6.6660655062108285</v>
      </c>
    </row>
    <row r="33" spans="1:6" x14ac:dyDescent="0.3">
      <c r="A33" t="s">
        <v>48</v>
      </c>
      <c r="B33" s="2">
        <v>4.9720910141583907</v>
      </c>
      <c r="C33" s="2">
        <v>24.42</v>
      </c>
      <c r="D33" s="2">
        <f t="shared" si="71"/>
        <v>3.7579063885009116</v>
      </c>
      <c r="E33">
        <v>81.212269435574925</v>
      </c>
      <c r="F33">
        <f t="shared" si="72"/>
        <v>6.1223397015185164</v>
      </c>
    </row>
    <row r="34" spans="1:6" x14ac:dyDescent="0.3">
      <c r="A34" t="s">
        <v>49</v>
      </c>
      <c r="B34" s="2">
        <v>5.2317582297523995</v>
      </c>
      <c r="C34" s="2">
        <v>24.02</v>
      </c>
      <c r="D34" s="2">
        <f t="shared" si="71"/>
        <v>3.9750899029658733</v>
      </c>
      <c r="E34">
        <v>78.715361970519623</v>
      </c>
      <c r="F34">
        <f t="shared" si="72"/>
        <v>6.6464259310803788</v>
      </c>
    </row>
    <row r="35" spans="1:6" x14ac:dyDescent="0.3">
      <c r="A35" t="s">
        <v>49</v>
      </c>
      <c r="B35" s="2">
        <v>4.8227089392308677</v>
      </c>
      <c r="C35" s="2">
        <v>24.02</v>
      </c>
      <c r="D35" s="2">
        <f t="shared" si="71"/>
        <v>3.6642942520276138</v>
      </c>
      <c r="E35">
        <v>78.715361970519623</v>
      </c>
      <c r="F35">
        <f t="shared" si="72"/>
        <v>6.1267696908223099</v>
      </c>
    </row>
    <row r="36" spans="1:6" x14ac:dyDescent="0.3">
      <c r="A36" t="s">
        <v>49</v>
      </c>
      <c r="B36" s="2">
        <v>4.7234754811616542</v>
      </c>
      <c r="C36" s="2">
        <v>24.02</v>
      </c>
      <c r="D36" s="2">
        <f t="shared" si="71"/>
        <v>3.588896670586625</v>
      </c>
      <c r="E36">
        <v>78.715361970519623</v>
      </c>
      <c r="F36">
        <f t="shared" si="72"/>
        <v>6.0007035004560914</v>
      </c>
    </row>
    <row r="37" spans="1:6" x14ac:dyDescent="0.3">
      <c r="A37" t="s">
        <v>49</v>
      </c>
      <c r="B37" s="2">
        <v>5.3309916878216139</v>
      </c>
      <c r="C37" s="2">
        <v>24.02</v>
      </c>
      <c r="D37" s="2">
        <f t="shared" si="71"/>
        <v>4.0504874844068626</v>
      </c>
      <c r="E37">
        <v>78.715361970519623</v>
      </c>
      <c r="F37">
        <f t="shared" si="72"/>
        <v>6.7724921214465992</v>
      </c>
    </row>
    <row r="38" spans="1:6" x14ac:dyDescent="0.3">
      <c r="A38" t="s">
        <v>50</v>
      </c>
      <c r="B38" s="2">
        <v>5.8033503934961539</v>
      </c>
      <c r="C38" s="2">
        <v>22.41</v>
      </c>
      <c r="D38" s="2">
        <f t="shared" si="71"/>
        <v>4.5028195703136653</v>
      </c>
      <c r="E38">
        <v>78.479597709029875</v>
      </c>
      <c r="F38">
        <f t="shared" si="72"/>
        <v>7.394724951333969</v>
      </c>
    </row>
    <row r="39" spans="1:6" x14ac:dyDescent="0.3">
      <c r="A39" t="s">
        <v>50</v>
      </c>
      <c r="B39" s="2">
        <v>6.3024667968025749</v>
      </c>
      <c r="C39" s="2">
        <v>22.41</v>
      </c>
      <c r="D39" s="2">
        <f t="shared" si="71"/>
        <v>4.8900839876391187</v>
      </c>
      <c r="E39">
        <v>78.479597709029875</v>
      </c>
      <c r="F39">
        <f t="shared" si="72"/>
        <v>8.0307073185690037</v>
      </c>
    </row>
    <row r="40" spans="1:6" x14ac:dyDescent="0.3">
      <c r="A40" t="s">
        <v>50</v>
      </c>
      <c r="B40" s="2">
        <v>6.1530259343531011</v>
      </c>
      <c r="C40" s="2">
        <v>22.41</v>
      </c>
      <c r="D40" s="2">
        <f t="shared" si="71"/>
        <v>4.7741328224645709</v>
      </c>
      <c r="E40">
        <v>78.479597709029875</v>
      </c>
      <c r="F40">
        <f t="shared" si="72"/>
        <v>7.8402873026515687</v>
      </c>
    </row>
    <row r="41" spans="1:6" x14ac:dyDescent="0.3">
      <c r="A41" t="s">
        <v>50</v>
      </c>
      <c r="B41" s="2">
        <v>5.9527912559456277</v>
      </c>
      <c r="C41" s="2">
        <v>22.41</v>
      </c>
      <c r="D41" s="2">
        <f t="shared" si="71"/>
        <v>4.618770735488213</v>
      </c>
      <c r="E41">
        <v>78.479597709029875</v>
      </c>
      <c r="F41">
        <f t="shared" si="72"/>
        <v>7.585144967251404</v>
      </c>
    </row>
  </sheetData>
  <mergeCells count="2">
    <mergeCell ref="M1:P1"/>
    <mergeCell ref="Q1:T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292B5-AE37-4E02-B5E2-C41E483EFB18}">
  <dimension ref="A1:L10"/>
  <sheetViews>
    <sheetView workbookViewId="0">
      <selection activeCell="G2" sqref="G2:L2"/>
    </sheetView>
  </sheetViews>
  <sheetFormatPr defaultRowHeight="14.4" x14ac:dyDescent="0.3"/>
  <sheetData>
    <row r="1" spans="1:12" x14ac:dyDescent="0.3">
      <c r="A1" t="s">
        <v>76</v>
      </c>
      <c r="B1" t="s">
        <v>53</v>
      </c>
      <c r="D1" t="s">
        <v>78</v>
      </c>
    </row>
    <row r="2" spans="1:12" x14ac:dyDescent="0.3">
      <c r="B2" t="s">
        <v>111</v>
      </c>
      <c r="C2" t="s">
        <v>84</v>
      </c>
      <c r="D2" t="s">
        <v>109</v>
      </c>
      <c r="G2" t="s">
        <v>111</v>
      </c>
      <c r="H2" t="s">
        <v>112</v>
      </c>
      <c r="I2" t="s">
        <v>113</v>
      </c>
      <c r="J2" t="s">
        <v>114</v>
      </c>
      <c r="K2" t="s">
        <v>115</v>
      </c>
      <c r="L2" t="s">
        <v>116</v>
      </c>
    </row>
    <row r="3" spans="1:12" x14ac:dyDescent="0.3">
      <c r="B3" t="s">
        <v>112</v>
      </c>
      <c r="C3" t="s">
        <v>105</v>
      </c>
      <c r="D3" t="s">
        <v>107</v>
      </c>
    </row>
    <row r="4" spans="1:12" x14ac:dyDescent="0.3">
      <c r="B4" t="s">
        <v>113</v>
      </c>
      <c r="C4" t="s">
        <v>82</v>
      </c>
      <c r="D4" t="s">
        <v>110</v>
      </c>
    </row>
    <row r="5" spans="1:12" x14ac:dyDescent="0.3">
      <c r="A5" t="s">
        <v>45</v>
      </c>
      <c r="B5" t="s">
        <v>114</v>
      </c>
      <c r="C5" t="s">
        <v>85</v>
      </c>
      <c r="D5" t="s">
        <v>108</v>
      </c>
    </row>
    <row r="6" spans="1:12" x14ac:dyDescent="0.3">
      <c r="A6" t="s">
        <v>46</v>
      </c>
      <c r="B6" t="s">
        <v>115</v>
      </c>
      <c r="C6" t="s">
        <v>85</v>
      </c>
      <c r="D6" t="s">
        <v>107</v>
      </c>
    </row>
    <row r="7" spans="1:12" x14ac:dyDescent="0.3">
      <c r="A7" t="s">
        <v>47</v>
      </c>
      <c r="B7" t="s">
        <v>116</v>
      </c>
      <c r="C7" t="s">
        <v>93</v>
      </c>
      <c r="D7" t="s">
        <v>106</v>
      </c>
    </row>
    <row r="8" spans="1:12" x14ac:dyDescent="0.3">
      <c r="A8" t="s">
        <v>48</v>
      </c>
    </row>
    <row r="9" spans="1:12" x14ac:dyDescent="0.3">
      <c r="A9" t="s">
        <v>49</v>
      </c>
    </row>
    <row r="10" spans="1:12" x14ac:dyDescent="0.3">
      <c r="A10" t="s">
        <v>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8</vt:i4>
      </vt:variant>
    </vt:vector>
  </HeadingPairs>
  <TitlesOfParts>
    <vt:vector size="20" baseType="lpstr">
      <vt:lpstr>STD.SEPT.24.2019</vt:lpstr>
      <vt:lpstr>STD.SEPT.26.2019</vt:lpstr>
      <vt:lpstr>R. differens.SEPT.24.2019</vt:lpstr>
      <vt:lpstr>SNK.R.d</vt:lpstr>
      <vt:lpstr>G.bimaculatus. SEPT.26.2019</vt:lpstr>
      <vt:lpstr>Sheet4</vt:lpstr>
      <vt:lpstr>SNK.G.b</vt:lpstr>
      <vt:lpstr>B. alcinioe.SEPT.26.2019</vt:lpstr>
      <vt:lpstr>SNK.B.a</vt:lpstr>
      <vt:lpstr>Total K. LCMS</vt:lpstr>
      <vt:lpstr>Sheet7</vt:lpstr>
      <vt:lpstr>Final Lysine</vt:lpstr>
      <vt:lpstr>c_avil.K.VIII</vt:lpstr>
      <vt:lpstr>c_K.IV</vt:lpstr>
      <vt:lpstr>c_K.VI</vt:lpstr>
      <vt:lpstr>Intercept.A.K</vt:lpstr>
      <vt:lpstr>m_avil.K.VII</vt:lpstr>
      <vt:lpstr>m_K.IV</vt:lpstr>
      <vt:lpstr>m_K.VI</vt:lpstr>
      <vt:lpstr>Slope.A.K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</cp:lastModifiedBy>
  <dcterms:created xsi:type="dcterms:W3CDTF">2019-09-26T09:39:26Z</dcterms:created>
  <dcterms:modified xsi:type="dcterms:W3CDTF">2020-06-01T11:04:59Z</dcterms:modified>
</cp:coreProperties>
</file>