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14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6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1.xml" ContentType="application/vnd.openxmlformats-officedocument.themeOverride+xml"/>
  <Override PartName="/xl/drawings/drawing18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5603a442d9c176d/Drying data/Results/"/>
    </mc:Choice>
  </mc:AlternateContent>
  <xr:revisionPtr revIDLastSave="5419" documentId="8_{C3257B59-AC24-440E-9ECA-DCA20336A5B8}" xr6:coauthVersionLast="47" xr6:coauthVersionMax="47" xr10:uidLastSave="{C92F2DF3-8F35-489A-9BA7-5988D98A7FCD}"/>
  <bookViews>
    <workbookView xWindow="-108" yWindow="-108" windowWidth="23256" windowHeight="12576" activeTab="6" xr2:uid="{4E92D054-8A03-42AF-948F-4D0EBFBC59F0}"/>
  </bookViews>
  <sheets>
    <sheet name="Forkwa" sheetId="1" r:id="rId1"/>
    <sheet name="Suilpuwa" sheetId="2" r:id="rId2"/>
    <sheet name="Sun_Dry" sheetId="3" r:id="rId3"/>
    <sheet name="Sheet1" sheetId="15" r:id="rId4"/>
    <sheet name="Solar dry" sheetId="4" r:id="rId5"/>
    <sheet name="BSD" sheetId="5" r:id="rId6"/>
    <sheet name="BCD" sheetId="6" r:id="rId7"/>
    <sheet name="Newton" sheetId="7" r:id="rId8"/>
    <sheet name="Page" sheetId="9" r:id="rId9"/>
    <sheet name="Henderson and Pabis" sheetId="10" r:id="rId10"/>
    <sheet name="Two Term Exponential" sheetId="14" r:id="rId11"/>
    <sheet name="Aghbashlo et al" sheetId="13" r:id="rId12"/>
    <sheet name="Wang and Singh" sheetId="12" r:id="rId13"/>
    <sheet name="Logarithmic" sheetId="11" r:id="rId14"/>
    <sheet name="Sheet2" sheetId="8" r:id="rId15"/>
    <sheet name="Quartic model" sheetId="16" r:id="rId16"/>
    <sheet name="Sheet3" sheetId="17" r:id="rId17"/>
    <sheet name="sd" sheetId="18" r:id="rId18"/>
    <sheet name="cd" sheetId="19" r:id="rId19"/>
    <sheet name="b+sd" sheetId="20" r:id="rId20"/>
    <sheet name="b+cd" sheetId="21" r:id="rId21"/>
  </sheets>
  <definedNames>
    <definedName name="solver_adj" localSheetId="11" hidden="1">'Aghbashlo et al'!$T$28:$T$29</definedName>
    <definedName name="solver_adj" localSheetId="9" hidden="1">'Henderson and Pabis'!$R$28:$R$29</definedName>
    <definedName name="solver_adj" localSheetId="7" hidden="1">Newton!$R$1</definedName>
    <definedName name="solver_adj" localSheetId="8" hidden="1">Page!$AX$39,Page!$AX$41</definedName>
    <definedName name="solver_adj" localSheetId="15" hidden="1">'Quartic model'!$V$33:$V$37</definedName>
    <definedName name="solver_adj" localSheetId="10" hidden="1">'Two Term Exponential'!$V$28:$V$29</definedName>
    <definedName name="solver_cvg" localSheetId="11" hidden="1">0.0001</definedName>
    <definedName name="solver_cvg" localSheetId="9" hidden="1">0.0001</definedName>
    <definedName name="solver_cvg" localSheetId="7" hidden="1">0.0001</definedName>
    <definedName name="solver_cvg" localSheetId="8" hidden="1">0.0001</definedName>
    <definedName name="solver_cvg" localSheetId="15" hidden="1">0.0001</definedName>
    <definedName name="solver_cvg" localSheetId="10" hidden="1">0.0001</definedName>
    <definedName name="solver_drv" localSheetId="11" hidden="1">1</definedName>
    <definedName name="solver_drv" localSheetId="9" hidden="1">1</definedName>
    <definedName name="solver_drv" localSheetId="7" hidden="1">1</definedName>
    <definedName name="solver_drv" localSheetId="8" hidden="1">2</definedName>
    <definedName name="solver_drv" localSheetId="15" hidden="1">1</definedName>
    <definedName name="solver_drv" localSheetId="10" hidden="1">1</definedName>
    <definedName name="solver_eng" localSheetId="11" hidden="1">1</definedName>
    <definedName name="solver_eng" localSheetId="9" hidden="1">1</definedName>
    <definedName name="solver_eng" localSheetId="7" hidden="1">1</definedName>
    <definedName name="solver_eng" localSheetId="8" hidden="1">1</definedName>
    <definedName name="solver_eng" localSheetId="15" hidden="1">1</definedName>
    <definedName name="solver_eng" localSheetId="10" hidden="1">1</definedName>
    <definedName name="solver_est" localSheetId="11" hidden="1">1</definedName>
    <definedName name="solver_est" localSheetId="9" hidden="1">1</definedName>
    <definedName name="solver_est" localSheetId="7" hidden="1">1</definedName>
    <definedName name="solver_est" localSheetId="8" hidden="1">1</definedName>
    <definedName name="solver_est" localSheetId="15" hidden="1">1</definedName>
    <definedName name="solver_est" localSheetId="10" hidden="1">1</definedName>
    <definedName name="solver_itr" localSheetId="11" hidden="1">2147483647</definedName>
    <definedName name="solver_itr" localSheetId="9" hidden="1">2147483647</definedName>
    <definedName name="solver_itr" localSheetId="7" hidden="1">2147483647</definedName>
    <definedName name="solver_itr" localSheetId="8" hidden="1">2147483647</definedName>
    <definedName name="solver_itr" localSheetId="15" hidden="1">2147483647</definedName>
    <definedName name="solver_itr" localSheetId="10" hidden="1">2147483647</definedName>
    <definedName name="solver_lhs1" localSheetId="11" hidden="1">'Aghbashlo et al'!$S$29</definedName>
    <definedName name="solver_lhs2" localSheetId="11" hidden="1">'Aghbashlo et al'!$S$29</definedName>
    <definedName name="solver_mip" localSheetId="11" hidden="1">2147483647</definedName>
    <definedName name="solver_mip" localSheetId="9" hidden="1">2147483647</definedName>
    <definedName name="solver_mip" localSheetId="7" hidden="1">2147483647</definedName>
    <definedName name="solver_mip" localSheetId="8" hidden="1">2147483647</definedName>
    <definedName name="solver_mip" localSheetId="15" hidden="1">2147483647</definedName>
    <definedName name="solver_mip" localSheetId="10" hidden="1">2147483647</definedName>
    <definedName name="solver_mni" localSheetId="11" hidden="1">30</definedName>
    <definedName name="solver_mni" localSheetId="9" hidden="1">30</definedName>
    <definedName name="solver_mni" localSheetId="7" hidden="1">30</definedName>
    <definedName name="solver_mni" localSheetId="8" hidden="1">30</definedName>
    <definedName name="solver_mni" localSheetId="15" hidden="1">30</definedName>
    <definedName name="solver_mni" localSheetId="10" hidden="1">30</definedName>
    <definedName name="solver_mrt" localSheetId="11" hidden="1">0.075</definedName>
    <definedName name="solver_mrt" localSheetId="9" hidden="1">0.075</definedName>
    <definedName name="solver_mrt" localSheetId="7" hidden="1">0.075</definedName>
    <definedName name="solver_mrt" localSheetId="8" hidden="1">0.075</definedName>
    <definedName name="solver_mrt" localSheetId="15" hidden="1">0.075</definedName>
    <definedName name="solver_mrt" localSheetId="10" hidden="1">0.075</definedName>
    <definedName name="solver_msl" localSheetId="11" hidden="1">2</definedName>
    <definedName name="solver_msl" localSheetId="9" hidden="1">2</definedName>
    <definedName name="solver_msl" localSheetId="7" hidden="1">2</definedName>
    <definedName name="solver_msl" localSheetId="8" hidden="1">2</definedName>
    <definedName name="solver_msl" localSheetId="15" hidden="1">2</definedName>
    <definedName name="solver_msl" localSheetId="10" hidden="1">2</definedName>
    <definedName name="solver_neg" localSheetId="11" hidden="1">1</definedName>
    <definedName name="solver_neg" localSheetId="9" hidden="1">1</definedName>
    <definedName name="solver_neg" localSheetId="7" hidden="1">1</definedName>
    <definedName name="solver_neg" localSheetId="8" hidden="1">1</definedName>
    <definedName name="solver_neg" localSheetId="15" hidden="1">2</definedName>
    <definedName name="solver_neg" localSheetId="10" hidden="1">1</definedName>
    <definedName name="solver_nod" localSheetId="11" hidden="1">2147483647</definedName>
    <definedName name="solver_nod" localSheetId="9" hidden="1">2147483647</definedName>
    <definedName name="solver_nod" localSheetId="7" hidden="1">2147483647</definedName>
    <definedName name="solver_nod" localSheetId="8" hidden="1">2147483647</definedName>
    <definedName name="solver_nod" localSheetId="15" hidden="1">2147483647</definedName>
    <definedName name="solver_nod" localSheetId="10" hidden="1">2147483647</definedName>
    <definedName name="solver_num" localSheetId="11" hidden="1">0</definedName>
    <definedName name="solver_num" localSheetId="9" hidden="1">0</definedName>
    <definedName name="solver_num" localSheetId="7" hidden="1">0</definedName>
    <definedName name="solver_num" localSheetId="8" hidden="1">0</definedName>
    <definedName name="solver_num" localSheetId="15" hidden="1">0</definedName>
    <definedName name="solver_num" localSheetId="10" hidden="1">0</definedName>
    <definedName name="solver_nwt" localSheetId="11" hidden="1">1</definedName>
    <definedName name="solver_nwt" localSheetId="9" hidden="1">1</definedName>
    <definedName name="solver_nwt" localSheetId="7" hidden="1">1</definedName>
    <definedName name="solver_nwt" localSheetId="8" hidden="1">1</definedName>
    <definedName name="solver_nwt" localSheetId="15" hidden="1">1</definedName>
    <definedName name="solver_nwt" localSheetId="10" hidden="1">1</definedName>
    <definedName name="solver_opt" localSheetId="11" hidden="1">'Aghbashlo et al'!$T$24</definedName>
    <definedName name="solver_opt" localSheetId="9" hidden="1">'Henderson and Pabis'!$R$24</definedName>
    <definedName name="solver_opt" localSheetId="7" hidden="1">Newton!$Z$26</definedName>
    <definedName name="solver_opt" localSheetId="8" hidden="1">Page!$AX$37</definedName>
    <definedName name="solver_opt" localSheetId="15" hidden="1">'Quartic model'!$V$31</definedName>
    <definedName name="solver_opt" localSheetId="10" hidden="1">'Two Term Exponential'!$V$24</definedName>
    <definedName name="solver_pre" localSheetId="11" hidden="1">0.000001</definedName>
    <definedName name="solver_pre" localSheetId="9" hidden="1">0.000001</definedName>
    <definedName name="solver_pre" localSheetId="7" hidden="1">0.000001</definedName>
    <definedName name="solver_pre" localSheetId="8" hidden="1">0.000001</definedName>
    <definedName name="solver_pre" localSheetId="15" hidden="1">0.000001</definedName>
    <definedName name="solver_pre" localSheetId="10" hidden="1">0.000001</definedName>
    <definedName name="solver_rbv" localSheetId="11" hidden="1">1</definedName>
    <definedName name="solver_rbv" localSheetId="9" hidden="1">1</definedName>
    <definedName name="solver_rbv" localSheetId="7" hidden="1">1</definedName>
    <definedName name="solver_rbv" localSheetId="8" hidden="1">2</definedName>
    <definedName name="solver_rbv" localSheetId="15" hidden="1">1</definedName>
    <definedName name="solver_rbv" localSheetId="10" hidden="1">1</definedName>
    <definedName name="solver_rel1" localSheetId="11" hidden="1">3</definedName>
    <definedName name="solver_rel2" localSheetId="11" hidden="1">6</definedName>
    <definedName name="solver_rhs1" localSheetId="11" hidden="1">0</definedName>
    <definedName name="solver_rhs2" localSheetId="11" hidden="1">AllDifferent</definedName>
    <definedName name="solver_rlx" localSheetId="11" hidden="1">2</definedName>
    <definedName name="solver_rlx" localSheetId="9" hidden="1">2</definedName>
    <definedName name="solver_rlx" localSheetId="7" hidden="1">2</definedName>
    <definedName name="solver_rlx" localSheetId="8" hidden="1">2</definedName>
    <definedName name="solver_rlx" localSheetId="15" hidden="1">2</definedName>
    <definedName name="solver_rlx" localSheetId="10" hidden="1">2</definedName>
    <definedName name="solver_rsd" localSheetId="11" hidden="1">0</definedName>
    <definedName name="solver_rsd" localSheetId="9" hidden="1">0</definedName>
    <definedName name="solver_rsd" localSheetId="7" hidden="1">0</definedName>
    <definedName name="solver_rsd" localSheetId="8" hidden="1">0</definedName>
    <definedName name="solver_rsd" localSheetId="15" hidden="1">0</definedName>
    <definedName name="solver_rsd" localSheetId="10" hidden="1">0</definedName>
    <definedName name="solver_scl" localSheetId="11" hidden="1">1</definedName>
    <definedName name="solver_scl" localSheetId="9" hidden="1">1</definedName>
    <definedName name="solver_scl" localSheetId="7" hidden="1">1</definedName>
    <definedName name="solver_scl" localSheetId="8" hidden="1">2</definedName>
    <definedName name="solver_scl" localSheetId="15" hidden="1">1</definedName>
    <definedName name="solver_scl" localSheetId="10" hidden="1">1</definedName>
    <definedName name="solver_sho" localSheetId="11" hidden="1">2</definedName>
    <definedName name="solver_sho" localSheetId="9" hidden="1">2</definedName>
    <definedName name="solver_sho" localSheetId="7" hidden="1">2</definedName>
    <definedName name="solver_sho" localSheetId="8" hidden="1">2</definedName>
    <definedName name="solver_sho" localSheetId="15" hidden="1">2</definedName>
    <definedName name="solver_sho" localSheetId="10" hidden="1">2</definedName>
    <definedName name="solver_ssz" localSheetId="11" hidden="1">100</definedName>
    <definedName name="solver_ssz" localSheetId="9" hidden="1">100</definedName>
    <definedName name="solver_ssz" localSheetId="7" hidden="1">100</definedName>
    <definedName name="solver_ssz" localSheetId="8" hidden="1">100</definedName>
    <definedName name="solver_ssz" localSheetId="15" hidden="1">100</definedName>
    <definedName name="solver_ssz" localSheetId="10" hidden="1">100</definedName>
    <definedName name="solver_tim" localSheetId="11" hidden="1">2147483647</definedName>
    <definedName name="solver_tim" localSheetId="9" hidden="1">2147483647</definedName>
    <definedName name="solver_tim" localSheetId="7" hidden="1">2147483647</definedName>
    <definedName name="solver_tim" localSheetId="8" hidden="1">2147483647</definedName>
    <definedName name="solver_tim" localSheetId="15" hidden="1">2147483647</definedName>
    <definedName name="solver_tim" localSheetId="10" hidden="1">2147483647</definedName>
    <definedName name="solver_tol" localSheetId="11" hidden="1">0.01</definedName>
    <definedName name="solver_tol" localSheetId="9" hidden="1">0.01</definedName>
    <definedName name="solver_tol" localSheetId="7" hidden="1">0.01</definedName>
    <definedName name="solver_tol" localSheetId="8" hidden="1">0.01</definedName>
    <definedName name="solver_tol" localSheetId="15" hidden="1">0.01</definedName>
    <definedName name="solver_tol" localSheetId="10" hidden="1">0.01</definedName>
    <definedName name="solver_typ" localSheetId="11" hidden="1">2</definedName>
    <definedName name="solver_typ" localSheetId="9" hidden="1">1</definedName>
    <definedName name="solver_typ" localSheetId="7" hidden="1">2</definedName>
    <definedName name="solver_typ" localSheetId="8" hidden="1">1</definedName>
    <definedName name="solver_typ" localSheetId="15" hidden="1">2</definedName>
    <definedName name="solver_typ" localSheetId="10" hidden="1">2</definedName>
    <definedName name="solver_val" localSheetId="11" hidden="1">0</definedName>
    <definedName name="solver_val" localSheetId="9" hidden="1">0</definedName>
    <definedName name="solver_val" localSheetId="7" hidden="1">0</definedName>
    <definedName name="solver_val" localSheetId="8" hidden="1">0</definedName>
    <definedName name="solver_val" localSheetId="15" hidden="1">0</definedName>
    <definedName name="solver_val" localSheetId="10" hidden="1">0</definedName>
    <definedName name="solver_ver" localSheetId="11" hidden="1">3</definedName>
    <definedName name="solver_ver" localSheetId="9" hidden="1">3</definedName>
    <definedName name="solver_ver" localSheetId="7" hidden="1">3</definedName>
    <definedName name="solver_ver" localSheetId="8" hidden="1">3</definedName>
    <definedName name="solver_ver" localSheetId="15" hidden="1">3</definedName>
    <definedName name="solver_ver" localSheetId="1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20" l="1"/>
  <c r="I22" i="20"/>
  <c r="L5" i="20"/>
  <c r="L3" i="20"/>
  <c r="L4" i="20"/>
  <c r="L6" i="20"/>
  <c r="L7" i="20"/>
  <c r="L8" i="20"/>
  <c r="L9" i="20"/>
  <c r="L10" i="20"/>
  <c r="L11" i="20"/>
  <c r="L12" i="20"/>
  <c r="L20" i="20" s="1"/>
  <c r="J5" i="20" s="1"/>
  <c r="L13" i="20"/>
  <c r="L14" i="20"/>
  <c r="L15" i="20"/>
  <c r="L16" i="20"/>
  <c r="L17" i="20"/>
  <c r="L18" i="20"/>
  <c r="L2" i="20"/>
  <c r="I2" i="20" s="1"/>
  <c r="I3" i="20"/>
  <c r="I4" i="20"/>
  <c r="I5" i="20"/>
  <c r="I6" i="20"/>
  <c r="I7" i="20"/>
  <c r="I8" i="20"/>
  <c r="I9" i="20"/>
  <c r="I10" i="20"/>
  <c r="I11" i="20"/>
  <c r="I13" i="20"/>
  <c r="I14" i="20"/>
  <c r="I15" i="20"/>
  <c r="I16" i="20"/>
  <c r="I17" i="20"/>
  <c r="I18" i="20"/>
  <c r="I3" i="21"/>
  <c r="I4" i="21"/>
  <c r="I14" i="21" s="1"/>
  <c r="I5" i="21"/>
  <c r="I6" i="21"/>
  <c r="I7" i="21"/>
  <c r="I8" i="21"/>
  <c r="I9" i="21"/>
  <c r="I10" i="21"/>
  <c r="I2" i="21"/>
  <c r="H3" i="21"/>
  <c r="H4" i="21"/>
  <c r="H5" i="21"/>
  <c r="H6" i="21"/>
  <c r="H14" i="21" s="1"/>
  <c r="H7" i="21"/>
  <c r="H8" i="21"/>
  <c r="H9" i="21"/>
  <c r="H10" i="21"/>
  <c r="H2" i="21"/>
  <c r="K3" i="21"/>
  <c r="K4" i="21"/>
  <c r="K5" i="21"/>
  <c r="K6" i="21"/>
  <c r="K7" i="21"/>
  <c r="K8" i="21"/>
  <c r="K9" i="21"/>
  <c r="K10" i="21"/>
  <c r="K2" i="21"/>
  <c r="I2" i="19"/>
  <c r="I3" i="19"/>
  <c r="I4" i="19"/>
  <c r="I5" i="19"/>
  <c r="I6" i="19"/>
  <c r="I7" i="19"/>
  <c r="I8" i="19"/>
  <c r="I9" i="19"/>
  <c r="I10" i="19"/>
  <c r="AB27" i="18"/>
  <c r="AC25" i="18"/>
  <c r="AB25" i="18"/>
  <c r="AB31" i="18" s="1"/>
  <c r="AC3" i="18"/>
  <c r="AC4" i="18"/>
  <c r="AC5" i="18"/>
  <c r="AC6" i="18"/>
  <c r="AC7" i="18"/>
  <c r="AC8" i="18"/>
  <c r="AC9" i="18"/>
  <c r="AC10" i="18"/>
  <c r="AC11" i="18"/>
  <c r="AC12" i="18"/>
  <c r="AC13" i="18"/>
  <c r="AC14" i="18"/>
  <c r="AC15" i="18"/>
  <c r="AC16" i="18"/>
  <c r="AC17" i="18"/>
  <c r="AC18" i="18"/>
  <c r="AC19" i="18"/>
  <c r="AC20" i="18"/>
  <c r="AC21" i="18"/>
  <c r="W22" i="18"/>
  <c r="AB4" i="18"/>
  <c r="AB5" i="18"/>
  <c r="AB6" i="18"/>
  <c r="AB7" i="18"/>
  <c r="AB8" i="18"/>
  <c r="AB9" i="18"/>
  <c r="AB10" i="18"/>
  <c r="AB11" i="18"/>
  <c r="AB12" i="18"/>
  <c r="AB13" i="18"/>
  <c r="AB14" i="18"/>
  <c r="AB15" i="18"/>
  <c r="AB16" i="18"/>
  <c r="AB17" i="18"/>
  <c r="AB18" i="18"/>
  <c r="AB19" i="18"/>
  <c r="AB20" i="18"/>
  <c r="AB21" i="18"/>
  <c r="AB3" i="18"/>
  <c r="W3" i="18"/>
  <c r="H18" i="19"/>
  <c r="H16" i="19"/>
  <c r="H14" i="19"/>
  <c r="H3" i="19"/>
  <c r="H4" i="19"/>
  <c r="H5" i="19"/>
  <c r="H6" i="19"/>
  <c r="H7" i="19"/>
  <c r="H8" i="19"/>
  <c r="H9" i="19"/>
  <c r="H10" i="19"/>
  <c r="C13" i="19"/>
  <c r="H2" i="19"/>
  <c r="C2" i="19"/>
  <c r="B36" i="20"/>
  <c r="F4" i="20"/>
  <c r="F3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" i="20"/>
  <c r="C14" i="21"/>
  <c r="C2" i="21"/>
  <c r="K25" i="21"/>
  <c r="L27" i="21" s="1"/>
  <c r="M28" i="18"/>
  <c r="M29" i="18"/>
  <c r="M30" i="18"/>
  <c r="M27" i="18"/>
  <c r="C26" i="19"/>
  <c r="C27" i="19"/>
  <c r="C28" i="19"/>
  <c r="C25" i="19"/>
  <c r="D32" i="20"/>
  <c r="D33" i="20"/>
  <c r="D34" i="20"/>
  <c r="D35" i="20"/>
  <c r="D31" i="20"/>
  <c r="D28" i="21"/>
  <c r="D29" i="21"/>
  <c r="D30" i="21"/>
  <c r="D27" i="21"/>
  <c r="N28" i="21"/>
  <c r="M28" i="21"/>
  <c r="L26" i="21"/>
  <c r="K28" i="21"/>
  <c r="K27" i="21"/>
  <c r="K26" i="21"/>
  <c r="G3" i="20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" i="20"/>
  <c r="W4" i="18"/>
  <c r="X4" i="18"/>
  <c r="Y4" i="18"/>
  <c r="Z4" i="18"/>
  <c r="W5" i="18"/>
  <c r="X5" i="18"/>
  <c r="Y5" i="18"/>
  <c r="Z5" i="18"/>
  <c r="W6" i="18"/>
  <c r="X6" i="18"/>
  <c r="Y6" i="18"/>
  <c r="Z6" i="18"/>
  <c r="W7" i="18"/>
  <c r="X7" i="18"/>
  <c r="Y7" i="18"/>
  <c r="Z7" i="18"/>
  <c r="W8" i="18"/>
  <c r="X8" i="18"/>
  <c r="Y8" i="18"/>
  <c r="Z8" i="18"/>
  <c r="W9" i="18"/>
  <c r="X9" i="18"/>
  <c r="Y9" i="18"/>
  <c r="Z9" i="18"/>
  <c r="W10" i="18"/>
  <c r="X10" i="18"/>
  <c r="Y10" i="18"/>
  <c r="Z10" i="18"/>
  <c r="W11" i="18"/>
  <c r="X11" i="18"/>
  <c r="Y11" i="18"/>
  <c r="Z11" i="18"/>
  <c r="W12" i="18"/>
  <c r="X12" i="18"/>
  <c r="Y12" i="18"/>
  <c r="Z12" i="18"/>
  <c r="W13" i="18"/>
  <c r="X13" i="18"/>
  <c r="Y13" i="18"/>
  <c r="Z13" i="18"/>
  <c r="W14" i="18"/>
  <c r="X14" i="18"/>
  <c r="Y14" i="18"/>
  <c r="Z14" i="18"/>
  <c r="W15" i="18"/>
  <c r="X15" i="18"/>
  <c r="Y15" i="18"/>
  <c r="Z15" i="18"/>
  <c r="W16" i="18"/>
  <c r="X16" i="18"/>
  <c r="Y16" i="18"/>
  <c r="Z16" i="18"/>
  <c r="W17" i="18"/>
  <c r="X17" i="18"/>
  <c r="Y17" i="18"/>
  <c r="Z17" i="18"/>
  <c r="W18" i="18"/>
  <c r="X18" i="18"/>
  <c r="Y18" i="18"/>
  <c r="Z18" i="18"/>
  <c r="W19" i="18"/>
  <c r="X19" i="18"/>
  <c r="Y19" i="18"/>
  <c r="Z19" i="18"/>
  <c r="W20" i="18"/>
  <c r="X20" i="18"/>
  <c r="Y20" i="18"/>
  <c r="Z20" i="18"/>
  <c r="W21" i="18"/>
  <c r="X21" i="18"/>
  <c r="Y21" i="18"/>
  <c r="Z21" i="18"/>
  <c r="Z3" i="18"/>
  <c r="Y3" i="18"/>
  <c r="X3" i="18"/>
  <c r="R4" i="18"/>
  <c r="R3" i="18"/>
  <c r="C3" i="20"/>
  <c r="D3" i="20"/>
  <c r="E3" i="20"/>
  <c r="C4" i="20"/>
  <c r="D4" i="20"/>
  <c r="E4" i="20"/>
  <c r="C5" i="20"/>
  <c r="D5" i="20"/>
  <c r="E5" i="20"/>
  <c r="C6" i="20"/>
  <c r="D6" i="20"/>
  <c r="E6" i="20"/>
  <c r="C7" i="20"/>
  <c r="D7" i="20"/>
  <c r="E7" i="20"/>
  <c r="C8" i="20"/>
  <c r="D8" i="20"/>
  <c r="E8" i="20"/>
  <c r="C9" i="20"/>
  <c r="D9" i="20"/>
  <c r="E9" i="20"/>
  <c r="C10" i="20"/>
  <c r="D10" i="20"/>
  <c r="E10" i="20"/>
  <c r="C11" i="20"/>
  <c r="D11" i="20"/>
  <c r="E11" i="20"/>
  <c r="C12" i="20"/>
  <c r="D12" i="20"/>
  <c r="E12" i="20"/>
  <c r="C13" i="20"/>
  <c r="D13" i="20"/>
  <c r="E13" i="20"/>
  <c r="C14" i="20"/>
  <c r="D14" i="20"/>
  <c r="E14" i="20"/>
  <c r="C15" i="20"/>
  <c r="D15" i="20"/>
  <c r="E15" i="20"/>
  <c r="C16" i="20"/>
  <c r="D16" i="20"/>
  <c r="E16" i="20"/>
  <c r="C17" i="20"/>
  <c r="D17" i="20"/>
  <c r="E17" i="20"/>
  <c r="C18" i="20"/>
  <c r="D18" i="20"/>
  <c r="E18" i="20"/>
  <c r="C19" i="20"/>
  <c r="D19" i="20"/>
  <c r="E19" i="20"/>
  <c r="E2" i="20"/>
  <c r="D2" i="20"/>
  <c r="C2" i="20"/>
  <c r="B29" i="20"/>
  <c r="C3" i="21"/>
  <c r="D3" i="21"/>
  <c r="E3" i="21"/>
  <c r="F3" i="21"/>
  <c r="C4" i="21"/>
  <c r="D4" i="21"/>
  <c r="E4" i="21"/>
  <c r="F4" i="21"/>
  <c r="C5" i="21"/>
  <c r="D5" i="21"/>
  <c r="E5" i="21"/>
  <c r="F5" i="21"/>
  <c r="C6" i="21"/>
  <c r="D6" i="21"/>
  <c r="E6" i="21"/>
  <c r="F6" i="21"/>
  <c r="C7" i="21"/>
  <c r="D7" i="21"/>
  <c r="E7" i="21"/>
  <c r="F7" i="21"/>
  <c r="C8" i="21"/>
  <c r="D8" i="21"/>
  <c r="E8" i="21"/>
  <c r="F8" i="21"/>
  <c r="C9" i="21"/>
  <c r="D9" i="21"/>
  <c r="E9" i="21"/>
  <c r="F9" i="21"/>
  <c r="C10" i="21"/>
  <c r="D10" i="21"/>
  <c r="E10" i="21"/>
  <c r="F10" i="21"/>
  <c r="C11" i="21"/>
  <c r="D11" i="21"/>
  <c r="E11" i="21"/>
  <c r="F11" i="21"/>
  <c r="C12" i="21"/>
  <c r="D12" i="21"/>
  <c r="E12" i="21"/>
  <c r="F12" i="21"/>
  <c r="F2" i="21"/>
  <c r="E2" i="21"/>
  <c r="D2" i="21"/>
  <c r="B25" i="21"/>
  <c r="B30" i="21"/>
  <c r="B29" i="21"/>
  <c r="B28" i="21"/>
  <c r="B27" i="21"/>
  <c r="B34" i="20"/>
  <c r="B33" i="20"/>
  <c r="B32" i="20"/>
  <c r="B31" i="20"/>
  <c r="D3" i="19"/>
  <c r="E3" i="19"/>
  <c r="F3" i="19"/>
  <c r="D4" i="19"/>
  <c r="E4" i="19"/>
  <c r="F4" i="19"/>
  <c r="D5" i="19"/>
  <c r="E5" i="19"/>
  <c r="F5" i="19"/>
  <c r="D6" i="19"/>
  <c r="E6" i="19"/>
  <c r="F6" i="19"/>
  <c r="D7" i="19"/>
  <c r="E7" i="19"/>
  <c r="F7" i="19"/>
  <c r="D8" i="19"/>
  <c r="E8" i="19"/>
  <c r="F8" i="19"/>
  <c r="D9" i="19"/>
  <c r="E9" i="19"/>
  <c r="F9" i="19"/>
  <c r="D10" i="19"/>
  <c r="E10" i="19"/>
  <c r="F10" i="19"/>
  <c r="D11" i="19"/>
  <c r="E11" i="19"/>
  <c r="F11" i="19"/>
  <c r="F2" i="19"/>
  <c r="E2" i="19"/>
  <c r="D2" i="19"/>
  <c r="C3" i="19"/>
  <c r="C4" i="19"/>
  <c r="C5" i="19"/>
  <c r="C6" i="19"/>
  <c r="C7" i="19"/>
  <c r="C8" i="19"/>
  <c r="C9" i="19"/>
  <c r="C10" i="19"/>
  <c r="C11" i="19"/>
  <c r="B25" i="19"/>
  <c r="B28" i="19"/>
  <c r="B27" i="19"/>
  <c r="B26" i="19"/>
  <c r="B23" i="19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U4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3" i="18"/>
  <c r="T4" i="18"/>
  <c r="T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3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3" i="18"/>
  <c r="P18" i="18"/>
  <c r="P19" i="18"/>
  <c r="P20" i="18"/>
  <c r="P21" i="18"/>
  <c r="O21" i="18"/>
  <c r="O20" i="18"/>
  <c r="O19" i="18"/>
  <c r="O18" i="18"/>
  <c r="N18" i="18"/>
  <c r="N19" i="18"/>
  <c r="N20" i="18"/>
  <c r="N21" i="18"/>
  <c r="P22" i="18"/>
  <c r="O22" i="18"/>
  <c r="N22" i="18"/>
  <c r="M18" i="18"/>
  <c r="M19" i="18"/>
  <c r="M20" i="18"/>
  <c r="M21" i="18"/>
  <c r="M22" i="18"/>
  <c r="K25" i="18"/>
  <c r="K28" i="18"/>
  <c r="K29" i="18"/>
  <c r="K30" i="18"/>
  <c r="K27" i="18"/>
  <c r="AB53" i="16"/>
  <c r="AB54" i="16"/>
  <c r="AB55" i="16"/>
  <c r="AB56" i="16"/>
  <c r="AB57" i="16"/>
  <c r="AB58" i="16"/>
  <c r="AB59" i="16"/>
  <c r="AB60" i="16"/>
  <c r="AB61" i="16"/>
  <c r="AB62" i="16"/>
  <c r="AB63" i="16"/>
  <c r="AB64" i="16"/>
  <c r="AB65" i="16"/>
  <c r="AB66" i="16"/>
  <c r="AB67" i="16"/>
  <c r="AB68" i="16"/>
  <c r="AB69" i="16"/>
  <c r="AB70" i="16"/>
  <c r="AB71" i="16"/>
  <c r="AB52" i="16"/>
  <c r="I74" i="16"/>
  <c r="I73" i="16"/>
  <c r="I72" i="16"/>
  <c r="I71" i="16"/>
  <c r="I75" i="16"/>
  <c r="H74" i="16"/>
  <c r="H73" i="16"/>
  <c r="H72" i="16"/>
  <c r="H71" i="16"/>
  <c r="G74" i="16"/>
  <c r="F74" i="16"/>
  <c r="G73" i="16"/>
  <c r="G72" i="16"/>
  <c r="G71" i="16"/>
  <c r="G75" i="16"/>
  <c r="H75" i="16"/>
  <c r="F75" i="16"/>
  <c r="F73" i="16"/>
  <c r="F72" i="16"/>
  <c r="F71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52" i="16"/>
  <c r="AD53" i="16"/>
  <c r="AD54" i="16"/>
  <c r="AD55" i="16"/>
  <c r="AD56" i="16"/>
  <c r="AD57" i="16"/>
  <c r="AD58" i="16"/>
  <c r="AD59" i="16"/>
  <c r="AD60" i="16"/>
  <c r="AD61" i="16"/>
  <c r="AD62" i="16"/>
  <c r="AD63" i="16"/>
  <c r="AD64" i="16"/>
  <c r="AD65" i="16"/>
  <c r="AD66" i="16"/>
  <c r="AD67" i="16"/>
  <c r="AD68" i="16"/>
  <c r="AD69" i="16"/>
  <c r="AD70" i="16"/>
  <c r="AD71" i="16"/>
  <c r="AD52" i="16"/>
  <c r="AC52" i="16"/>
  <c r="AC55" i="16"/>
  <c r="AC61" i="16"/>
  <c r="AC53" i="16"/>
  <c r="AC54" i="16"/>
  <c r="AC56" i="16"/>
  <c r="AC57" i="16"/>
  <c r="AC58" i="16"/>
  <c r="AC59" i="16"/>
  <c r="AC60" i="16"/>
  <c r="AC62" i="16"/>
  <c r="AC63" i="16"/>
  <c r="AC64" i="16"/>
  <c r="AC65" i="16"/>
  <c r="AC66" i="16"/>
  <c r="AC67" i="16"/>
  <c r="AC68" i="16"/>
  <c r="AC69" i="16"/>
  <c r="AC70" i="16"/>
  <c r="AC71" i="16"/>
  <c r="V72" i="16"/>
  <c r="T72" i="16"/>
  <c r="R72" i="16"/>
  <c r="P72" i="16"/>
  <c r="C35" i="4"/>
  <c r="P71" i="16"/>
  <c r="Z44" i="16"/>
  <c r="P54" i="16"/>
  <c r="R74" i="16" s="1"/>
  <c r="P39" i="16"/>
  <c r="V43" i="16" s="1"/>
  <c r="W43" i="16" s="1"/>
  <c r="Z33" i="16"/>
  <c r="AW27" i="9"/>
  <c r="AU27" i="9"/>
  <c r="AS27" i="9"/>
  <c r="AQ27" i="9"/>
  <c r="AR35" i="9"/>
  <c r="AC28" i="9"/>
  <c r="AR31" i="9"/>
  <c r="AR47" i="9"/>
  <c r="AF29" i="9"/>
  <c r="AF30" i="9"/>
  <c r="AF28" i="9"/>
  <c r="AE29" i="9"/>
  <c r="AE30" i="9"/>
  <c r="AE31" i="9"/>
  <c r="AE32" i="9"/>
  <c r="AE28" i="9"/>
  <c r="AD29" i="9"/>
  <c r="AD30" i="9"/>
  <c r="AD28" i="9"/>
  <c r="AC29" i="9"/>
  <c r="AC30" i="9"/>
  <c r="AC31" i="9"/>
  <c r="AC32" i="9"/>
  <c r="AC33" i="9"/>
  <c r="AO27" i="9"/>
  <c r="AM27" i="9"/>
  <c r="AN27" i="9"/>
  <c r="AL27" i="9"/>
  <c r="AL32" i="9"/>
  <c r="AL33" i="9"/>
  <c r="AL31" i="9"/>
  <c r="AQ21" i="9"/>
  <c r="AK32" i="9" s="1"/>
  <c r="AQ22" i="9"/>
  <c r="AQ23" i="9"/>
  <c r="AQ24" i="9"/>
  <c r="AK35" i="9" s="1"/>
  <c r="AQ25" i="9"/>
  <c r="AK36" i="9" s="1"/>
  <c r="AQ20" i="9"/>
  <c r="AK31" i="9" s="1"/>
  <c r="AX47" i="9"/>
  <c r="AV47" i="9"/>
  <c r="AT47" i="9"/>
  <c r="AX44" i="9"/>
  <c r="AV44" i="9"/>
  <c r="AT44" i="9"/>
  <c r="AN31" i="9"/>
  <c r="AN32" i="9"/>
  <c r="AN33" i="9"/>
  <c r="AM32" i="9"/>
  <c r="AM33" i="9"/>
  <c r="AM34" i="9"/>
  <c r="AM35" i="9"/>
  <c r="AK33" i="9"/>
  <c r="AK34" i="9"/>
  <c r="BG5" i="9"/>
  <c r="BG6" i="9"/>
  <c r="BG7" i="9"/>
  <c r="BG8" i="9"/>
  <c r="BG9" i="9"/>
  <c r="BG10" i="9"/>
  <c r="BG11" i="9"/>
  <c r="BG4" i="9"/>
  <c r="BE5" i="9"/>
  <c r="BE6" i="9"/>
  <c r="BE7" i="9"/>
  <c r="BE8" i="9"/>
  <c r="BE9" i="9"/>
  <c r="BE10" i="9"/>
  <c r="BE11" i="9"/>
  <c r="BE12" i="9"/>
  <c r="BE13" i="9"/>
  <c r="BE14" i="9"/>
  <c r="BE15" i="9"/>
  <c r="BE16" i="9"/>
  <c r="BE4" i="9"/>
  <c r="BC5" i="9"/>
  <c r="BC6" i="9"/>
  <c r="BC7" i="9"/>
  <c r="BC8" i="9"/>
  <c r="BC9" i="9"/>
  <c r="BC10" i="9"/>
  <c r="BC4" i="9"/>
  <c r="BA5" i="9"/>
  <c r="BA6" i="9"/>
  <c r="BA7" i="9"/>
  <c r="BA8" i="9"/>
  <c r="BA9" i="9"/>
  <c r="BA10" i="9"/>
  <c r="BA11" i="9"/>
  <c r="BA12" i="9"/>
  <c r="BA13" i="9"/>
  <c r="BA14" i="9"/>
  <c r="BA15" i="9"/>
  <c r="BA16" i="9"/>
  <c r="BA17" i="9"/>
  <c r="BA4" i="9"/>
  <c r="AL5" i="9"/>
  <c r="AL6" i="9"/>
  <c r="AL7" i="9"/>
  <c r="AL8" i="9"/>
  <c r="AL9" i="9"/>
  <c r="AL10" i="9"/>
  <c r="AL11" i="9"/>
  <c r="AL12" i="9"/>
  <c r="AL13" i="9"/>
  <c r="AL14" i="9"/>
  <c r="AL15" i="9"/>
  <c r="AL16" i="9"/>
  <c r="AL17" i="9"/>
  <c r="AL4" i="9"/>
  <c r="J22" i="16"/>
  <c r="O22" i="16" s="1"/>
  <c r="X22" i="16" s="1"/>
  <c r="K22" i="16"/>
  <c r="L22" i="16"/>
  <c r="S22" i="16" s="1"/>
  <c r="Z22" i="16" s="1"/>
  <c r="M22" i="16"/>
  <c r="J23" i="16"/>
  <c r="O23" i="16" s="1"/>
  <c r="X23" i="16" s="1"/>
  <c r="K23" i="16"/>
  <c r="Q23" i="16" s="1"/>
  <c r="R23" i="16" s="1"/>
  <c r="L23" i="16"/>
  <c r="S23" i="16" s="1"/>
  <c r="Z23" i="16" s="1"/>
  <c r="M23" i="16"/>
  <c r="U23" i="16" s="1"/>
  <c r="AA23" i="16" s="1"/>
  <c r="J24" i="16"/>
  <c r="O24" i="16" s="1"/>
  <c r="X24" i="16" s="1"/>
  <c r="L24" i="16"/>
  <c r="S24" i="16" s="1"/>
  <c r="Z24" i="16" s="1"/>
  <c r="J25" i="16"/>
  <c r="O25" i="16" s="1"/>
  <c r="X25" i="16" s="1"/>
  <c r="L25" i="16"/>
  <c r="S25" i="16" s="1"/>
  <c r="Z25" i="16" s="1"/>
  <c r="J26" i="16"/>
  <c r="O26" i="16" s="1"/>
  <c r="X26" i="16" s="1"/>
  <c r="M21" i="16"/>
  <c r="U21" i="16" s="1"/>
  <c r="AA21" i="16" s="1"/>
  <c r="L21" i="16"/>
  <c r="S21" i="16" s="1"/>
  <c r="Z21" i="16" s="1"/>
  <c r="K21" i="16"/>
  <c r="Q21" i="16" s="1"/>
  <c r="J21" i="16"/>
  <c r="O21" i="16" s="1"/>
  <c r="X21" i="16" s="1"/>
  <c r="L7" i="16"/>
  <c r="S7" i="16" s="1"/>
  <c r="L8" i="16"/>
  <c r="S8" i="16" s="1"/>
  <c r="L9" i="16"/>
  <c r="S9" i="16" s="1"/>
  <c r="L10" i="16"/>
  <c r="S10" i="16" s="1"/>
  <c r="L11" i="16"/>
  <c r="S11" i="16" s="1"/>
  <c r="L12" i="16"/>
  <c r="S12" i="16" s="1"/>
  <c r="L13" i="16"/>
  <c r="S13" i="16" s="1"/>
  <c r="L14" i="16"/>
  <c r="S14" i="16" s="1"/>
  <c r="L15" i="16"/>
  <c r="S15" i="16" s="1"/>
  <c r="L16" i="16"/>
  <c r="S16" i="16" s="1"/>
  <c r="L17" i="16"/>
  <c r="S17" i="16" s="1"/>
  <c r="L5" i="16"/>
  <c r="S5" i="16" s="1"/>
  <c r="L6" i="16"/>
  <c r="S6" i="16" s="1"/>
  <c r="M6" i="16"/>
  <c r="U6" i="16" s="1"/>
  <c r="M7" i="16"/>
  <c r="M8" i="16"/>
  <c r="U8" i="16" s="1"/>
  <c r="M9" i="16"/>
  <c r="U9" i="16" s="1"/>
  <c r="M10" i="16"/>
  <c r="U10" i="16" s="1"/>
  <c r="M11" i="16"/>
  <c r="U11" i="16" s="1"/>
  <c r="M12" i="16"/>
  <c r="U12" i="16" s="1"/>
  <c r="K6" i="16"/>
  <c r="Q6" i="16" s="1"/>
  <c r="K7" i="16"/>
  <c r="Q7" i="16" s="1"/>
  <c r="K8" i="16"/>
  <c r="Q8" i="16" s="1"/>
  <c r="K9" i="16"/>
  <c r="Q9" i="16" s="1"/>
  <c r="K10" i="16"/>
  <c r="Q10" i="16" s="1"/>
  <c r="K11" i="16"/>
  <c r="Q11" i="16" s="1"/>
  <c r="J6" i="16"/>
  <c r="O6" i="16" s="1"/>
  <c r="J7" i="16"/>
  <c r="O7" i="16" s="1"/>
  <c r="J8" i="16"/>
  <c r="O8" i="16" s="1"/>
  <c r="J9" i="16"/>
  <c r="O9" i="16" s="1"/>
  <c r="J10" i="16"/>
  <c r="O10" i="16" s="1"/>
  <c r="J11" i="16"/>
  <c r="O11" i="16" s="1"/>
  <c r="J12" i="16"/>
  <c r="J13" i="16"/>
  <c r="O13" i="16" s="1"/>
  <c r="J14" i="16"/>
  <c r="O14" i="16" s="1"/>
  <c r="J15" i="16"/>
  <c r="O15" i="16" s="1"/>
  <c r="J16" i="16"/>
  <c r="O16" i="16" s="1"/>
  <c r="J17" i="16"/>
  <c r="O17" i="16" s="1"/>
  <c r="J18" i="16"/>
  <c r="O18" i="16" s="1"/>
  <c r="M5" i="16"/>
  <c r="U5" i="16" s="1"/>
  <c r="O12" i="16"/>
  <c r="J5" i="16"/>
  <c r="O5" i="16" s="1"/>
  <c r="K5" i="16"/>
  <c r="P26" i="16"/>
  <c r="T25" i="16"/>
  <c r="P25" i="16"/>
  <c r="T24" i="16"/>
  <c r="P24" i="16"/>
  <c r="V23" i="16"/>
  <c r="T23" i="16"/>
  <c r="P23" i="16"/>
  <c r="V22" i="16"/>
  <c r="T22" i="16"/>
  <c r="P22" i="16"/>
  <c r="U22" i="16"/>
  <c r="AA22" i="16" s="1"/>
  <c r="Q22" i="16"/>
  <c r="V21" i="16"/>
  <c r="T21" i="16"/>
  <c r="P21" i="16"/>
  <c r="AM5" i="9"/>
  <c r="AM6" i="9"/>
  <c r="AM7" i="9"/>
  <c r="AM8" i="9"/>
  <c r="AM9" i="9"/>
  <c r="AM10" i="9"/>
  <c r="I12" i="20" l="1"/>
  <c r="J2" i="20"/>
  <c r="J15" i="20"/>
  <c r="J11" i="20"/>
  <c r="J7" i="20"/>
  <c r="J3" i="20"/>
  <c r="J16" i="20"/>
  <c r="J12" i="20"/>
  <c r="J8" i="20"/>
  <c r="J4" i="20"/>
  <c r="J18" i="20"/>
  <c r="J14" i="20"/>
  <c r="J10" i="20"/>
  <c r="J6" i="20"/>
  <c r="J17" i="20"/>
  <c r="J13" i="20"/>
  <c r="J9" i="20"/>
  <c r="H16" i="21"/>
  <c r="H20" i="21"/>
  <c r="H18" i="21"/>
  <c r="I14" i="19"/>
  <c r="H20" i="19" s="1"/>
  <c r="AB29" i="18"/>
  <c r="L25" i="21"/>
  <c r="L28" i="21"/>
  <c r="V76" i="16"/>
  <c r="T74" i="16"/>
  <c r="V74" i="16"/>
  <c r="P75" i="16"/>
  <c r="R75" i="16"/>
  <c r="T75" i="16"/>
  <c r="V75" i="16"/>
  <c r="Z29" i="16"/>
  <c r="P76" i="16"/>
  <c r="R76" i="16"/>
  <c r="T76" i="16"/>
  <c r="AA29" i="16"/>
  <c r="P77" i="16"/>
  <c r="R77" i="16"/>
  <c r="T77" i="16"/>
  <c r="V77" i="16"/>
  <c r="P74" i="16"/>
  <c r="P45" i="16"/>
  <c r="Q45" i="16" s="1"/>
  <c r="AD13" i="16"/>
  <c r="R22" i="16"/>
  <c r="Y22" i="16"/>
  <c r="R45" i="16"/>
  <c r="S45" i="16" s="1"/>
  <c r="R21" i="16"/>
  <c r="Y21" i="16"/>
  <c r="V60" i="16"/>
  <c r="T60" i="16"/>
  <c r="R60" i="16"/>
  <c r="P60" i="16"/>
  <c r="V59" i="16"/>
  <c r="T59" i="16"/>
  <c r="R59" i="16"/>
  <c r="P59" i="16"/>
  <c r="V58" i="16"/>
  <c r="T58" i="16"/>
  <c r="R58" i="16"/>
  <c r="P58" i="16"/>
  <c r="V57" i="16"/>
  <c r="T57" i="16"/>
  <c r="R57" i="16"/>
  <c r="P57" i="16"/>
  <c r="Z39" i="16"/>
  <c r="AE8" i="16"/>
  <c r="AE12" i="16"/>
  <c r="AE16" i="16"/>
  <c r="AE20" i="16"/>
  <c r="AE5" i="16"/>
  <c r="AD20" i="16"/>
  <c r="AD24" i="16"/>
  <c r="AD10" i="16"/>
  <c r="AD14" i="16"/>
  <c r="AD18" i="16"/>
  <c r="T45" i="16"/>
  <c r="U45" i="16" s="1"/>
  <c r="V42" i="16"/>
  <c r="R44" i="16"/>
  <c r="S44" i="16" s="1"/>
  <c r="P44" i="16"/>
  <c r="Q44" i="16" s="1"/>
  <c r="AE24" i="16"/>
  <c r="AE9" i="16"/>
  <c r="AE13" i="16"/>
  <c r="AE17" i="16"/>
  <c r="AE21" i="16"/>
  <c r="AD21" i="16"/>
  <c r="AD7" i="16"/>
  <c r="AD11" i="16"/>
  <c r="AD15" i="16"/>
  <c r="AD5" i="16"/>
  <c r="T44" i="16"/>
  <c r="U44" i="16" s="1"/>
  <c r="V45" i="16"/>
  <c r="W45" i="16" s="1"/>
  <c r="T43" i="16"/>
  <c r="U43" i="16" s="1"/>
  <c r="R43" i="16"/>
  <c r="S43" i="16" s="1"/>
  <c r="P43" i="16"/>
  <c r="Q43" i="16" s="1"/>
  <c r="AE6" i="16"/>
  <c r="AE10" i="16"/>
  <c r="AE14" i="16"/>
  <c r="AE18" i="16"/>
  <c r="AE22" i="16"/>
  <c r="AD6" i="16"/>
  <c r="AD22" i="16"/>
  <c r="AD8" i="16"/>
  <c r="AD12" i="16"/>
  <c r="AD16" i="16"/>
  <c r="V44" i="16"/>
  <c r="W44" i="16" s="1"/>
  <c r="T42" i="16"/>
  <c r="R42" i="16"/>
  <c r="P42" i="16"/>
  <c r="AB39" i="16"/>
  <c r="AE7" i="16"/>
  <c r="AE11" i="16"/>
  <c r="AE15" i="16"/>
  <c r="AE19" i="16"/>
  <c r="AE23" i="16"/>
  <c r="AD19" i="16"/>
  <c r="AD23" i="16"/>
  <c r="AD9" i="16"/>
  <c r="AD17" i="16"/>
  <c r="X29" i="16"/>
  <c r="Y23" i="16"/>
  <c r="M19" i="16"/>
  <c r="T29" i="16"/>
  <c r="T31" i="16" s="1"/>
  <c r="U7" i="16"/>
  <c r="V29" i="16" s="1"/>
  <c r="V31" i="16" s="1"/>
  <c r="K19" i="16"/>
  <c r="R11" i="16" s="1"/>
  <c r="P29" i="16"/>
  <c r="P31" i="16" s="1"/>
  <c r="L19" i="16"/>
  <c r="J19" i="16"/>
  <c r="Q5" i="16"/>
  <c r="F20" i="20" l="1"/>
  <c r="P80" i="16"/>
  <c r="P82" i="16" s="1"/>
  <c r="R80" i="16"/>
  <c r="V80" i="16"/>
  <c r="T80" i="16"/>
  <c r="Y29" i="16"/>
  <c r="V9" i="16"/>
  <c r="V5" i="16"/>
  <c r="V6" i="16"/>
  <c r="V10" i="16"/>
  <c r="V7" i="16"/>
  <c r="V11" i="16"/>
  <c r="V8" i="16"/>
  <c r="V12" i="16"/>
  <c r="R5" i="16"/>
  <c r="R10" i="16"/>
  <c r="R8" i="16"/>
  <c r="R7" i="16"/>
  <c r="R6" i="16"/>
  <c r="R9" i="16"/>
  <c r="P6" i="16"/>
  <c r="P10" i="16"/>
  <c r="P14" i="16"/>
  <c r="P18" i="16"/>
  <c r="P7" i="16"/>
  <c r="P11" i="16"/>
  <c r="P15" i="16"/>
  <c r="P5" i="16"/>
  <c r="P8" i="16"/>
  <c r="P12" i="16"/>
  <c r="P16" i="16"/>
  <c r="P9" i="16"/>
  <c r="P13" i="16"/>
  <c r="P17" i="16"/>
  <c r="T8" i="16"/>
  <c r="T12" i="16"/>
  <c r="T16" i="16"/>
  <c r="T6" i="16"/>
  <c r="T5" i="16"/>
  <c r="T11" i="16"/>
  <c r="T9" i="16"/>
  <c r="T13" i="16"/>
  <c r="T17" i="16"/>
  <c r="T10" i="16"/>
  <c r="T14" i="16"/>
  <c r="T7" i="16"/>
  <c r="T15" i="16"/>
  <c r="T30" i="16"/>
  <c r="V30" i="16"/>
  <c r="P30" i="16"/>
  <c r="R29" i="16"/>
  <c r="R31" i="16" s="1"/>
  <c r="I24" i="20" l="1"/>
  <c r="I26" i="20"/>
  <c r="V4" i="16"/>
  <c r="V32" i="16" s="1"/>
  <c r="R4" i="16"/>
  <c r="R32" i="16" s="1"/>
  <c r="P4" i="16"/>
  <c r="P32" i="16" s="1"/>
  <c r="T4" i="16"/>
  <c r="T32" i="16" s="1"/>
  <c r="R30" i="16"/>
  <c r="AO21" i="9"/>
  <c r="AQ7" i="9"/>
  <c r="AW21" i="9"/>
  <c r="AO22" i="9"/>
  <c r="AW22" i="9" s="1"/>
  <c r="AO20" i="9"/>
  <c r="AW20" i="9" s="1"/>
  <c r="AN21" i="9"/>
  <c r="AU21" i="9" s="1"/>
  <c r="AN22" i="9"/>
  <c r="AU22" i="9" s="1"/>
  <c r="AN23" i="9"/>
  <c r="AU23" i="9" s="1"/>
  <c r="AN24" i="9"/>
  <c r="AU24" i="9" s="1"/>
  <c r="AN20" i="9"/>
  <c r="AU20" i="9" s="1"/>
  <c r="AM21" i="9"/>
  <c r="AS21" i="9" s="1"/>
  <c r="AM22" i="9"/>
  <c r="AS22" i="9" s="1"/>
  <c r="AM20" i="9"/>
  <c r="AS20" i="9" s="1"/>
  <c r="AL21" i="9"/>
  <c r="AL22" i="9"/>
  <c r="AL23" i="9"/>
  <c r="AL24" i="9"/>
  <c r="AL25" i="9"/>
  <c r="AL20" i="9"/>
  <c r="AO5" i="9"/>
  <c r="AO6" i="9"/>
  <c r="AW6" i="9" s="1"/>
  <c r="AO7" i="9"/>
  <c r="AW7" i="9" s="1"/>
  <c r="AO8" i="9"/>
  <c r="AW8" i="9" s="1"/>
  <c r="AO9" i="9"/>
  <c r="AW9" i="9" s="1"/>
  <c r="AO10" i="9"/>
  <c r="AO11" i="9"/>
  <c r="AW11" i="9" s="1"/>
  <c r="AO4" i="9"/>
  <c r="AN5" i="9"/>
  <c r="AU5" i="9" s="1"/>
  <c r="AN6" i="9"/>
  <c r="AU6" i="9" s="1"/>
  <c r="AN7" i="9"/>
  <c r="AN8" i="9"/>
  <c r="AU8" i="9" s="1"/>
  <c r="AN9" i="9"/>
  <c r="AU9" i="9" s="1"/>
  <c r="AN10" i="9"/>
  <c r="AU10" i="9" s="1"/>
  <c r="AN11" i="9"/>
  <c r="AU11" i="9" s="1"/>
  <c r="AN12" i="9"/>
  <c r="AU12" i="9" s="1"/>
  <c r="AN13" i="9"/>
  <c r="AU13" i="9" s="1"/>
  <c r="AN14" i="9"/>
  <c r="AU14" i="9" s="1"/>
  <c r="AN15" i="9"/>
  <c r="AU15" i="9" s="1"/>
  <c r="AN16" i="9"/>
  <c r="AU16" i="9" s="1"/>
  <c r="AN4" i="9"/>
  <c r="AU4" i="9" s="1"/>
  <c r="AS5" i="9"/>
  <c r="AS8" i="9"/>
  <c r="AS9" i="9"/>
  <c r="AS10" i="9"/>
  <c r="AM4" i="9"/>
  <c r="AS4" i="9" s="1"/>
  <c r="AQ5" i="9"/>
  <c r="AQ6" i="9"/>
  <c r="AQ8" i="9"/>
  <c r="AQ9" i="9"/>
  <c r="AQ10" i="9"/>
  <c r="AQ11" i="9"/>
  <c r="AQ12" i="9"/>
  <c r="AQ13" i="9"/>
  <c r="AQ14" i="9"/>
  <c r="AQ15" i="9"/>
  <c r="AQ16" i="9"/>
  <c r="AQ17" i="9"/>
  <c r="AQ4" i="9"/>
  <c r="AW10" i="9"/>
  <c r="AU7" i="9"/>
  <c r="AS7" i="9"/>
  <c r="E19" i="6"/>
  <c r="E22" i="6"/>
  <c r="E25" i="6"/>
  <c r="E28" i="6"/>
  <c r="E31" i="6"/>
  <c r="E34" i="6"/>
  <c r="E37" i="6"/>
  <c r="E40" i="6"/>
  <c r="E43" i="6"/>
  <c r="E46" i="6"/>
  <c r="E16" i="6"/>
  <c r="E32" i="5"/>
  <c r="E35" i="5"/>
  <c r="E38" i="5"/>
  <c r="E41" i="5"/>
  <c r="E44" i="5"/>
  <c r="E47" i="5"/>
  <c r="E50" i="5"/>
  <c r="E53" i="5"/>
  <c r="E56" i="5"/>
  <c r="E59" i="5"/>
  <c r="E62" i="5"/>
  <c r="E65" i="5"/>
  <c r="E68" i="5"/>
  <c r="E71" i="5"/>
  <c r="E74" i="5"/>
  <c r="E77" i="5"/>
  <c r="E80" i="5"/>
  <c r="E29" i="5"/>
  <c r="E20" i="4"/>
  <c r="E23" i="4"/>
  <c r="E26" i="4"/>
  <c r="E29" i="4"/>
  <c r="E32" i="4"/>
  <c r="E35" i="4"/>
  <c r="E38" i="4"/>
  <c r="E41" i="4"/>
  <c r="E44" i="4"/>
  <c r="E17" i="4"/>
  <c r="AD35" i="3"/>
  <c r="AD36" i="3"/>
  <c r="AD37" i="3"/>
  <c r="AD34" i="3"/>
  <c r="AD28" i="3"/>
  <c r="AD29" i="3"/>
  <c r="AD30" i="3"/>
  <c r="AD27" i="3"/>
  <c r="X26" i="3"/>
  <c r="O3" i="6"/>
  <c r="O4" i="6"/>
  <c r="O5" i="6"/>
  <c r="O6" i="6"/>
  <c r="O7" i="6"/>
  <c r="O8" i="6"/>
  <c r="O9" i="6"/>
  <c r="O10" i="6"/>
  <c r="O11" i="6"/>
  <c r="O12" i="6"/>
  <c r="O2" i="6"/>
  <c r="N3" i="6"/>
  <c r="N4" i="6"/>
  <c r="N5" i="6"/>
  <c r="N6" i="6"/>
  <c r="N7" i="6"/>
  <c r="N8" i="6"/>
  <c r="N9" i="6"/>
  <c r="N10" i="6"/>
  <c r="N11" i="6"/>
  <c r="N12" i="6"/>
  <c r="N2" i="6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2" i="5"/>
  <c r="O3" i="4"/>
  <c r="O4" i="4"/>
  <c r="O5" i="4"/>
  <c r="O6" i="4"/>
  <c r="O7" i="4"/>
  <c r="O8" i="4"/>
  <c r="O9" i="4"/>
  <c r="O10" i="4"/>
  <c r="O11" i="4"/>
  <c r="O2" i="4"/>
  <c r="P3" i="4"/>
  <c r="P4" i="4"/>
  <c r="P5" i="4"/>
  <c r="P6" i="4"/>
  <c r="P7" i="4"/>
  <c r="P8" i="4"/>
  <c r="P9" i="4"/>
  <c r="P10" i="4"/>
  <c r="P11" i="4"/>
  <c r="P2" i="4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3" i="3"/>
  <c r="X2" i="3"/>
  <c r="Y2" i="3"/>
  <c r="I28" i="20" l="1"/>
  <c r="AO18" i="9"/>
  <c r="AX20" i="9" s="1"/>
  <c r="AM18" i="9"/>
  <c r="AT21" i="9" s="1"/>
  <c r="AW5" i="9"/>
  <c r="AV31" i="9"/>
  <c r="AV35" i="9" s="1"/>
  <c r="AN18" i="9"/>
  <c r="AV22" i="9" s="1"/>
  <c r="AS6" i="9"/>
  <c r="AT31" i="9" s="1"/>
  <c r="AR33" i="9"/>
  <c r="AR44" i="9" s="1"/>
  <c r="AL18" i="9"/>
  <c r="AW4" i="9"/>
  <c r="S26" i="13"/>
  <c r="O5" i="13"/>
  <c r="T5" i="13" s="1"/>
  <c r="O6" i="13"/>
  <c r="T6" i="13" s="1"/>
  <c r="O7" i="13"/>
  <c r="T7" i="13" s="1"/>
  <c r="O8" i="13"/>
  <c r="T8" i="13" s="1"/>
  <c r="O9" i="13"/>
  <c r="T9" i="13" s="1"/>
  <c r="O10" i="13"/>
  <c r="T10" i="13" s="1"/>
  <c r="O11" i="13"/>
  <c r="T11" i="13" s="1"/>
  <c r="O12" i="13"/>
  <c r="T12" i="13" s="1"/>
  <c r="O13" i="13"/>
  <c r="T13" i="13" s="1"/>
  <c r="O4" i="13"/>
  <c r="N5" i="13"/>
  <c r="S5" i="13" s="1"/>
  <c r="N6" i="13"/>
  <c r="S6" i="13" s="1"/>
  <c r="N7" i="13"/>
  <c r="S7" i="13" s="1"/>
  <c r="N8" i="13"/>
  <c r="S8" i="13" s="1"/>
  <c r="N9" i="13"/>
  <c r="S9" i="13" s="1"/>
  <c r="N10" i="13"/>
  <c r="S10" i="13" s="1"/>
  <c r="N11" i="13"/>
  <c r="S11" i="13" s="1"/>
  <c r="N12" i="13"/>
  <c r="S12" i="13" s="1"/>
  <c r="N13" i="13"/>
  <c r="N14" i="13"/>
  <c r="S14" i="13" s="1"/>
  <c r="N15" i="13"/>
  <c r="S15" i="13" s="1"/>
  <c r="N16" i="13"/>
  <c r="S16" i="13" s="1"/>
  <c r="N17" i="13"/>
  <c r="S17" i="13" s="1"/>
  <c r="N18" i="13"/>
  <c r="S18" i="13" s="1"/>
  <c r="N19" i="13"/>
  <c r="S19" i="13" s="1"/>
  <c r="N20" i="13"/>
  <c r="S20" i="13" s="1"/>
  <c r="N21" i="13"/>
  <c r="S21" i="13" s="1"/>
  <c r="N22" i="13"/>
  <c r="S22" i="13" s="1"/>
  <c r="N23" i="13"/>
  <c r="S23" i="13" s="1"/>
  <c r="N4" i="13"/>
  <c r="S4" i="13" s="1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4" i="12"/>
  <c r="S13" i="13"/>
  <c r="V27" i="14"/>
  <c r="Z24" i="14"/>
  <c r="Z5" i="14"/>
  <c r="Z6" i="14"/>
  <c r="Z7" i="14"/>
  <c r="Z8" i="14"/>
  <c r="Z9" i="14"/>
  <c r="Z10" i="14"/>
  <c r="Z11" i="14"/>
  <c r="Z12" i="14"/>
  <c r="Z13" i="14"/>
  <c r="Z14" i="14"/>
  <c r="Z4" i="14"/>
  <c r="Q5" i="14"/>
  <c r="V5" i="14" s="1"/>
  <c r="Q6" i="14"/>
  <c r="V6" i="14" s="1"/>
  <c r="Q7" i="14"/>
  <c r="V7" i="14" s="1"/>
  <c r="Q8" i="14"/>
  <c r="V8" i="14" s="1"/>
  <c r="Q9" i="14"/>
  <c r="V9" i="14" s="1"/>
  <c r="Q10" i="14"/>
  <c r="V10" i="14" s="1"/>
  <c r="Q11" i="14"/>
  <c r="V11" i="14" s="1"/>
  <c r="Q12" i="14"/>
  <c r="V12" i="14" s="1"/>
  <c r="Q13" i="14"/>
  <c r="V13" i="14" s="1"/>
  <c r="Q14" i="14"/>
  <c r="V14" i="14" s="1"/>
  <c r="Q4" i="14"/>
  <c r="V4" i="14" s="1"/>
  <c r="P5" i="14"/>
  <c r="U5" i="14" s="1"/>
  <c r="P6" i="14"/>
  <c r="U6" i="14" s="1"/>
  <c r="P7" i="14"/>
  <c r="U7" i="14" s="1"/>
  <c r="P8" i="14"/>
  <c r="U8" i="14" s="1"/>
  <c r="P9" i="14"/>
  <c r="U9" i="14" s="1"/>
  <c r="P10" i="14"/>
  <c r="U10" i="14" s="1"/>
  <c r="P11" i="14"/>
  <c r="U11" i="14" s="1"/>
  <c r="P12" i="14"/>
  <c r="U12" i="14" s="1"/>
  <c r="P13" i="14"/>
  <c r="U13" i="14" s="1"/>
  <c r="P14" i="14"/>
  <c r="U14" i="14" s="1"/>
  <c r="P15" i="14"/>
  <c r="U15" i="14" s="1"/>
  <c r="P16" i="14"/>
  <c r="U16" i="14" s="1"/>
  <c r="P17" i="14"/>
  <c r="U17" i="14" s="1"/>
  <c r="P18" i="14"/>
  <c r="U18" i="14" s="1"/>
  <c r="P19" i="14"/>
  <c r="U19" i="14" s="1"/>
  <c r="P20" i="14"/>
  <c r="U20" i="14" s="1"/>
  <c r="P21" i="14"/>
  <c r="U21" i="14" s="1"/>
  <c r="P4" i="14"/>
  <c r="U4" i="14" s="1"/>
  <c r="O4" i="14"/>
  <c r="T4" i="14" s="1"/>
  <c r="O5" i="14"/>
  <c r="T5" i="14" s="1"/>
  <c r="O6" i="14"/>
  <c r="T6" i="14" s="1"/>
  <c r="O7" i="14"/>
  <c r="T7" i="14" s="1"/>
  <c r="O8" i="14"/>
  <c r="T8" i="14" s="1"/>
  <c r="O9" i="14"/>
  <c r="T9" i="14" s="1"/>
  <c r="O10" i="14"/>
  <c r="T10" i="14" s="1"/>
  <c r="O11" i="14"/>
  <c r="T11" i="14" s="1"/>
  <c r="O12" i="14"/>
  <c r="T12" i="14" s="1"/>
  <c r="O13" i="14"/>
  <c r="T13" i="14" s="1"/>
  <c r="N5" i="14"/>
  <c r="N6" i="14"/>
  <c r="S6" i="14" s="1"/>
  <c r="N7" i="14"/>
  <c r="S7" i="14" s="1"/>
  <c r="N8" i="14"/>
  <c r="S8" i="14" s="1"/>
  <c r="N9" i="14"/>
  <c r="S9" i="14" s="1"/>
  <c r="N10" i="14"/>
  <c r="S10" i="14" s="1"/>
  <c r="N11" i="14"/>
  <c r="S11" i="14" s="1"/>
  <c r="N12" i="14"/>
  <c r="S12" i="14" s="1"/>
  <c r="N13" i="14"/>
  <c r="S13" i="14" s="1"/>
  <c r="N14" i="14"/>
  <c r="S14" i="14" s="1"/>
  <c r="N15" i="14"/>
  <c r="S15" i="14" s="1"/>
  <c r="N16" i="14"/>
  <c r="S16" i="14" s="1"/>
  <c r="N17" i="14"/>
  <c r="S17" i="14" s="1"/>
  <c r="N18" i="14"/>
  <c r="S18" i="14" s="1"/>
  <c r="N19" i="14"/>
  <c r="S19" i="14" s="1"/>
  <c r="N20" i="14"/>
  <c r="S20" i="14" s="1"/>
  <c r="N21" i="14"/>
  <c r="S21" i="14" s="1"/>
  <c r="N22" i="14"/>
  <c r="S22" i="14" s="1"/>
  <c r="N23" i="14"/>
  <c r="S23" i="14" s="1"/>
  <c r="N4" i="14"/>
  <c r="S4" i="14" s="1"/>
  <c r="M5" i="10"/>
  <c r="R5" i="10" s="1"/>
  <c r="M6" i="10"/>
  <c r="R6" i="10" s="1"/>
  <c r="M7" i="10"/>
  <c r="R7" i="10" s="1"/>
  <c r="M8" i="10"/>
  <c r="R8" i="10" s="1"/>
  <c r="M9" i="10"/>
  <c r="R9" i="10" s="1"/>
  <c r="M10" i="10"/>
  <c r="R10" i="10" s="1"/>
  <c r="M11" i="10"/>
  <c r="R11" i="10" s="1"/>
  <c r="M12" i="10"/>
  <c r="R12" i="10" s="1"/>
  <c r="M13" i="10"/>
  <c r="R13" i="10" s="1"/>
  <c r="M14" i="10"/>
  <c r="R14" i="10" s="1"/>
  <c r="M4" i="10"/>
  <c r="R4" i="10" s="1"/>
  <c r="L5" i="10"/>
  <c r="Q5" i="10" s="1"/>
  <c r="L6" i="10"/>
  <c r="Q6" i="10" s="1"/>
  <c r="L7" i="10"/>
  <c r="Q7" i="10" s="1"/>
  <c r="L8" i="10"/>
  <c r="Q8" i="10" s="1"/>
  <c r="L9" i="10"/>
  <c r="Q9" i="10" s="1"/>
  <c r="L10" i="10"/>
  <c r="Q10" i="10" s="1"/>
  <c r="L11" i="10"/>
  <c r="Q11" i="10" s="1"/>
  <c r="L12" i="10"/>
  <c r="Q12" i="10" s="1"/>
  <c r="L13" i="10"/>
  <c r="Q13" i="10" s="1"/>
  <c r="L14" i="10"/>
  <c r="Q14" i="10" s="1"/>
  <c r="L15" i="10"/>
  <c r="Q15" i="10" s="1"/>
  <c r="L16" i="10"/>
  <c r="Q16" i="10" s="1"/>
  <c r="L17" i="10"/>
  <c r="Q17" i="10" s="1"/>
  <c r="L18" i="10"/>
  <c r="Q18" i="10" s="1"/>
  <c r="L19" i="10"/>
  <c r="Q19" i="10" s="1"/>
  <c r="L20" i="10"/>
  <c r="Q20" i="10" s="1"/>
  <c r="L21" i="10"/>
  <c r="Q21" i="10" s="1"/>
  <c r="L4" i="10"/>
  <c r="Q4" i="10" s="1"/>
  <c r="K5" i="10"/>
  <c r="P5" i="10" s="1"/>
  <c r="K6" i="10"/>
  <c r="P6" i="10" s="1"/>
  <c r="K7" i="10"/>
  <c r="P7" i="10" s="1"/>
  <c r="K8" i="10"/>
  <c r="P8" i="10" s="1"/>
  <c r="K9" i="10"/>
  <c r="P9" i="10" s="1"/>
  <c r="K10" i="10"/>
  <c r="P10" i="10" s="1"/>
  <c r="K11" i="10"/>
  <c r="P11" i="10" s="1"/>
  <c r="K12" i="10"/>
  <c r="P12" i="10" s="1"/>
  <c r="K13" i="10"/>
  <c r="P13" i="10" s="1"/>
  <c r="K4" i="10"/>
  <c r="P4" i="10" s="1"/>
  <c r="J5" i="10"/>
  <c r="O5" i="10" s="1"/>
  <c r="J6" i="10"/>
  <c r="O6" i="10" s="1"/>
  <c r="J7" i="10"/>
  <c r="O7" i="10" s="1"/>
  <c r="J9" i="10"/>
  <c r="O9" i="10" s="1"/>
  <c r="J10" i="10"/>
  <c r="O10" i="10" s="1"/>
  <c r="J12" i="10"/>
  <c r="O12" i="10" s="1"/>
  <c r="J13" i="10"/>
  <c r="O13" i="10" s="1"/>
  <c r="J15" i="10"/>
  <c r="O15" i="10" s="1"/>
  <c r="J16" i="10"/>
  <c r="O16" i="10" s="1"/>
  <c r="J18" i="10"/>
  <c r="O18" i="10" s="1"/>
  <c r="O20" i="10"/>
  <c r="J21" i="10"/>
  <c r="J22" i="10"/>
  <c r="O22" i="10" s="1"/>
  <c r="J23" i="10"/>
  <c r="O23" i="10" s="1"/>
  <c r="J4" i="10"/>
  <c r="O14" i="9"/>
  <c r="W14" i="9" s="1"/>
  <c r="O5" i="9"/>
  <c r="W5" i="9" s="1"/>
  <c r="O6" i="9"/>
  <c r="W6" i="9" s="1"/>
  <c r="O7" i="9"/>
  <c r="W7" i="9" s="1"/>
  <c r="O8" i="9"/>
  <c r="W8" i="9" s="1"/>
  <c r="O9" i="9"/>
  <c r="W9" i="9" s="1"/>
  <c r="O10" i="9"/>
  <c r="W10" i="9" s="1"/>
  <c r="O11" i="9"/>
  <c r="W11" i="9" s="1"/>
  <c r="O12" i="9"/>
  <c r="W12" i="9" s="1"/>
  <c r="O13" i="9"/>
  <c r="W13" i="9" s="1"/>
  <c r="O4" i="9"/>
  <c r="W4" i="9" s="1"/>
  <c r="T27" i="9"/>
  <c r="N21" i="9"/>
  <c r="U21" i="9" s="1"/>
  <c r="N15" i="9"/>
  <c r="U15" i="9" s="1"/>
  <c r="N16" i="9"/>
  <c r="U16" i="9" s="1"/>
  <c r="N17" i="9"/>
  <c r="U17" i="9" s="1"/>
  <c r="N18" i="9"/>
  <c r="U18" i="9" s="1"/>
  <c r="N19" i="9"/>
  <c r="U19" i="9" s="1"/>
  <c r="N20" i="9"/>
  <c r="U20" i="9" s="1"/>
  <c r="N5" i="9"/>
  <c r="U5" i="9" s="1"/>
  <c r="N6" i="9"/>
  <c r="U6" i="9" s="1"/>
  <c r="N7" i="9"/>
  <c r="U7" i="9" s="1"/>
  <c r="N8" i="9"/>
  <c r="U8" i="9" s="1"/>
  <c r="N9" i="9"/>
  <c r="U9" i="9" s="1"/>
  <c r="N10" i="9"/>
  <c r="U10" i="9" s="1"/>
  <c r="N11" i="9"/>
  <c r="U11" i="9" s="1"/>
  <c r="N12" i="9"/>
  <c r="U12" i="9" s="1"/>
  <c r="N13" i="9"/>
  <c r="U13" i="9" s="1"/>
  <c r="N14" i="9"/>
  <c r="U14" i="9" s="1"/>
  <c r="N4" i="9"/>
  <c r="U4" i="9" s="1"/>
  <c r="M5" i="9"/>
  <c r="S5" i="9" s="1"/>
  <c r="M6" i="9"/>
  <c r="S6" i="9" s="1"/>
  <c r="M7" i="9"/>
  <c r="S7" i="9" s="1"/>
  <c r="M8" i="9"/>
  <c r="S8" i="9" s="1"/>
  <c r="M9" i="9"/>
  <c r="S9" i="9" s="1"/>
  <c r="M10" i="9"/>
  <c r="S10" i="9" s="1"/>
  <c r="M11" i="9"/>
  <c r="S11" i="9" s="1"/>
  <c r="M12" i="9"/>
  <c r="S12" i="9" s="1"/>
  <c r="M13" i="9"/>
  <c r="S13" i="9" s="1"/>
  <c r="M4" i="9"/>
  <c r="L5" i="9"/>
  <c r="Q5" i="9" s="1"/>
  <c r="L6" i="9"/>
  <c r="Q6" i="9" s="1"/>
  <c r="L7" i="9"/>
  <c r="Q7" i="9" s="1"/>
  <c r="L8" i="9"/>
  <c r="Q8" i="9" s="1"/>
  <c r="L9" i="9"/>
  <c r="Q9" i="9" s="1"/>
  <c r="L10" i="9"/>
  <c r="Q10" i="9" s="1"/>
  <c r="L11" i="9"/>
  <c r="Q11" i="9" s="1"/>
  <c r="L12" i="9"/>
  <c r="Q12" i="9" s="1"/>
  <c r="L13" i="9"/>
  <c r="Q13" i="9" s="1"/>
  <c r="L14" i="9"/>
  <c r="Q14" i="9" s="1"/>
  <c r="L15" i="9"/>
  <c r="Q15" i="9" s="1"/>
  <c r="L16" i="9"/>
  <c r="Q16" i="9" s="1"/>
  <c r="L17" i="9"/>
  <c r="Q17" i="9" s="1"/>
  <c r="L18" i="9"/>
  <c r="Q18" i="9" s="1"/>
  <c r="L19" i="9"/>
  <c r="Q19" i="9" s="1"/>
  <c r="L20" i="9"/>
  <c r="Q20" i="9" s="1"/>
  <c r="L21" i="9"/>
  <c r="Q21" i="9" s="1"/>
  <c r="L22" i="9"/>
  <c r="Q22" i="9" s="1"/>
  <c r="L23" i="9"/>
  <c r="Q23" i="9" s="1"/>
  <c r="L4" i="9"/>
  <c r="Q4" i="9" s="1"/>
  <c r="Q5" i="7"/>
  <c r="Z5" i="7" s="1"/>
  <c r="Q6" i="7"/>
  <c r="Z6" i="7" s="1"/>
  <c r="Q7" i="7"/>
  <c r="Z7" i="7" s="1"/>
  <c r="Q8" i="7"/>
  <c r="Z8" i="7" s="1"/>
  <c r="Q9" i="7"/>
  <c r="Z9" i="7" s="1"/>
  <c r="Q10" i="7"/>
  <c r="Z10" i="7" s="1"/>
  <c r="Q11" i="7"/>
  <c r="Z11" i="7" s="1"/>
  <c r="Q12" i="7"/>
  <c r="Z12" i="7" s="1"/>
  <c r="Q13" i="7"/>
  <c r="Z13" i="7" s="1"/>
  <c r="Q14" i="7"/>
  <c r="Z14" i="7" s="1"/>
  <c r="Q4" i="7"/>
  <c r="Z4" i="7" s="1"/>
  <c r="O5" i="7"/>
  <c r="X5" i="7" s="1"/>
  <c r="O6" i="7"/>
  <c r="X6" i="7" s="1"/>
  <c r="O7" i="7"/>
  <c r="X7" i="7" s="1"/>
  <c r="O8" i="7"/>
  <c r="X8" i="7" s="1"/>
  <c r="O9" i="7"/>
  <c r="X9" i="7" s="1"/>
  <c r="O10" i="7"/>
  <c r="X10" i="7" s="1"/>
  <c r="O11" i="7"/>
  <c r="X11" i="7" s="1"/>
  <c r="O12" i="7"/>
  <c r="X12" i="7" s="1"/>
  <c r="O13" i="7"/>
  <c r="X13" i="7" s="1"/>
  <c r="O14" i="7"/>
  <c r="X14" i="7" s="1"/>
  <c r="O15" i="7"/>
  <c r="X15" i="7" s="1"/>
  <c r="O16" i="7"/>
  <c r="X16" i="7" s="1"/>
  <c r="O17" i="7"/>
  <c r="X17" i="7" s="1"/>
  <c r="O18" i="7"/>
  <c r="X18" i="7" s="1"/>
  <c r="O19" i="7"/>
  <c r="X19" i="7" s="1"/>
  <c r="O20" i="7"/>
  <c r="X20" i="7" s="1"/>
  <c r="O21" i="7"/>
  <c r="X21" i="7" s="1"/>
  <c r="O4" i="7"/>
  <c r="X4" i="7" s="1"/>
  <c r="W5" i="7"/>
  <c r="W6" i="7"/>
  <c r="W7" i="7"/>
  <c r="W8" i="7"/>
  <c r="W9" i="7"/>
  <c r="W10" i="7"/>
  <c r="W11" i="7"/>
  <c r="W12" i="7"/>
  <c r="W13" i="7"/>
  <c r="W4" i="7"/>
  <c r="M5" i="7"/>
  <c r="M6" i="7"/>
  <c r="V6" i="7" s="1"/>
  <c r="M7" i="7"/>
  <c r="V7" i="7" s="1"/>
  <c r="M8" i="7"/>
  <c r="V8" i="7" s="1"/>
  <c r="M9" i="7"/>
  <c r="V9" i="7" s="1"/>
  <c r="M10" i="7"/>
  <c r="V10" i="7" s="1"/>
  <c r="M11" i="7"/>
  <c r="V11" i="7" s="1"/>
  <c r="M12" i="7"/>
  <c r="V12" i="7" s="1"/>
  <c r="M13" i="7"/>
  <c r="V13" i="7" s="1"/>
  <c r="M4" i="7"/>
  <c r="U26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4" i="7"/>
  <c r="K24" i="7"/>
  <c r="A24" i="7"/>
  <c r="B24" i="7"/>
  <c r="AX7" i="9" l="1"/>
  <c r="AX11" i="9"/>
  <c r="AX31" i="9"/>
  <c r="AX35" i="9" s="1"/>
  <c r="AX8" i="9"/>
  <c r="AX4" i="9"/>
  <c r="AX5" i="9"/>
  <c r="AX21" i="9"/>
  <c r="AX6" i="9"/>
  <c r="AX10" i="9"/>
  <c r="AX9" i="9"/>
  <c r="AX22" i="9"/>
  <c r="AV20" i="9"/>
  <c r="AV24" i="9"/>
  <c r="AV4" i="9"/>
  <c r="AV14" i="9"/>
  <c r="AV15" i="9"/>
  <c r="AT4" i="9"/>
  <c r="AT9" i="9"/>
  <c r="AT22" i="9"/>
  <c r="AT10" i="9"/>
  <c r="AT5" i="9"/>
  <c r="AT20" i="9"/>
  <c r="AT7" i="9"/>
  <c r="AT8" i="9"/>
  <c r="AT6" i="9"/>
  <c r="AT35" i="9"/>
  <c r="AT33" i="9"/>
  <c r="AV23" i="9"/>
  <c r="AV21" i="9"/>
  <c r="AV9" i="9"/>
  <c r="AV12" i="9"/>
  <c r="AV6" i="9"/>
  <c r="AV11" i="9"/>
  <c r="AV16" i="9"/>
  <c r="AV33" i="9"/>
  <c r="AV13" i="9"/>
  <c r="AV10" i="9"/>
  <c r="AV7" i="9"/>
  <c r="AV8" i="9"/>
  <c r="AV5" i="9"/>
  <c r="AR9" i="9"/>
  <c r="AR17" i="9"/>
  <c r="AR23" i="9"/>
  <c r="AR6" i="9"/>
  <c r="AR10" i="9"/>
  <c r="AR14" i="9"/>
  <c r="AR4" i="9"/>
  <c r="AR25" i="9"/>
  <c r="AR24" i="9"/>
  <c r="AR7" i="9"/>
  <c r="AR11" i="9"/>
  <c r="AR15" i="9"/>
  <c r="AR21" i="9"/>
  <c r="AR8" i="9"/>
  <c r="AR12" i="9"/>
  <c r="AR16" i="9"/>
  <c r="AR22" i="9"/>
  <c r="AR20" i="9"/>
  <c r="AR5" i="9"/>
  <c r="AR13" i="9"/>
  <c r="O24" i="13"/>
  <c r="X7" i="13" s="1"/>
  <c r="T4" i="13"/>
  <c r="T24" i="13" s="1"/>
  <c r="S24" i="13"/>
  <c r="N24" i="13"/>
  <c r="U24" i="14"/>
  <c r="P25" i="14"/>
  <c r="V24" i="14"/>
  <c r="Q25" i="14"/>
  <c r="W20" i="14"/>
  <c r="W23" i="14"/>
  <c r="W7" i="14"/>
  <c r="W10" i="14"/>
  <c r="W13" i="14"/>
  <c r="T24" i="14"/>
  <c r="N25" i="14"/>
  <c r="W4" i="14" s="1"/>
  <c r="O25" i="14"/>
  <c r="S5" i="14"/>
  <c r="R24" i="10"/>
  <c r="M24" i="10"/>
  <c r="Q24" i="10"/>
  <c r="Q25" i="10" s="1"/>
  <c r="L24" i="10"/>
  <c r="P24" i="10"/>
  <c r="P25" i="10" s="1"/>
  <c r="K24" i="10"/>
  <c r="J24" i="10"/>
  <c r="S19" i="10" s="1"/>
  <c r="O4" i="10"/>
  <c r="O24" i="10" s="1"/>
  <c r="X25" i="9"/>
  <c r="O24" i="9"/>
  <c r="V25" i="9"/>
  <c r="N24" i="9"/>
  <c r="M24" i="9"/>
  <c r="T7" i="9" s="1"/>
  <c r="S4" i="9"/>
  <c r="R25" i="9"/>
  <c r="R29" i="9" s="1"/>
  <c r="L24" i="9"/>
  <c r="Z26" i="7"/>
  <c r="Z30" i="7" s="1"/>
  <c r="Q15" i="7"/>
  <c r="AA7" i="7" s="1"/>
  <c r="O22" i="7"/>
  <c r="Y7" i="7" s="1"/>
  <c r="X26" i="7"/>
  <c r="X28" i="7" s="1"/>
  <c r="M14" i="7"/>
  <c r="V5" i="7"/>
  <c r="V4" i="7"/>
  <c r="AX33" i="9" l="1"/>
  <c r="AX3" i="9"/>
  <c r="AX37" i="9" s="1"/>
  <c r="AT3" i="9"/>
  <c r="AT37" i="9" s="1"/>
  <c r="AV3" i="9"/>
  <c r="AV37" i="9" s="1"/>
  <c r="AR3" i="9"/>
  <c r="AR37" i="9" s="1"/>
  <c r="X6" i="13"/>
  <c r="X12" i="13"/>
  <c r="X8" i="13"/>
  <c r="X4" i="13"/>
  <c r="X13" i="13"/>
  <c r="X11" i="13"/>
  <c r="X5" i="13"/>
  <c r="X10" i="13"/>
  <c r="X9" i="13"/>
  <c r="T26" i="13"/>
  <c r="T25" i="13"/>
  <c r="W5" i="13"/>
  <c r="W9" i="13"/>
  <c r="W13" i="13"/>
  <c r="W17" i="13"/>
  <c r="W21" i="13"/>
  <c r="W6" i="13"/>
  <c r="W10" i="13"/>
  <c r="W14" i="13"/>
  <c r="W18" i="13"/>
  <c r="W22" i="13"/>
  <c r="W7" i="13"/>
  <c r="W11" i="13"/>
  <c r="W15" i="13"/>
  <c r="W19" i="13"/>
  <c r="W23" i="13"/>
  <c r="W8" i="13"/>
  <c r="W12" i="13"/>
  <c r="W16" i="13"/>
  <c r="W20" i="13"/>
  <c r="W4" i="13"/>
  <c r="S25" i="13"/>
  <c r="Y6" i="14"/>
  <c r="Y10" i="14"/>
  <c r="Y14" i="14"/>
  <c r="Y18" i="14"/>
  <c r="Y4" i="14"/>
  <c r="Y7" i="14"/>
  <c r="Y11" i="14"/>
  <c r="Y15" i="14"/>
  <c r="Y19" i="14"/>
  <c r="Y8" i="14"/>
  <c r="Y12" i="14"/>
  <c r="Y16" i="14"/>
  <c r="Y20" i="14"/>
  <c r="Y5" i="14"/>
  <c r="Y9" i="14"/>
  <c r="Y13" i="14"/>
  <c r="Y17" i="14"/>
  <c r="Y21" i="14"/>
  <c r="U25" i="14"/>
  <c r="U26" i="14"/>
  <c r="V26" i="14"/>
  <c r="V25" i="14"/>
  <c r="W21" i="14"/>
  <c r="W18" i="14"/>
  <c r="W15" i="14"/>
  <c r="W12" i="14"/>
  <c r="S24" i="14"/>
  <c r="W5" i="14"/>
  <c r="W24" i="14" s="1"/>
  <c r="W9" i="14"/>
  <c r="W6" i="14"/>
  <c r="W22" i="14"/>
  <c r="W19" i="14"/>
  <c r="W16" i="14"/>
  <c r="W17" i="14"/>
  <c r="W14" i="14"/>
  <c r="W11" i="14"/>
  <c r="W8" i="14"/>
  <c r="X7" i="14"/>
  <c r="X11" i="14"/>
  <c r="X8" i="14"/>
  <c r="X12" i="14"/>
  <c r="X5" i="14"/>
  <c r="X9" i="14"/>
  <c r="X13" i="14"/>
  <c r="X6" i="14"/>
  <c r="X10" i="14"/>
  <c r="X4" i="14"/>
  <c r="T26" i="14"/>
  <c r="T25" i="14"/>
  <c r="V8" i="10"/>
  <c r="V12" i="10"/>
  <c r="V7" i="10"/>
  <c r="V11" i="10"/>
  <c r="V5" i="10"/>
  <c r="V9" i="10"/>
  <c r="V13" i="10"/>
  <c r="V6" i="10"/>
  <c r="V10" i="10"/>
  <c r="V4" i="10"/>
  <c r="R26" i="10"/>
  <c r="R25" i="10"/>
  <c r="Q26" i="10"/>
  <c r="U18" i="10"/>
  <c r="U16" i="10"/>
  <c r="U7" i="10"/>
  <c r="U11" i="10"/>
  <c r="U20" i="10"/>
  <c r="U5" i="10"/>
  <c r="U13" i="10"/>
  <c r="U6" i="10"/>
  <c r="U14" i="10"/>
  <c r="U19" i="10"/>
  <c r="U15" i="10"/>
  <c r="U8" i="10"/>
  <c r="U12" i="10"/>
  <c r="U4" i="10"/>
  <c r="U9" i="10"/>
  <c r="U17" i="10"/>
  <c r="U21" i="10"/>
  <c r="U10" i="10"/>
  <c r="P26" i="10"/>
  <c r="T8" i="10"/>
  <c r="T12" i="10"/>
  <c r="T4" i="10"/>
  <c r="T5" i="10"/>
  <c r="T9" i="10"/>
  <c r="T13" i="10"/>
  <c r="T6" i="10"/>
  <c r="T10" i="10"/>
  <c r="T7" i="10"/>
  <c r="T11" i="10"/>
  <c r="S18" i="10"/>
  <c r="S5" i="10"/>
  <c r="S4" i="10"/>
  <c r="S15" i="10"/>
  <c r="S17" i="10"/>
  <c r="S14" i="10"/>
  <c r="S20" i="10"/>
  <c r="S11" i="10"/>
  <c r="S21" i="10"/>
  <c r="S8" i="10"/>
  <c r="S10" i="10"/>
  <c r="S13" i="10"/>
  <c r="S16" i="10"/>
  <c r="S23" i="10"/>
  <c r="S7" i="10"/>
  <c r="S22" i="10"/>
  <c r="S6" i="10"/>
  <c r="S9" i="10"/>
  <c r="S12" i="10"/>
  <c r="O26" i="10"/>
  <c r="O25" i="10"/>
  <c r="X5" i="9"/>
  <c r="X9" i="9"/>
  <c r="X13" i="9"/>
  <c r="X6" i="9"/>
  <c r="X10" i="9"/>
  <c r="X14" i="9"/>
  <c r="X7" i="9"/>
  <c r="X11" i="9"/>
  <c r="X4" i="9"/>
  <c r="X8" i="9"/>
  <c r="X12" i="9"/>
  <c r="X29" i="9"/>
  <c r="X27" i="9"/>
  <c r="V8" i="9"/>
  <c r="V20" i="9"/>
  <c r="V5" i="9"/>
  <c r="V9" i="9"/>
  <c r="V13" i="9"/>
  <c r="V17" i="9"/>
  <c r="V21" i="9"/>
  <c r="V7" i="9"/>
  <c r="V12" i="9"/>
  <c r="V6" i="9"/>
  <c r="V10" i="9"/>
  <c r="V14" i="9"/>
  <c r="V18" i="9"/>
  <c r="V4" i="9"/>
  <c r="V11" i="9"/>
  <c r="V15" i="9"/>
  <c r="V19" i="9"/>
  <c r="V16" i="9"/>
  <c r="V27" i="9"/>
  <c r="V29" i="9"/>
  <c r="T12" i="9"/>
  <c r="T8" i="9"/>
  <c r="T5" i="9"/>
  <c r="T6" i="9"/>
  <c r="T10" i="9"/>
  <c r="T11" i="9"/>
  <c r="T13" i="9"/>
  <c r="T9" i="9"/>
  <c r="T4" i="9"/>
  <c r="T25" i="9"/>
  <c r="R27" i="9"/>
  <c r="R8" i="9"/>
  <c r="R12" i="9"/>
  <c r="R16" i="9"/>
  <c r="R20" i="9"/>
  <c r="R4" i="9"/>
  <c r="R6" i="9"/>
  <c r="R22" i="9"/>
  <c r="R15" i="9"/>
  <c r="R23" i="9"/>
  <c r="R5" i="9"/>
  <c r="R9" i="9"/>
  <c r="R13" i="9"/>
  <c r="R17" i="9"/>
  <c r="R21" i="9"/>
  <c r="R10" i="9"/>
  <c r="R14" i="9"/>
  <c r="R18" i="9"/>
  <c r="R7" i="9"/>
  <c r="R11" i="9"/>
  <c r="R19" i="9"/>
  <c r="Z28" i="7"/>
  <c r="AA13" i="7"/>
  <c r="AA8" i="7"/>
  <c r="AA14" i="7"/>
  <c r="AA4" i="7"/>
  <c r="AA9" i="7"/>
  <c r="AA10" i="7"/>
  <c r="AA5" i="7"/>
  <c r="AA11" i="7"/>
  <c r="AA6" i="7"/>
  <c r="AA12" i="7"/>
  <c r="Y8" i="7"/>
  <c r="Y17" i="7"/>
  <c r="Y11" i="7"/>
  <c r="Y14" i="7"/>
  <c r="Y15" i="7"/>
  <c r="Y9" i="7"/>
  <c r="Y18" i="7"/>
  <c r="Y16" i="7"/>
  <c r="Y19" i="7"/>
  <c r="Y13" i="7"/>
  <c r="Y4" i="7"/>
  <c r="Y10" i="7"/>
  <c r="Y12" i="7"/>
  <c r="Y5" i="7"/>
  <c r="Y21" i="7"/>
  <c r="Y6" i="7"/>
  <c r="Y20" i="7"/>
  <c r="X30" i="7"/>
  <c r="V26" i="7"/>
  <c r="W26" i="7"/>
  <c r="X24" i="13" l="1"/>
  <c r="T27" i="13" s="1"/>
  <c r="W24" i="13"/>
  <c r="S27" i="13" s="1"/>
  <c r="Y24" i="14"/>
  <c r="S25" i="14"/>
  <c r="S27" i="14"/>
  <c r="S26" i="14"/>
  <c r="X24" i="14"/>
  <c r="T27" i="14" s="1"/>
  <c r="V24" i="10"/>
  <c r="R27" i="10" s="1"/>
  <c r="U24" i="10"/>
  <c r="Q27" i="10" s="1"/>
  <c r="T24" i="10"/>
  <c r="P27" i="10" s="1"/>
  <c r="S24" i="10"/>
  <c r="O27" i="10" s="1"/>
  <c r="X3" i="9"/>
  <c r="X31" i="9" s="1"/>
  <c r="V3" i="9"/>
  <c r="V31" i="9" s="1"/>
  <c r="T3" i="9"/>
  <c r="T31" i="9" s="1"/>
  <c r="T29" i="9"/>
  <c r="R3" i="9"/>
  <c r="R31" i="9" s="1"/>
  <c r="AA26" i="7"/>
  <c r="Z32" i="7" s="1"/>
  <c r="Y26" i="7"/>
  <c r="X32" i="7" s="1"/>
  <c r="V28" i="7"/>
  <c r="V30" i="7"/>
  <c r="V32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4" i="7"/>
  <c r="D19" i="6"/>
  <c r="D22" i="6"/>
  <c r="D25" i="6"/>
  <c r="D28" i="6"/>
  <c r="D31" i="6"/>
  <c r="D34" i="6"/>
  <c r="D37" i="6"/>
  <c r="D40" i="6"/>
  <c r="D43" i="6"/>
  <c r="D46" i="6"/>
  <c r="D16" i="6"/>
  <c r="D32" i="5"/>
  <c r="D35" i="5"/>
  <c r="D38" i="5"/>
  <c r="D41" i="5"/>
  <c r="D44" i="5"/>
  <c r="D47" i="5"/>
  <c r="D50" i="5"/>
  <c r="D53" i="5"/>
  <c r="D56" i="5"/>
  <c r="D59" i="5"/>
  <c r="D62" i="5"/>
  <c r="D65" i="5"/>
  <c r="D68" i="5"/>
  <c r="D71" i="5"/>
  <c r="D74" i="5"/>
  <c r="D77" i="5"/>
  <c r="D80" i="5"/>
  <c r="D29" i="5"/>
  <c r="K5" i="7"/>
  <c r="T5" i="7" s="1"/>
  <c r="K6" i="7"/>
  <c r="T6" i="7" s="1"/>
  <c r="K7" i="7"/>
  <c r="T7" i="7" s="1"/>
  <c r="K8" i="7"/>
  <c r="T8" i="7" s="1"/>
  <c r="K9" i="7"/>
  <c r="T9" i="7" s="1"/>
  <c r="K10" i="7"/>
  <c r="T10" i="7" s="1"/>
  <c r="K11" i="7"/>
  <c r="T11" i="7" s="1"/>
  <c r="K12" i="7"/>
  <c r="T12" i="7" s="1"/>
  <c r="K13" i="7"/>
  <c r="T13" i="7" s="1"/>
  <c r="T26" i="7" s="1"/>
  <c r="K14" i="7"/>
  <c r="T14" i="7" s="1"/>
  <c r="K15" i="7"/>
  <c r="T15" i="7" s="1"/>
  <c r="K16" i="7"/>
  <c r="T16" i="7" s="1"/>
  <c r="K17" i="7"/>
  <c r="T17" i="7" s="1"/>
  <c r="K18" i="7"/>
  <c r="T18" i="7" s="1"/>
  <c r="K19" i="7"/>
  <c r="T19" i="7" s="1"/>
  <c r="K20" i="7"/>
  <c r="T20" i="7" s="1"/>
  <c r="K21" i="7"/>
  <c r="T21" i="7" s="1"/>
  <c r="K22" i="7"/>
  <c r="T22" i="7" s="1"/>
  <c r="K23" i="7"/>
  <c r="T23" i="7" s="1"/>
  <c r="K4" i="7"/>
  <c r="T4" i="7" s="1"/>
  <c r="D20" i="4"/>
  <c r="D23" i="4"/>
  <c r="D26" i="4"/>
  <c r="D29" i="4"/>
  <c r="D32" i="4"/>
  <c r="D35" i="4"/>
  <c r="D38" i="4"/>
  <c r="D41" i="4"/>
  <c r="D44" i="4"/>
  <c r="D17" i="4"/>
  <c r="D29" i="3"/>
  <c r="E29" i="3"/>
  <c r="D32" i="3"/>
  <c r="E32" i="3"/>
  <c r="D35" i="3"/>
  <c r="E35" i="3"/>
  <c r="D38" i="3"/>
  <c r="E38" i="3"/>
  <c r="D41" i="3"/>
  <c r="E41" i="3"/>
  <c r="D44" i="3"/>
  <c r="E44" i="3"/>
  <c r="D47" i="3"/>
  <c r="E47" i="3"/>
  <c r="D50" i="3"/>
  <c r="E50" i="3"/>
  <c r="D53" i="3"/>
  <c r="E53" i="3"/>
  <c r="D56" i="3"/>
  <c r="E56" i="3"/>
  <c r="D59" i="3"/>
  <c r="E59" i="3"/>
  <c r="D62" i="3"/>
  <c r="E62" i="3"/>
  <c r="D65" i="3"/>
  <c r="E65" i="3"/>
  <c r="D68" i="3"/>
  <c r="E68" i="3"/>
  <c r="D71" i="3"/>
  <c r="E71" i="3"/>
  <c r="D74" i="3"/>
  <c r="E74" i="3"/>
  <c r="D77" i="3"/>
  <c r="E77" i="3"/>
  <c r="D80" i="3"/>
  <c r="E80" i="3"/>
  <c r="D83" i="3"/>
  <c r="E83" i="3"/>
  <c r="E26" i="3"/>
  <c r="D2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61" i="3"/>
  <c r="C60" i="3"/>
  <c r="C59" i="3"/>
  <c r="C64" i="3"/>
  <c r="C63" i="3"/>
  <c r="C62" i="3"/>
  <c r="C67" i="3"/>
  <c r="C66" i="3"/>
  <c r="C65" i="3"/>
  <c r="C70" i="3"/>
  <c r="C69" i="3"/>
  <c r="C68" i="3"/>
  <c r="C58" i="3"/>
  <c r="C57" i="3"/>
  <c r="C56" i="3"/>
  <c r="C55" i="3"/>
  <c r="C54" i="3"/>
  <c r="C53" i="3"/>
  <c r="C49" i="3"/>
  <c r="C48" i="3"/>
  <c r="C47" i="3"/>
  <c r="C52" i="3"/>
  <c r="C51" i="3"/>
  <c r="C50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A85" i="3"/>
  <c r="A84" i="3"/>
  <c r="C46" i="4"/>
  <c r="C45" i="4"/>
  <c r="C44" i="4"/>
  <c r="C43" i="4"/>
  <c r="C42" i="4"/>
  <c r="C41" i="4"/>
  <c r="C40" i="4"/>
  <c r="C39" i="4"/>
  <c r="C38" i="4"/>
  <c r="C37" i="4"/>
  <c r="C36" i="4"/>
  <c r="C34" i="4"/>
  <c r="C33" i="4"/>
  <c r="C32" i="4"/>
  <c r="C28" i="4"/>
  <c r="C27" i="4"/>
  <c r="C26" i="4"/>
  <c r="C25" i="4"/>
  <c r="C24" i="4"/>
  <c r="C23" i="4"/>
  <c r="C22" i="4"/>
  <c r="C21" i="4"/>
  <c r="C20" i="4"/>
  <c r="C31" i="4"/>
  <c r="C30" i="4"/>
  <c r="C29" i="4"/>
  <c r="C19" i="4"/>
  <c r="C18" i="4"/>
  <c r="C17" i="4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A45" i="6"/>
  <c r="A44" i="6"/>
  <c r="A27" i="6"/>
  <c r="A26" i="6"/>
  <c r="A48" i="6"/>
  <c r="A47" i="6"/>
  <c r="A33" i="6"/>
  <c r="A32" i="6"/>
  <c r="A48" i="5"/>
  <c r="A49" i="5"/>
  <c r="A42" i="6"/>
  <c r="A41" i="6"/>
  <c r="A36" i="6"/>
  <c r="A35" i="6"/>
  <c r="A30" i="6"/>
  <c r="A29" i="6"/>
  <c r="A39" i="6"/>
  <c r="A38" i="6"/>
  <c r="A24" i="6"/>
  <c r="A23" i="6"/>
  <c r="A21" i="6"/>
  <c r="A20" i="6"/>
  <c r="A18" i="6"/>
  <c r="A17" i="6"/>
  <c r="A55" i="5"/>
  <c r="A54" i="5"/>
  <c r="A52" i="5"/>
  <c r="A51" i="5"/>
  <c r="A46" i="5"/>
  <c r="A45" i="5"/>
  <c r="A64" i="5"/>
  <c r="A63" i="5"/>
  <c r="A58" i="5"/>
  <c r="A57" i="5"/>
  <c r="A76" i="5"/>
  <c r="A75" i="5"/>
  <c r="A73" i="5"/>
  <c r="A72" i="5"/>
  <c r="A70" i="5"/>
  <c r="A69" i="5"/>
  <c r="A61" i="5"/>
  <c r="A60" i="5"/>
  <c r="A67" i="5"/>
  <c r="A66" i="5"/>
  <c r="A25" i="4"/>
  <c r="A24" i="4"/>
  <c r="A79" i="5"/>
  <c r="A78" i="5"/>
  <c r="A82" i="5"/>
  <c r="A81" i="5"/>
  <c r="A43" i="5"/>
  <c r="A42" i="5"/>
  <c r="A40" i="5"/>
  <c r="A39" i="5"/>
  <c r="A37" i="5"/>
  <c r="A36" i="5"/>
  <c r="A34" i="5"/>
  <c r="A33" i="5"/>
  <c r="A31" i="5"/>
  <c r="A30" i="5"/>
  <c r="A34" i="4"/>
  <c r="A33" i="4"/>
  <c r="A40" i="4"/>
  <c r="A39" i="4"/>
  <c r="A22" i="4"/>
  <c r="A21" i="4"/>
  <c r="A19" i="4"/>
  <c r="A18" i="4"/>
  <c r="A37" i="4"/>
  <c r="A36" i="4"/>
  <c r="A43" i="4"/>
  <c r="A42" i="4"/>
  <c r="A46" i="4"/>
  <c r="A45" i="4"/>
  <c r="A28" i="4"/>
  <c r="A27" i="4"/>
  <c r="A31" i="4"/>
  <c r="A30" i="4"/>
  <c r="A82" i="3"/>
  <c r="A81" i="3"/>
  <c r="A79" i="3"/>
  <c r="A78" i="3"/>
  <c r="A76" i="3"/>
  <c r="A75" i="3"/>
  <c r="A73" i="3"/>
  <c r="A72" i="3"/>
  <c r="A70" i="3"/>
  <c r="A69" i="3"/>
  <c r="A67" i="3"/>
  <c r="A66" i="3"/>
  <c r="A64" i="3"/>
  <c r="A63" i="3"/>
  <c r="A61" i="3"/>
  <c r="A60" i="3"/>
  <c r="A58" i="3"/>
  <c r="A57" i="3"/>
  <c r="A55" i="3"/>
  <c r="A54" i="3"/>
  <c r="A52" i="3"/>
  <c r="A51" i="3"/>
  <c r="A49" i="3"/>
  <c r="A48" i="3"/>
  <c r="A46" i="3"/>
  <c r="A45" i="3"/>
  <c r="A43" i="3"/>
  <c r="A42" i="3"/>
  <c r="A40" i="3"/>
  <c r="A39" i="3"/>
  <c r="A37" i="3"/>
  <c r="A36" i="3"/>
  <c r="A34" i="3"/>
  <c r="A33" i="3"/>
  <c r="A31" i="3"/>
  <c r="A30" i="3"/>
  <c r="A28" i="3"/>
  <c r="A27" i="3"/>
  <c r="U27" i="14" l="1"/>
  <c r="T32" i="7"/>
  <c r="T30" i="7"/>
  <c r="T28" i="7"/>
  <c r="K3" i="6"/>
  <c r="K4" i="6"/>
  <c r="K5" i="6"/>
  <c r="K6" i="6"/>
  <c r="K7" i="6"/>
  <c r="K8" i="6"/>
  <c r="K9" i="6"/>
  <c r="K10" i="6"/>
  <c r="K11" i="6"/>
  <c r="K12" i="6"/>
  <c r="K2" i="6"/>
  <c r="H3" i="6"/>
  <c r="H4" i="6"/>
  <c r="H5" i="6"/>
  <c r="H6" i="6"/>
  <c r="H7" i="6"/>
  <c r="H8" i="6"/>
  <c r="H9" i="6"/>
  <c r="H10" i="6"/>
  <c r="H11" i="6"/>
  <c r="H12" i="6"/>
  <c r="H2" i="6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" i="5"/>
  <c r="L3" i="4"/>
  <c r="L4" i="4"/>
  <c r="L5" i="4"/>
  <c r="L6" i="4"/>
  <c r="L7" i="4"/>
  <c r="L8" i="4"/>
  <c r="L9" i="4"/>
  <c r="L10" i="4"/>
  <c r="L11" i="4"/>
  <c r="L2" i="4"/>
  <c r="I3" i="4"/>
  <c r="I4" i="4"/>
  <c r="I5" i="4"/>
  <c r="I6" i="4"/>
  <c r="I7" i="4"/>
  <c r="I8" i="4"/>
  <c r="I9" i="4"/>
  <c r="I10" i="4"/>
  <c r="I11" i="4"/>
  <c r="I2" i="4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" i="3"/>
  <c r="F3" i="1" l="1"/>
  <c r="G3" i="1" s="1"/>
  <c r="F4" i="1"/>
  <c r="F5" i="1"/>
  <c r="F6" i="1"/>
  <c r="F7" i="1"/>
  <c r="G7" i="1" s="1"/>
  <c r="F8" i="1"/>
  <c r="F9" i="1"/>
  <c r="F10" i="1"/>
  <c r="F11" i="1"/>
  <c r="G11" i="1" s="1"/>
  <c r="F12" i="1"/>
  <c r="F13" i="1"/>
  <c r="F14" i="1"/>
  <c r="F15" i="1"/>
  <c r="G15" i="1" s="1"/>
  <c r="F16" i="1"/>
  <c r="F17" i="1"/>
  <c r="F18" i="1"/>
  <c r="F19" i="1"/>
  <c r="G19" i="1" s="1"/>
  <c r="F2" i="1"/>
  <c r="T6" i="1"/>
  <c r="P2" i="1"/>
  <c r="H20" i="1"/>
  <c r="K20" i="1"/>
  <c r="L2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" i="1"/>
  <c r="B20" i="1"/>
  <c r="G4" i="1"/>
  <c r="G5" i="1"/>
  <c r="G6" i="1"/>
  <c r="G8" i="1"/>
  <c r="G9" i="1"/>
  <c r="G10" i="1"/>
  <c r="G12" i="1"/>
  <c r="G13" i="1"/>
  <c r="G14" i="1"/>
  <c r="G16" i="1"/>
  <c r="G17" i="1"/>
  <c r="G18" i="1"/>
  <c r="G2" i="1"/>
  <c r="G20" i="1" l="1"/>
  <c r="F20" i="1"/>
</calcChain>
</file>

<file path=xl/sharedStrings.xml><?xml version="1.0" encoding="utf-8"?>
<sst xmlns="http://schemas.openxmlformats.org/spreadsheetml/2006/main" count="797" uniqueCount="178">
  <si>
    <t>His</t>
  </si>
  <si>
    <t>Ser</t>
  </si>
  <si>
    <t>--</t>
  </si>
  <si>
    <t>Arg</t>
  </si>
  <si>
    <t>Gly</t>
  </si>
  <si>
    <t>Asp</t>
  </si>
  <si>
    <t>Glu</t>
  </si>
  <si>
    <t>Thr</t>
  </si>
  <si>
    <t>Ala</t>
  </si>
  <si>
    <t>Pro</t>
  </si>
  <si>
    <t>Cys</t>
  </si>
  <si>
    <t>Lys</t>
  </si>
  <si>
    <t>Tyr</t>
  </si>
  <si>
    <t>Met</t>
  </si>
  <si>
    <t>Val</t>
  </si>
  <si>
    <t>Ile</t>
  </si>
  <si>
    <t>Leu</t>
  </si>
  <si>
    <t>Phe</t>
  </si>
  <si>
    <t>Trp</t>
  </si>
  <si>
    <t>E</t>
  </si>
  <si>
    <t>N</t>
  </si>
  <si>
    <t>E/N</t>
  </si>
  <si>
    <t>E + N</t>
  </si>
  <si>
    <t>E/(E + N)</t>
  </si>
  <si>
    <t>Amino acid</t>
  </si>
  <si>
    <t>Green</t>
  </si>
  <si>
    <t>Brown</t>
  </si>
  <si>
    <t>WHO/FAO+</t>
  </si>
  <si>
    <t>±</t>
  </si>
  <si>
    <t>44.99 ± 0.74</t>
  </si>
  <si>
    <t>47.83 ± 1.62</t>
  </si>
  <si>
    <t>50.50 ± 0.35</t>
  </si>
  <si>
    <t>46.41 ± 2.01</t>
  </si>
  <si>
    <t>33.28 ± 0.38</t>
  </si>
  <si>
    <t>36.84 ± 0.62</t>
  </si>
  <si>
    <t>38.8 ± 0.40</t>
  </si>
  <si>
    <t>35.56 ± 1.82</t>
  </si>
  <si>
    <t>Purpl</t>
  </si>
  <si>
    <t>e</t>
  </si>
  <si>
    <t>Moiture</t>
  </si>
  <si>
    <t>RH</t>
  </si>
  <si>
    <t>Temp</t>
  </si>
  <si>
    <t>Dew point</t>
  </si>
  <si>
    <t>Time(hrs)</t>
  </si>
  <si>
    <t>MR</t>
  </si>
  <si>
    <t>SD</t>
  </si>
  <si>
    <t>CD</t>
  </si>
  <si>
    <t>BSD</t>
  </si>
  <si>
    <t>BCD</t>
  </si>
  <si>
    <t>MR = exp(-kt)</t>
  </si>
  <si>
    <r>
      <t>MR</t>
    </r>
    <r>
      <rPr>
        <vertAlign val="subscript"/>
        <sz val="11"/>
        <color theme="1"/>
        <rFont val="Calibri"/>
        <family val="2"/>
        <scheme val="minor"/>
      </rPr>
      <t>exp</t>
    </r>
  </si>
  <si>
    <r>
      <t>MR</t>
    </r>
    <r>
      <rPr>
        <vertAlign val="subscript"/>
        <sz val="11"/>
        <color theme="1"/>
        <rFont val="Calibri"/>
        <family val="2"/>
        <scheme val="minor"/>
      </rPr>
      <t>pre</t>
    </r>
  </si>
  <si>
    <t>k</t>
  </si>
  <si>
    <t>RSSE</t>
  </si>
  <si>
    <t>Residual</t>
  </si>
  <si>
    <t>MRpre</t>
  </si>
  <si>
    <t>av.</t>
  </si>
  <si>
    <t>RMSE</t>
  </si>
  <si>
    <r>
      <rPr>
        <sz val="11"/>
        <color theme="1"/>
        <rFont val="Calibri"/>
        <family val="2"/>
      </rPr>
      <t>ꭓ</t>
    </r>
    <r>
      <rPr>
        <vertAlign val="superscript"/>
        <sz val="11"/>
        <color theme="1"/>
        <rFont val="Calibri"/>
        <family val="2"/>
      </rPr>
      <t>2</t>
    </r>
  </si>
  <si>
    <t>R2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</si>
  <si>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</si>
  <si>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K</t>
    </r>
    <r>
      <rPr>
        <vertAlign val="subscript"/>
        <sz val="11"/>
        <color theme="1"/>
        <rFont val="Calibri"/>
        <family val="2"/>
        <scheme val="minor"/>
      </rPr>
      <t>CD</t>
    </r>
  </si>
  <si>
    <r>
      <t>k</t>
    </r>
    <r>
      <rPr>
        <vertAlign val="subscript"/>
        <sz val="11"/>
        <color theme="1"/>
        <rFont val="Calibri"/>
        <family val="2"/>
        <scheme val="minor"/>
      </rPr>
      <t>SD</t>
    </r>
  </si>
  <si>
    <r>
      <t>K</t>
    </r>
    <r>
      <rPr>
        <vertAlign val="subscript"/>
        <sz val="11"/>
        <color theme="1"/>
        <rFont val="Calibri"/>
        <family val="2"/>
        <scheme val="minor"/>
      </rPr>
      <t>BSD</t>
    </r>
  </si>
  <si>
    <r>
      <t>K</t>
    </r>
    <r>
      <rPr>
        <vertAlign val="subscript"/>
        <sz val="11"/>
        <color theme="1"/>
        <rFont val="Calibri"/>
        <family val="2"/>
        <scheme val="minor"/>
      </rPr>
      <t>BCD</t>
    </r>
  </si>
  <si>
    <t>K</t>
  </si>
  <si>
    <r>
      <t>M</t>
    </r>
    <r>
      <rPr>
        <sz val="8"/>
        <color rgb="FF000000"/>
        <rFont val="MicrosoftSansSerif"/>
      </rPr>
      <t xml:space="preserve">R </t>
    </r>
    <r>
      <rPr>
        <sz val="11"/>
        <color rgb="FF000000"/>
        <rFont val="MicrosoftSansSerif"/>
      </rPr>
      <t>= a exp(-kt) + b</t>
    </r>
  </si>
  <si>
    <r>
      <t>M</t>
    </r>
    <r>
      <rPr>
        <sz val="8"/>
        <color rgb="FF000000"/>
        <rFont val="MicrosoftSansSerif"/>
      </rPr>
      <t xml:space="preserve">R </t>
    </r>
    <r>
      <rPr>
        <sz val="11"/>
        <color rgb="FF000000"/>
        <rFont val="MicrosoftSansSerif"/>
      </rPr>
      <t>= 1 + at + bt</t>
    </r>
    <r>
      <rPr>
        <vertAlign val="superscript"/>
        <sz val="11"/>
        <color rgb="FF000000"/>
        <rFont val="MicrosoftSansSerif"/>
      </rPr>
      <t>2</t>
    </r>
  </si>
  <si>
    <r>
      <t>M</t>
    </r>
    <r>
      <rPr>
        <sz val="8"/>
        <color rgb="FF000000"/>
        <rFont val="MicrosoftSansSerif"/>
      </rPr>
      <t xml:space="preserve">R </t>
    </r>
    <r>
      <rPr>
        <sz val="11"/>
        <color rgb="FF000000"/>
        <rFont val="MicrosoftSansSerif"/>
      </rPr>
      <t>= a exp(-kt) + (1 - a) exp(-kbt)</t>
    </r>
  </si>
  <si>
    <r>
      <t>M</t>
    </r>
    <r>
      <rPr>
        <sz val="8"/>
        <color rgb="FF000000"/>
        <rFont val="MicrosoftSansSerif"/>
      </rPr>
      <t xml:space="preserve">R </t>
    </r>
    <r>
      <rPr>
        <sz val="11"/>
        <color rgb="FF000000"/>
        <rFont val="MicrosoftSansSerif"/>
      </rPr>
      <t>= a exp(-kt) + (1 - a) exp(-kat)</t>
    </r>
  </si>
  <si>
    <r>
      <t>M</t>
    </r>
    <r>
      <rPr>
        <sz val="8"/>
        <color rgb="FF000000"/>
        <rFont val="MicrosoftSansSerif"/>
      </rPr>
      <t xml:space="preserve">R </t>
    </r>
    <r>
      <rPr>
        <sz val="11"/>
        <color rgb="FF000000"/>
        <rFont val="MicrosoftSansSerif"/>
      </rPr>
      <t>= exp(-kt</t>
    </r>
    <r>
      <rPr>
        <vertAlign val="superscript"/>
        <sz val="11"/>
        <color rgb="FF000000"/>
        <rFont val="MicrosoftSansSerif"/>
      </rPr>
      <t>n</t>
    </r>
    <r>
      <rPr>
        <sz val="11"/>
        <color rgb="FF000000"/>
        <rFont val="MicrosoftSansSerif"/>
      </rPr>
      <t>)</t>
    </r>
  </si>
  <si>
    <r>
      <t>MR</t>
    </r>
    <r>
      <rPr>
        <vertAlign val="subscript"/>
        <sz val="11"/>
        <color theme="1"/>
        <rFont val="Calibri"/>
        <family val="2"/>
        <scheme val="minor"/>
      </rPr>
      <t>exp</t>
    </r>
    <r>
      <rPr>
        <sz val="11"/>
        <color theme="1"/>
        <rFont val="Calibri"/>
        <family val="2"/>
        <scheme val="minor"/>
      </rPr>
      <t xml:space="preserve"> and Time</t>
    </r>
  </si>
  <si>
    <t>Time (Hrs)</t>
  </si>
  <si>
    <t>Raw MR and Time (Hrs)</t>
  </si>
  <si>
    <t>ꭓ2</t>
  </si>
  <si>
    <t>n</t>
  </si>
  <si>
    <t>av</t>
  </si>
  <si>
    <r>
      <t>ꭓ</t>
    </r>
    <r>
      <rPr>
        <vertAlign val="superscript"/>
        <sz val="11"/>
        <color theme="1"/>
        <rFont val="Calibri"/>
        <family val="2"/>
        <scheme val="minor"/>
      </rPr>
      <t>2</t>
    </r>
  </si>
  <si>
    <t>Residuals</t>
  </si>
  <si>
    <r>
      <t>(MR</t>
    </r>
    <r>
      <rPr>
        <vertAlign val="subscript"/>
        <sz val="11"/>
        <color theme="1"/>
        <rFont val="Calibri"/>
        <family val="2"/>
        <scheme val="minor"/>
      </rPr>
      <t>exp</t>
    </r>
    <r>
      <rPr>
        <sz val="11"/>
        <color theme="1"/>
        <rFont val="Calibri"/>
        <family val="2"/>
        <scheme val="minor"/>
      </rPr>
      <t>-mMRpre)^2</t>
    </r>
  </si>
  <si>
    <t>(MRexp-mMRpre)^2</t>
  </si>
  <si>
    <t>a</t>
  </si>
  <si>
    <t>Ave.</t>
  </si>
  <si>
    <t>b</t>
  </si>
  <si>
    <t>AV.</t>
  </si>
  <si>
    <t>m</t>
  </si>
  <si>
    <t>Ln(MR)</t>
  </si>
  <si>
    <t>Time(s)</t>
  </si>
  <si>
    <t>time (S)</t>
  </si>
  <si>
    <t>Time (s)</t>
  </si>
  <si>
    <t>Timr (s)</t>
  </si>
  <si>
    <t>slope ¼</t>
  </si>
  <si>
    <t>p2Deff</t>
  </si>
  <si>
    <t>slope</t>
  </si>
  <si>
    <t>p2*Deff/R2</t>
  </si>
  <si>
    <t>SCD</t>
  </si>
  <si>
    <t>BSCD</t>
  </si>
  <si>
    <t>Drying method</t>
  </si>
  <si>
    <t>intercept</t>
  </si>
  <si>
    <r>
      <t>D</t>
    </r>
    <r>
      <rPr>
        <vertAlign val="subscript"/>
        <sz val="11"/>
        <color theme="1"/>
        <rFont val="Calibri"/>
        <family val="2"/>
        <scheme val="minor"/>
      </rPr>
      <t>eff</t>
    </r>
  </si>
  <si>
    <t>1E-05x - 0.0699</t>
  </si>
  <si>
    <t>R² = 0.9157</t>
  </si>
  <si>
    <t>3E-05x + 0.0223</t>
  </si>
  <si>
    <t>R² = 0.928</t>
  </si>
  <si>
    <t>-2E-05x - 0.2529</t>
  </si>
  <si>
    <t>R² = 0.9377</t>
  </si>
  <si>
    <t>-5E-05x + 0.0139</t>
  </si>
  <si>
    <t>R² = 0.9841</t>
  </si>
  <si>
    <t>-3E-05x + 0.5059</t>
  </si>
  <si>
    <t>R² = 0.6067</t>
  </si>
  <si>
    <t>-0.0001x + 0.94</t>
  </si>
  <si>
    <t>R² = 0.7465</t>
  </si>
  <si>
    <t>-5E-05x + 0.289</t>
  </si>
  <si>
    <t>R² = 0.7761</t>
  </si>
  <si>
    <t>-7E-05x + 0.1136</t>
  </si>
  <si>
    <t>R² = 0.9436</t>
  </si>
  <si>
    <t>Intercept</t>
  </si>
  <si>
    <t>Ratio</t>
  </si>
  <si>
    <t>Deff</t>
  </si>
  <si>
    <t>SCD:SD</t>
  </si>
  <si>
    <t>BSD:SD</t>
  </si>
  <si>
    <t>BSCD:SCD</t>
  </si>
  <si>
    <t>BSCD:BSD</t>
  </si>
  <si>
    <t>BSCD:SD</t>
  </si>
  <si>
    <t>BSD:SCD</t>
  </si>
  <si>
    <t>Moiture Ratio</t>
  </si>
  <si>
    <t>Standard deviation</t>
  </si>
  <si>
    <t>Average</t>
  </si>
  <si>
    <r>
      <t>at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+bt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+ct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+dt+e</t>
    </r>
  </si>
  <si>
    <t>MRexp and Time</t>
  </si>
  <si>
    <t>MRexp</t>
  </si>
  <si>
    <t>c</t>
  </si>
  <si>
    <t>d</t>
  </si>
  <si>
    <r>
      <t>K</t>
    </r>
    <r>
      <rPr>
        <vertAlign val="subscript"/>
        <sz val="11"/>
        <color theme="1"/>
        <rFont val="Calibri"/>
        <family val="2"/>
        <scheme val="minor"/>
      </rPr>
      <t>SD</t>
    </r>
  </si>
  <si>
    <r>
      <t>n</t>
    </r>
    <r>
      <rPr>
        <vertAlign val="subscript"/>
        <sz val="11"/>
        <color theme="1"/>
        <rFont val="Calibri"/>
        <family val="2"/>
        <scheme val="minor"/>
      </rPr>
      <t>SD</t>
    </r>
  </si>
  <si>
    <r>
      <t>n</t>
    </r>
    <r>
      <rPr>
        <vertAlign val="subscript"/>
        <sz val="11"/>
        <color theme="1"/>
        <rFont val="Calibri"/>
        <family val="2"/>
        <scheme val="minor"/>
      </rPr>
      <t>BCD</t>
    </r>
  </si>
  <si>
    <r>
      <t>n</t>
    </r>
    <r>
      <rPr>
        <vertAlign val="subscript"/>
        <sz val="11"/>
        <color theme="1"/>
        <rFont val="Calibri"/>
        <family val="2"/>
        <scheme val="minor"/>
      </rPr>
      <t>BSD</t>
    </r>
  </si>
  <si>
    <r>
      <t>n</t>
    </r>
    <r>
      <rPr>
        <vertAlign val="subscript"/>
        <sz val="11"/>
        <color theme="1"/>
        <rFont val="Calibri"/>
        <family val="2"/>
        <scheme val="minor"/>
      </rPr>
      <t>CD</t>
    </r>
  </si>
  <si>
    <t>Residual^2</t>
  </si>
  <si>
    <t>Std.dev</t>
  </si>
  <si>
    <t>confidence interval</t>
  </si>
  <si>
    <t>df</t>
  </si>
  <si>
    <t>p&gt;0.05</t>
  </si>
  <si>
    <t>&gt;</t>
  </si>
  <si>
    <t>D</t>
  </si>
  <si>
    <t>D2</t>
  </si>
  <si>
    <t>D3</t>
  </si>
  <si>
    <r>
      <t>D</t>
    </r>
    <r>
      <rPr>
        <vertAlign val="superscript"/>
        <sz val="11"/>
        <color theme="1"/>
        <rFont val="Calibri"/>
        <family val="2"/>
        <scheme val="minor"/>
      </rPr>
      <t>4</t>
    </r>
  </si>
  <si>
    <r>
      <t>D</t>
    </r>
    <r>
      <rPr>
        <vertAlign val="superscript"/>
        <sz val="11"/>
        <color theme="1"/>
        <rFont val="Calibri"/>
        <family val="2"/>
        <scheme val="minor"/>
      </rPr>
      <t>2</t>
    </r>
  </si>
  <si>
    <r>
      <t>D</t>
    </r>
    <r>
      <rPr>
        <vertAlign val="superscript"/>
        <sz val="11"/>
        <color theme="1"/>
        <rFont val="Calibri"/>
        <family val="2"/>
        <scheme val="minor"/>
      </rPr>
      <t>3</t>
    </r>
  </si>
  <si>
    <t>L</t>
  </si>
  <si>
    <t>a0</t>
  </si>
  <si>
    <t>a1</t>
  </si>
  <si>
    <t>a2</t>
  </si>
  <si>
    <t>a3</t>
  </si>
  <si>
    <t>a4</t>
  </si>
  <si>
    <r>
      <t>a</t>
    </r>
    <r>
      <rPr>
        <vertAlign val="subscript"/>
        <sz val="11"/>
        <color theme="1"/>
        <rFont val="Calibri"/>
        <family val="2"/>
        <scheme val="minor"/>
      </rPr>
      <t>0</t>
    </r>
  </si>
  <si>
    <r>
      <t>a</t>
    </r>
    <r>
      <rPr>
        <vertAlign val="subscript"/>
        <sz val="11"/>
        <color theme="1"/>
        <rFont val="Calibri"/>
        <family val="2"/>
        <scheme val="minor"/>
      </rPr>
      <t>1</t>
    </r>
  </si>
  <si>
    <r>
      <t>a</t>
    </r>
    <r>
      <rPr>
        <vertAlign val="subscript"/>
        <sz val="11"/>
        <color theme="1"/>
        <rFont val="Calibri"/>
        <family val="2"/>
        <scheme val="minor"/>
      </rPr>
      <t>2</t>
    </r>
  </si>
  <si>
    <r>
      <t>a</t>
    </r>
    <r>
      <rPr>
        <vertAlign val="subscript"/>
        <sz val="11"/>
        <color theme="1"/>
        <rFont val="Calibri"/>
        <family val="2"/>
        <scheme val="minor"/>
      </rPr>
      <t>3</t>
    </r>
  </si>
  <si>
    <r>
      <t>a</t>
    </r>
    <r>
      <rPr>
        <vertAlign val="subscript"/>
        <sz val="11"/>
        <color theme="1"/>
        <rFont val="Calibri"/>
        <family val="2"/>
        <scheme val="minor"/>
      </rPr>
      <t>4</t>
    </r>
  </si>
  <si>
    <t>D4</t>
  </si>
  <si>
    <t>Sun dry</t>
  </si>
  <si>
    <t>Cabinet dry</t>
  </si>
  <si>
    <t>Boil+Sun dry</t>
  </si>
  <si>
    <t>Boil + Cabinet dry</t>
  </si>
  <si>
    <r>
      <t>b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n</t>
    </r>
  </si>
  <si>
    <r>
      <t>exp(-bDt/r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</si>
  <si>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r</t>
  </si>
  <si>
    <r>
      <t>b</t>
    </r>
    <r>
      <rPr>
        <vertAlign val="superscript"/>
        <sz val="11"/>
        <color theme="1"/>
        <rFont val="Calibri"/>
        <family val="2"/>
        <scheme val="minor"/>
      </rPr>
      <t>2</t>
    </r>
  </si>
  <si>
    <t>Exponential</t>
  </si>
  <si>
    <t>SSE</t>
  </si>
  <si>
    <t>(e-p)^2</t>
  </si>
  <si>
    <t>(e-av.p)^2</t>
  </si>
  <si>
    <r>
      <t>X</t>
    </r>
    <r>
      <rPr>
        <vertAlign val="superscript"/>
        <sz val="11"/>
        <color theme="1"/>
        <rFont val="Calibri"/>
        <family val="2"/>
        <scheme val="minor"/>
      </rPr>
      <t>2</t>
    </r>
  </si>
  <si>
    <t>Pre.</t>
  </si>
  <si>
    <t>X2</t>
  </si>
  <si>
    <t>Quartic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</si>
</sst>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9">
    <font>
      <sz val="11"/>
      <color theme="1"/>
      <name val="Calibri"/>
      <family val="2"/>
      <scheme val="minor"/>
    </font>
    <font>
      <sz val="11"/>
      <color rgb="FF000000"/>
      <name val="MicrosoftSansSerif"/>
    </font>
    <font>
      <sz val="8"/>
      <color rgb="FF000000"/>
      <name val="MicrosoftSansSerif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rgb="FF000000"/>
      <name val="MicrosoftSansSerif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1" fontId="0" fillId="0" borderId="0" xfId="0" applyNumberFormat="1"/>
    <xf numFmtId="0" fontId="0" fillId="2" borderId="0" xfId="0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Sun_Dry!$I$1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507436570428697E-2"/>
                  <c:y val="-0.498725244571701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Sun_Dry!$H$2:$H$21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Sun_Dry!$I$2:$I$21</c:f>
              <c:numCache>
                <c:formatCode>0.000</c:formatCode>
                <c:ptCount val="20"/>
                <c:pt idx="0">
                  <c:v>1</c:v>
                </c:pt>
                <c:pt idx="1">
                  <c:v>0.8343913883521944</c:v>
                </c:pt>
                <c:pt idx="2">
                  <c:v>0.85771460115926035</c:v>
                </c:pt>
                <c:pt idx="3">
                  <c:v>0.89138835219431423</c:v>
                </c:pt>
                <c:pt idx="4">
                  <c:v>0.79105713497101859</c:v>
                </c:pt>
                <c:pt idx="5">
                  <c:v>0.77491029533535749</c:v>
                </c:pt>
                <c:pt idx="6">
                  <c:v>0.74689483853160366</c:v>
                </c:pt>
                <c:pt idx="7">
                  <c:v>0.74855092464808182</c:v>
                </c:pt>
                <c:pt idx="8">
                  <c:v>0.7235716257245377</c:v>
                </c:pt>
                <c:pt idx="9">
                  <c:v>0.65249792989235444</c:v>
                </c:pt>
                <c:pt idx="10">
                  <c:v>0.65594810930168379</c:v>
                </c:pt>
                <c:pt idx="11">
                  <c:v>0.5367099089152636</c:v>
                </c:pt>
                <c:pt idx="12">
                  <c:v>0.49268561965222202</c:v>
                </c:pt>
                <c:pt idx="13">
                  <c:v>0.40463704112613857</c:v>
                </c:pt>
                <c:pt idx="14">
                  <c:v>0.40311896218603371</c:v>
                </c:pt>
                <c:pt idx="15">
                  <c:v>0.25296715429202321</c:v>
                </c:pt>
                <c:pt idx="16">
                  <c:v>0.15912227435826665</c:v>
                </c:pt>
                <c:pt idx="17">
                  <c:v>0.13276290367099089</c:v>
                </c:pt>
                <c:pt idx="18">
                  <c:v>0.13055478884902016</c:v>
                </c:pt>
                <c:pt idx="19">
                  <c:v>0.13165884626000551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95-464F-987A-AA4865B1E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67680"/>
        <c:axId val="730968008"/>
      </c:scatterChart>
      <c:valAx>
        <c:axId val="73096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68008"/>
        <c:crosses val="autoZero"/>
        <c:crossBetween val="midCat"/>
      </c:valAx>
      <c:valAx>
        <c:axId val="73096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6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650481189851271E-2"/>
          <c:y val="0.10949579831932775"/>
          <c:w val="0.8762384076990376"/>
          <c:h val="0.86529411764705877"/>
        </c:manualLayout>
      </c:layout>
      <c:scatterChart>
        <c:scatterStyle val="lineMarker"/>
        <c:varyColors val="0"/>
        <c:ser>
          <c:idx val="0"/>
          <c:order val="0"/>
          <c:tx>
            <c:strRef>
              <c:f>BSD!$M$1</c:f>
              <c:strCache>
                <c:ptCount val="1"/>
                <c:pt idx="0">
                  <c:v>MR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090680227471566"/>
                  <c:y val="-0.690583162398817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BSD!$L$2:$L$18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BSD!$M$2:$M$18</c:f>
              <c:numCache>
                <c:formatCode>General</c:formatCode>
                <c:ptCount val="17"/>
                <c:pt idx="0">
                  <c:v>1</c:v>
                </c:pt>
                <c:pt idx="1">
                  <c:v>0.74751299065136412</c:v>
                </c:pt>
                <c:pt idx="2">
                  <c:v>0.69519421910584944</c:v>
                </c:pt>
                <c:pt idx="3">
                  <c:v>0.62640204201891159</c:v>
                </c:pt>
                <c:pt idx="4">
                  <c:v>0.52225965666168128</c:v>
                </c:pt>
                <c:pt idx="5">
                  <c:v>0.48948050425010398</c:v>
                </c:pt>
                <c:pt idx="6">
                  <c:v>0.43024718795289923</c:v>
                </c:pt>
                <c:pt idx="7">
                  <c:v>0.37975702523132698</c:v>
                </c:pt>
                <c:pt idx="8">
                  <c:v>0.35286938115418087</c:v>
                </c:pt>
                <c:pt idx="9">
                  <c:v>0.34625859105907292</c:v>
                </c:pt>
                <c:pt idx="10">
                  <c:v>0.28906599062675092</c:v>
                </c:pt>
                <c:pt idx="11">
                  <c:v>0.26589970305014271</c:v>
                </c:pt>
                <c:pt idx="12">
                  <c:v>0.21869321793165952</c:v>
                </c:pt>
                <c:pt idx="13">
                  <c:v>0.11589731413125157</c:v>
                </c:pt>
                <c:pt idx="14">
                  <c:v>2.5531027712906953E-2</c:v>
                </c:pt>
                <c:pt idx="15">
                  <c:v>1.8802963417688716E-2</c:v>
                </c:pt>
                <c:pt idx="16">
                  <c:v>2.4946104541986322E-3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85-4416-AFAE-8D6D26E19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613944"/>
        <c:axId val="732613616"/>
      </c:scatterChart>
      <c:valAx>
        <c:axId val="73261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613616"/>
        <c:crosses val="autoZero"/>
        <c:crossBetween val="midCat"/>
      </c:valAx>
      <c:valAx>
        <c:axId val="7326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61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650481189851271E-2"/>
          <c:y val="0.15782407407407409"/>
          <c:w val="0.85723840769903759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BSD!$Q$1</c:f>
              <c:strCache>
                <c:ptCount val="1"/>
                <c:pt idx="0">
                  <c:v>Ln(MR)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302121609798775"/>
                  <c:y val="3.1976523767862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BSD!$P$2:$P$12</c:f>
              <c:numCache>
                <c:formatCode>General</c:formatCode>
                <c:ptCount val="11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</c:numCache>
            </c:numRef>
          </c:xVal>
          <c:yVal>
            <c:numRef>
              <c:f>BSD!$Q$2:$Q$12</c:f>
              <c:numCache>
                <c:formatCode>General</c:formatCode>
                <c:ptCount val="11"/>
                <c:pt idx="0">
                  <c:v>0</c:v>
                </c:pt>
                <c:pt idx="1">
                  <c:v>-0.29100359507049361</c:v>
                </c:pt>
                <c:pt idx="2">
                  <c:v>-0.36356402050590592</c:v>
                </c:pt>
                <c:pt idx="3">
                  <c:v>-0.46776287438283748</c:v>
                </c:pt>
                <c:pt idx="4">
                  <c:v>-0.64959038822013082</c:v>
                </c:pt>
                <c:pt idx="5">
                  <c:v>-0.71441064569010837</c:v>
                </c:pt>
                <c:pt idx="6">
                  <c:v>-0.84339537975635781</c:v>
                </c:pt>
                <c:pt idx="7">
                  <c:v>-0.96822363805570655</c:v>
                </c:pt>
                <c:pt idx="8">
                  <c:v>-1.0416573155839826</c:v>
                </c:pt>
                <c:pt idx="9">
                  <c:v>-1.0605694100654401</c:v>
                </c:pt>
                <c:pt idx="10">
                  <c:v>-1.2411002756665703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EA-48EE-BF09-3090DA4B3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64896"/>
        <c:axId val="812860960"/>
      </c:scatterChart>
      <c:valAx>
        <c:axId val="81286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60960"/>
        <c:crosses val="autoZero"/>
        <c:crossBetween val="midCat"/>
      </c:valAx>
      <c:valAx>
        <c:axId val="81286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6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BCD!$H$1</c:f>
              <c:strCache>
                <c:ptCount val="1"/>
                <c:pt idx="0">
                  <c:v>Moiture Ratio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1103471221026949"/>
                  <c:y val="-0.52691149262079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BCD!$G$2:$G$10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BCD!$H$2:$H$10</c:f>
              <c:numCache>
                <c:formatCode>General</c:formatCode>
                <c:ptCount val="9"/>
                <c:pt idx="0">
                  <c:v>1</c:v>
                </c:pt>
                <c:pt idx="1">
                  <c:v>0.81616496979719622</c:v>
                </c:pt>
                <c:pt idx="2">
                  <c:v>0.70498709200966991</c:v>
                </c:pt>
                <c:pt idx="3">
                  <c:v>0.63340423786049271</c:v>
                </c:pt>
                <c:pt idx="4">
                  <c:v>0.49525655025279458</c:v>
                </c:pt>
                <c:pt idx="5">
                  <c:v>0.43242083204463827</c:v>
                </c:pt>
                <c:pt idx="6">
                  <c:v>0.31856667655542859</c:v>
                </c:pt>
                <c:pt idx="7">
                  <c:v>0.1495395413718448</c:v>
                </c:pt>
                <c:pt idx="8">
                  <c:v>0.1303440657960348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4B-4B72-90AD-9D7748242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559968"/>
        <c:axId val="666225304"/>
      </c:scatterChart>
      <c:valAx>
        <c:axId val="6685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225304"/>
        <c:crosses val="autoZero"/>
        <c:crossBetween val="midCat"/>
      </c:valAx>
      <c:valAx>
        <c:axId val="666225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55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650481189851271E-2"/>
          <c:y val="0.19721055701370663"/>
          <c:w val="0.8762384076990376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BCD!$K$1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084536307961505"/>
                  <c:y val="-0.754897564887722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BCD!$J$2:$J$12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BCD!$K$2:$K$12</c:f>
              <c:numCache>
                <c:formatCode>General</c:formatCode>
                <c:ptCount val="11"/>
                <c:pt idx="0">
                  <c:v>1</c:v>
                </c:pt>
                <c:pt idx="1">
                  <c:v>0.78960781905786992</c:v>
                </c:pt>
                <c:pt idx="2">
                  <c:v>0.66236897804682471</c:v>
                </c:pt>
                <c:pt idx="3">
                  <c:v>0.58044513150956056</c:v>
                </c:pt>
                <c:pt idx="4">
                  <c:v>0.42234037173754424</c:v>
                </c:pt>
                <c:pt idx="5">
                  <c:v>0.35042728868533773</c:v>
                </c:pt>
                <c:pt idx="6">
                  <c:v>0.22012554991295299</c:v>
                </c:pt>
                <c:pt idx="7">
                  <c:v>2.6680440074838729E-2</c:v>
                </c:pt>
                <c:pt idx="8">
                  <c:v>4.7119503579400382E-3</c:v>
                </c:pt>
                <c:pt idx="9">
                  <c:v>1.2352724462006323E-2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B2-4615-901F-B093FEAC2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545696"/>
        <c:axId val="696548320"/>
      </c:scatterChart>
      <c:valAx>
        <c:axId val="696545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48320"/>
        <c:crosses val="autoZero"/>
        <c:crossBetween val="midCat"/>
      </c:valAx>
      <c:valAx>
        <c:axId val="69654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45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BCD!$O$1</c:f>
              <c:strCache>
                <c:ptCount val="1"/>
                <c:pt idx="0">
                  <c:v>Ln(MR)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169291338582676"/>
                  <c:y val="-7.363626421697287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BCD!$N$2:$N$8</c:f>
              <c:numCache>
                <c:formatCode>General</c:formatCode>
                <c:ptCount val="7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</c:numCache>
            </c:numRef>
          </c:xVal>
          <c:yVal>
            <c:numRef>
              <c:f>BCD!$O$2:$O$8</c:f>
              <c:numCache>
                <c:formatCode>General</c:formatCode>
                <c:ptCount val="7"/>
                <c:pt idx="0">
                  <c:v>0</c:v>
                </c:pt>
                <c:pt idx="1">
                  <c:v>-0.20313877558228891</c:v>
                </c:pt>
                <c:pt idx="2">
                  <c:v>-0.34957578554362595</c:v>
                </c:pt>
                <c:pt idx="3">
                  <c:v>-0.45664645424558664</c:v>
                </c:pt>
                <c:pt idx="4">
                  <c:v>-0.70267936733688885</c:v>
                </c:pt>
                <c:pt idx="5">
                  <c:v>-0.83835601666103798</c:v>
                </c:pt>
                <c:pt idx="6">
                  <c:v>-1.1439234803366924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6-4B99-AFA6-CD6BFA18E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81296"/>
        <c:axId val="812885888"/>
      </c:scatterChart>
      <c:valAx>
        <c:axId val="81288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85888"/>
        <c:crosses val="autoZero"/>
        <c:crossBetween val="midCat"/>
      </c:valAx>
      <c:valAx>
        <c:axId val="812885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8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9759405074366E-2"/>
          <c:y val="0.13108052949077567"/>
          <c:w val="0.88389129483814521"/>
          <c:h val="0.78240425642997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Newton!$B$3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Newton!$A$4:$A$23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Newton!$B$4:$B$23</c:f>
              <c:numCache>
                <c:formatCode>General</c:formatCode>
                <c:ptCount val="20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0.89411921590304944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0.74887565034061343</c:v>
                </c:pt>
                <c:pt idx="7">
                  <c:v>0.7573010895075255</c:v>
                </c:pt>
                <c:pt idx="8">
                  <c:v>0.72542054364670383</c:v>
                </c:pt>
                <c:pt idx="9">
                  <c:v>0.657386688720347</c:v>
                </c:pt>
                <c:pt idx="10">
                  <c:v>0.65840012454856434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0.40482099376610842</c:v>
                </c:pt>
                <c:pt idx="14">
                  <c:v>0.40515242573112892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0.13092609034474734</c:v>
                </c:pt>
                <c:pt idx="18">
                  <c:v>0.12918285933370885</c:v>
                </c:pt>
                <c:pt idx="19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C1-4131-8EFC-2ACC75153E82}"/>
            </c:ext>
          </c:extLst>
        </c:ser>
        <c:ser>
          <c:idx val="1"/>
          <c:order val="1"/>
          <c:tx>
            <c:strRef>
              <c:f>Newton!$C$3:$C$23</c:f>
              <c:strCache>
                <c:ptCount val="21"/>
                <c:pt idx="0">
                  <c:v>MRpre</c:v>
                </c:pt>
                <c:pt idx="1">
                  <c:v>1</c:v>
                </c:pt>
                <c:pt idx="2">
                  <c:v>0.954013376</c:v>
                </c:pt>
                <c:pt idx="3">
                  <c:v>0.910141522</c:v>
                </c:pt>
                <c:pt idx="4">
                  <c:v>0.868287186</c:v>
                </c:pt>
                <c:pt idx="5">
                  <c:v>0.828357589</c:v>
                </c:pt>
                <c:pt idx="6">
                  <c:v>0.79026422</c:v>
                </c:pt>
                <c:pt idx="7">
                  <c:v>0.753922637</c:v>
                </c:pt>
                <c:pt idx="8">
                  <c:v>0.686176296</c:v>
                </c:pt>
                <c:pt idx="9">
                  <c:v>0.624517538</c:v>
                </c:pt>
                <c:pt idx="10">
                  <c:v>0.568399342</c:v>
                </c:pt>
                <c:pt idx="11">
                  <c:v>0.517323842</c:v>
                </c:pt>
                <c:pt idx="12">
                  <c:v>0.470837909</c:v>
                </c:pt>
                <c:pt idx="13">
                  <c:v>0.428529131</c:v>
                </c:pt>
                <c:pt idx="14">
                  <c:v>0.390022155</c:v>
                </c:pt>
                <c:pt idx="15">
                  <c:v>0.354975358</c:v>
                </c:pt>
                <c:pt idx="16">
                  <c:v>0.323077812</c:v>
                </c:pt>
                <c:pt idx="17">
                  <c:v>0.294046531</c:v>
                </c:pt>
                <c:pt idx="18">
                  <c:v>0.267623957</c:v>
                </c:pt>
                <c:pt idx="19">
                  <c:v>0.243575676</c:v>
                </c:pt>
                <c:pt idx="20">
                  <c:v>0.221688336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Newton!$A$4:$A$23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Newton!$C$4:$C$23</c:f>
              <c:numCache>
                <c:formatCode>General</c:formatCode>
                <c:ptCount val="20"/>
                <c:pt idx="0">
                  <c:v>1</c:v>
                </c:pt>
                <c:pt idx="1">
                  <c:v>0.95401337597088931</c:v>
                </c:pt>
                <c:pt idx="2">
                  <c:v>0.9101415215313734</c:v>
                </c:pt>
                <c:pt idx="3">
                  <c:v>0.86828718556742734</c:v>
                </c:pt>
                <c:pt idx="4">
                  <c:v>0.82835758921544345</c:v>
                </c:pt>
                <c:pt idx="5">
                  <c:v>0.79026422019853237</c:v>
                </c:pt>
                <c:pt idx="6">
                  <c:v>0.7539226366206041</c:v>
                </c:pt>
                <c:pt idx="7">
                  <c:v>0.68617629561082139</c:v>
                </c:pt>
                <c:pt idx="8">
                  <c:v>0.62451753772599439</c:v>
                </c:pt>
                <c:pt idx="9">
                  <c:v>0.56839934200896347</c:v>
                </c:pt>
                <c:pt idx="10">
                  <c:v>0.51732384197346948</c:v>
                </c:pt>
                <c:pt idx="11">
                  <c:v>0.47083790865818931</c:v>
                </c:pt>
                <c:pt idx="12">
                  <c:v>0.42852913058081427</c:v>
                </c:pt>
                <c:pt idx="13">
                  <c:v>0.39002215492733888</c:v>
                </c:pt>
                <c:pt idx="14">
                  <c:v>0.35497535751651321</c:v>
                </c:pt>
                <c:pt idx="15">
                  <c:v>0.3230778119962226</c:v>
                </c:pt>
                <c:pt idx="16">
                  <c:v>0.29404653138326903</c:v>
                </c:pt>
                <c:pt idx="17">
                  <c:v>0.26762395747419127</c:v>
                </c:pt>
                <c:pt idx="18">
                  <c:v>0.24357567585380799</c:v>
                </c:pt>
                <c:pt idx="19">
                  <c:v>0.22168833622961742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C1-4131-8EFC-2ACC75153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260928"/>
        <c:axId val="682262896"/>
      </c:scatterChart>
      <c:valAx>
        <c:axId val="68226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262896"/>
        <c:crosses val="autoZero"/>
        <c:crossBetween val="midCat"/>
      </c:valAx>
      <c:valAx>
        <c:axId val="682262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26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997594050743654E-2"/>
          <c:y val="0.17171296296296298"/>
          <c:w val="0.88389129483814521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Newton!$E$3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Newton!$D$4:$D$13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Newton!$E$4:$E$13</c:f>
              <c:numCache>
                <c:formatCode>General</c:formatCode>
                <c:ptCount val="10"/>
                <c:pt idx="0">
                  <c:v>1</c:v>
                </c:pt>
                <c:pt idx="1">
                  <c:v>0.8719047990821901</c:v>
                </c:pt>
                <c:pt idx="2">
                  <c:v>0.87300358352871843</c:v>
                </c:pt>
                <c:pt idx="3">
                  <c:v>0.8085873453509933</c:v>
                </c:pt>
                <c:pt idx="4">
                  <c:v>0.66526042465241864</c:v>
                </c:pt>
                <c:pt idx="5">
                  <c:v>0.60194953462483713</c:v>
                </c:pt>
                <c:pt idx="6">
                  <c:v>0.66656424213610876</c:v>
                </c:pt>
                <c:pt idx="7">
                  <c:v>0.17383457194399796</c:v>
                </c:pt>
                <c:pt idx="8">
                  <c:v>0.13761229117340132</c:v>
                </c:pt>
                <c:pt idx="9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FC-48C1-B2B8-C6C0F795CFF7}"/>
            </c:ext>
          </c:extLst>
        </c:ser>
        <c:ser>
          <c:idx val="1"/>
          <c:order val="1"/>
          <c:tx>
            <c:v>Newton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Newton!$D$4:$D$13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Newton!$M$4:$M$13</c:f>
              <c:numCache>
                <c:formatCode>General</c:formatCode>
                <c:ptCount val="10"/>
                <c:pt idx="0">
                  <c:v>1</c:v>
                </c:pt>
                <c:pt idx="1">
                  <c:v>0.88273043178843646</c:v>
                </c:pt>
                <c:pt idx="2">
                  <c:v>0.77921301520539943</c:v>
                </c:pt>
                <c:pt idx="3">
                  <c:v>0.68783504136743168</c:v>
                </c:pt>
                <c:pt idx="4">
                  <c:v>0.60717292306548998</c:v>
                </c:pt>
                <c:pt idx="5">
                  <c:v>0.53597001654784704</c:v>
                </c:pt>
                <c:pt idx="6">
                  <c:v>0.47311704413293648</c:v>
                </c:pt>
                <c:pt idx="7">
                  <c:v>0.36865895850389147</c:v>
                </c:pt>
                <c:pt idx="8">
                  <c:v>0.28726385863829945</c:v>
                </c:pt>
                <c:pt idx="9">
                  <c:v>0.22383973744908697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FC-48C1-B2B8-C6C0F795C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938528"/>
        <c:axId val="691937872"/>
      </c:scatterChart>
      <c:valAx>
        <c:axId val="6919385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37872"/>
        <c:crosses val="autoZero"/>
        <c:crossBetween val="midCat"/>
      </c:valAx>
      <c:valAx>
        <c:axId val="691937872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3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7537182852145E-2"/>
          <c:y val="7.407407407407407E-2"/>
          <c:w val="0.88389129483814521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strRef>
              <c:f>Newton!$G$3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Newton!$F$4:$F$21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Newton!$G$4:$G$21</c:f>
              <c:numCache>
                <c:formatCode>General</c:formatCode>
                <c:ptCount val="18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0.43198668331810791</c:v>
                </c:pt>
                <c:pt idx="9">
                  <c:v>0.43620617795612521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0.15070119437459695</c:v>
                </c:pt>
                <c:pt idx="15">
                  <c:v>0.15110482263125347</c:v>
                </c:pt>
                <c:pt idx="16">
                  <c:v>0.13179349913915536</c:v>
                </c:pt>
                <c:pt idx="17">
                  <c:v>0.12964168263055892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8-436D-8239-B78729740D1D}"/>
            </c:ext>
          </c:extLst>
        </c:ser>
        <c:ser>
          <c:idx val="1"/>
          <c:order val="1"/>
          <c:tx>
            <c:v>Newton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Newton!$F$4:$F$21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Newton!$O$4:$O$21</c:f>
              <c:numCache>
                <c:formatCode>General</c:formatCode>
                <c:ptCount val="18"/>
                <c:pt idx="0">
                  <c:v>1</c:v>
                </c:pt>
                <c:pt idx="1">
                  <c:v>0.91931612545660291</c:v>
                </c:pt>
                <c:pt idx="2">
                  <c:v>0.84514213852454045</c:v>
                </c:pt>
                <c:pt idx="3">
                  <c:v>0.77695279624848812</c:v>
                </c:pt>
                <c:pt idx="4">
                  <c:v>0.71426523430983357</c:v>
                </c:pt>
                <c:pt idx="5">
                  <c:v>0.65663554775406885</c:v>
                </c:pt>
                <c:pt idx="6">
                  <c:v>0.60365564759834478</c:v>
                </c:pt>
                <c:pt idx="7">
                  <c:v>0.51017482494368149</c:v>
                </c:pt>
                <c:pt idx="8">
                  <c:v>0.4311702425742861</c:v>
                </c:pt>
                <c:pt idx="9">
                  <c:v>0.36440014087737699</c:v>
                </c:pt>
                <c:pt idx="10">
                  <c:v>0.30796991433975029</c:v>
                </c:pt>
                <c:pt idx="11">
                  <c:v>0.26027835200631605</c:v>
                </c:pt>
                <c:pt idx="12">
                  <c:v>0.21997220302626108</c:v>
                </c:pt>
                <c:pt idx="13">
                  <c:v>0.18590777808156872</c:v>
                </c:pt>
                <c:pt idx="14">
                  <c:v>0.15711849713620266</c:v>
                </c:pt>
                <c:pt idx="15">
                  <c:v>0.13278746267145219</c:v>
                </c:pt>
                <c:pt idx="16">
                  <c:v>0.11222428017139872</c:v>
                </c:pt>
                <c:pt idx="17">
                  <c:v>9.4845468138433114E-2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18-436D-8239-B7872974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645536"/>
        <c:axId val="870646848"/>
      </c:scatterChart>
      <c:valAx>
        <c:axId val="8706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46848"/>
        <c:crosses val="autoZero"/>
        <c:crossBetween val="midCat"/>
      </c:valAx>
      <c:valAx>
        <c:axId val="870646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45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BCD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75371828521436E-2"/>
          <c:y val="7.407407407407407E-2"/>
          <c:w val="0.88389129483814521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strRef>
              <c:f>Newton!$I$3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Newton!$H$4:$H$14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Newton!$I$4:$I$14</c:f>
              <c:numCache>
                <c:formatCode>General</c:formatCode>
                <c:ptCount val="11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0.13002007760794732</c:v>
                </c:pt>
                <c:pt idx="9">
                  <c:v>0.13679520979314949</c:v>
                </c:pt>
                <c:pt idx="10">
                  <c:v>0.12766076616203526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CB-4BFB-A5C7-B12D15057AAA}"/>
            </c:ext>
          </c:extLst>
        </c:ser>
        <c:ser>
          <c:idx val="1"/>
          <c:order val="1"/>
          <c:tx>
            <c:v>Newton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Newton!$H$4:$H$14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Newton!$Q$4:$Q$15</c:f>
              <c:numCache>
                <c:formatCode>General</c:formatCode>
                <c:ptCount val="12"/>
                <c:pt idx="0">
                  <c:v>1</c:v>
                </c:pt>
                <c:pt idx="1">
                  <c:v>0.8204910508666643</c:v>
                </c:pt>
                <c:pt idx="2">
                  <c:v>0.67320556455228309</c:v>
                </c:pt>
                <c:pt idx="3">
                  <c:v>0.55235914110878881</c:v>
                </c:pt>
                <c:pt idx="4">
                  <c:v>0.45320573214415827</c:v>
                </c:pt>
                <c:pt idx="5">
                  <c:v>0.37185124742575643</c:v>
                </c:pt>
                <c:pt idx="6">
                  <c:v>0.30510062076643885</c:v>
                </c:pt>
                <c:pt idx="7">
                  <c:v>0.25033232895272706</c:v>
                </c:pt>
                <c:pt idx="8">
                  <c:v>0.20539543564832252</c:v>
                </c:pt>
                <c:pt idx="9">
                  <c:v>0.16852511683830848</c:v>
                </c:pt>
                <c:pt idx="10">
                  <c:v>0.13827335021209111</c:v>
                </c:pt>
                <c:pt idx="11">
                  <c:v>0.44897632622868522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CB-4BFB-A5C7-B12D15057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76096"/>
        <c:axId val="503776752"/>
      </c:scatterChart>
      <c:valAx>
        <c:axId val="50377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76752"/>
        <c:crosses val="autoZero"/>
        <c:crossBetween val="midCat"/>
      </c:valAx>
      <c:valAx>
        <c:axId val="503776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76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Newton!$B$3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3344247594050743"/>
                  <c:y val="-0.578073417906095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3344247594050743"/>
                  <c:y val="-0.721166520851560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Newton!$A$4:$A$23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Newton!$B$4:$B$23</c:f>
              <c:numCache>
                <c:formatCode>General</c:formatCode>
                <c:ptCount val="20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0.89411921590304944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0.74887565034061343</c:v>
                </c:pt>
                <c:pt idx="7">
                  <c:v>0.7573010895075255</c:v>
                </c:pt>
                <c:pt idx="8">
                  <c:v>0.72542054364670383</c:v>
                </c:pt>
                <c:pt idx="9">
                  <c:v>0.657386688720347</c:v>
                </c:pt>
                <c:pt idx="10">
                  <c:v>0.65840012454856434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0.40482099376610842</c:v>
                </c:pt>
                <c:pt idx="14">
                  <c:v>0.40515242573112892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0.13092609034474734</c:v>
                </c:pt>
                <c:pt idx="18">
                  <c:v>0.12918285933370885</c:v>
                </c:pt>
                <c:pt idx="19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3-4361-996C-5A9F581E3EB3}"/>
            </c:ext>
          </c:extLst>
        </c:ser>
        <c:ser>
          <c:idx val="1"/>
          <c:order val="1"/>
          <c:tx>
            <c:strRef>
              <c:f>Newton!$D$2</c:f>
              <c:strCache>
                <c:ptCount val="1"/>
                <c:pt idx="0">
                  <c:v>CD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45833333333333326"/>
                  <c:y val="-0.51744677748614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Newton!$D$4:$D$13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Newton!$E$4:$E$13</c:f>
              <c:numCache>
                <c:formatCode>General</c:formatCode>
                <c:ptCount val="10"/>
                <c:pt idx="0">
                  <c:v>1</c:v>
                </c:pt>
                <c:pt idx="1">
                  <c:v>0.8719047990821901</c:v>
                </c:pt>
                <c:pt idx="2">
                  <c:v>0.87300358352871843</c:v>
                </c:pt>
                <c:pt idx="3">
                  <c:v>0.8085873453509933</c:v>
                </c:pt>
                <c:pt idx="4">
                  <c:v>0.66526042465241864</c:v>
                </c:pt>
                <c:pt idx="5">
                  <c:v>0.60194953462483713</c:v>
                </c:pt>
                <c:pt idx="6">
                  <c:v>0.66656424213610876</c:v>
                </c:pt>
                <c:pt idx="7">
                  <c:v>0.17383457194399796</c:v>
                </c:pt>
                <c:pt idx="8">
                  <c:v>0.13761229117340132</c:v>
                </c:pt>
                <c:pt idx="9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93-4361-996C-5A9F581E3EB3}"/>
            </c:ext>
          </c:extLst>
        </c:ser>
        <c:ser>
          <c:idx val="2"/>
          <c:order val="2"/>
          <c:tx>
            <c:strRef>
              <c:f>Newton!$F$2</c:f>
              <c:strCache>
                <c:ptCount val="1"/>
                <c:pt idx="0">
                  <c:v>BSD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23445866141732283"/>
                  <c:y val="-0.623920603674540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Newton!$F$4:$F$21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Newton!$G$4:$G$21</c:f>
              <c:numCache>
                <c:formatCode>General</c:formatCode>
                <c:ptCount val="18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0.43198668331810791</c:v>
                </c:pt>
                <c:pt idx="9">
                  <c:v>0.43620617795612521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0.15070119437459695</c:v>
                </c:pt>
                <c:pt idx="15">
                  <c:v>0.15110482263125347</c:v>
                </c:pt>
                <c:pt idx="16">
                  <c:v>0.13179349913915536</c:v>
                </c:pt>
                <c:pt idx="17">
                  <c:v>0.12964168263055892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93-4361-996C-5A9F581E3EB3}"/>
            </c:ext>
          </c:extLst>
        </c:ser>
        <c:ser>
          <c:idx val="3"/>
          <c:order val="3"/>
          <c:tx>
            <c:strRef>
              <c:f>Newton!$H$2</c:f>
              <c:strCache>
                <c:ptCount val="1"/>
                <c:pt idx="0">
                  <c:v>BCD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44444444444444442"/>
                  <c:y val="-0.413474044911052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Newton!$H$4:$H$14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Newton!$I$4:$I$14</c:f>
              <c:numCache>
                <c:formatCode>General</c:formatCode>
                <c:ptCount val="11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0.13002007760794732</c:v>
                </c:pt>
                <c:pt idx="9">
                  <c:v>0.13679520979314949</c:v>
                </c:pt>
                <c:pt idx="10">
                  <c:v>0.12766076616203526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93-4361-996C-5A9F581E3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87640"/>
        <c:axId val="1170185344"/>
      </c:scatterChart>
      <c:valAx>
        <c:axId val="117018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85344"/>
        <c:crosses val="autoZero"/>
        <c:crossBetween val="midCat"/>
      </c:valAx>
      <c:valAx>
        <c:axId val="1170185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87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Sun_Dry!$L$1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715923009623797"/>
                  <c:y val="-0.796017424905220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Sun_Dry!$K$2:$K$21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Sun_Dry!$L$2:$L$21</c:f>
              <c:numCache>
                <c:formatCode>0.00</c:formatCode>
                <c:ptCount val="20"/>
                <c:pt idx="0">
                  <c:v>1</c:v>
                </c:pt>
                <c:pt idx="1">
                  <c:v>0.80952380952380965</c:v>
                </c:pt>
                <c:pt idx="2">
                  <c:v>0.8363492063492064</c:v>
                </c:pt>
                <c:pt idx="3">
                  <c:v>0.87507936507936523</c:v>
                </c:pt>
                <c:pt idx="4">
                  <c:v>0.75968253968253974</c:v>
                </c:pt>
                <c:pt idx="5">
                  <c:v>0.74111111111111116</c:v>
                </c:pt>
                <c:pt idx="6">
                  <c:v>0.7088888888888889</c:v>
                </c:pt>
                <c:pt idx="7">
                  <c:v>0.71079365079365087</c:v>
                </c:pt>
                <c:pt idx="8">
                  <c:v>0.68206349206349215</c:v>
                </c:pt>
                <c:pt idx="9">
                  <c:v>0.60031746031746036</c:v>
                </c:pt>
                <c:pt idx="10">
                  <c:v>0.60428571428571431</c:v>
                </c:pt>
                <c:pt idx="11">
                  <c:v>0.46714285714285719</c:v>
                </c:pt>
                <c:pt idx="12">
                  <c:v>0.4165079365079366</c:v>
                </c:pt>
                <c:pt idx="13">
                  <c:v>0.31523809523809526</c:v>
                </c:pt>
                <c:pt idx="14">
                  <c:v>0.31349206349206354</c:v>
                </c:pt>
                <c:pt idx="15">
                  <c:v>0.14079365079365078</c:v>
                </c:pt>
                <c:pt idx="16">
                  <c:v>3.2857142857142835E-2</c:v>
                </c:pt>
                <c:pt idx="17">
                  <c:v>2.5396825396825141E-3</c:v>
                </c:pt>
                <c:pt idx="18">
                  <c:v>0</c:v>
                </c:pt>
                <c:pt idx="19">
                  <c:v>1.269841269841243E-3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46-4D16-AD04-FE42EB2E8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78176"/>
        <c:axId val="730985064"/>
      </c:scatterChart>
      <c:valAx>
        <c:axId val="73097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85064"/>
        <c:crosses val="autoZero"/>
        <c:crossBetween val="midCat"/>
      </c:valAx>
      <c:valAx>
        <c:axId val="73098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78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</a:rPr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Page!$AD$3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Page!$AC$4:$AC$17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</c:numCache>
            </c:numRef>
          </c:xVal>
          <c:yVal>
            <c:numRef>
              <c:f>Page!$AD$4:$AD$17</c:f>
              <c:numCache>
                <c:formatCode>General</c:formatCode>
                <c:ptCount val="14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0.80782806424512987</c:v>
                </c:pt>
                <c:pt idx="4">
                  <c:v>0.77924179723414255</c:v>
                </c:pt>
                <c:pt idx="5">
                  <c:v>0.7573010895075255</c:v>
                </c:pt>
                <c:pt idx="6">
                  <c:v>0.72542054364670383</c:v>
                </c:pt>
                <c:pt idx="7">
                  <c:v>0.65840012454856434</c:v>
                </c:pt>
                <c:pt idx="8">
                  <c:v>0.40482099376610842</c:v>
                </c:pt>
                <c:pt idx="9">
                  <c:v>0.40515242573112892</c:v>
                </c:pt>
                <c:pt idx="10">
                  <c:v>0.16550448692936906</c:v>
                </c:pt>
                <c:pt idx="11">
                  <c:v>0.13092609034474734</c:v>
                </c:pt>
                <c:pt idx="12">
                  <c:v>0.12918285933370885</c:v>
                </c:pt>
                <c:pt idx="13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41-47B2-9CFB-DED6925E64D0}"/>
            </c:ext>
          </c:extLst>
        </c:ser>
        <c:ser>
          <c:idx val="1"/>
          <c:order val="1"/>
          <c:tx>
            <c:v>Page model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Page!$AC$4:$AC$17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</c:numCache>
            </c:numRef>
          </c:xVal>
          <c:yVal>
            <c:numRef>
              <c:f>Page!$AL$4:$AL$18</c:f>
              <c:numCache>
                <c:formatCode>General</c:formatCode>
                <c:ptCount val="15"/>
                <c:pt idx="0">
                  <c:v>1</c:v>
                </c:pt>
                <c:pt idx="1">
                  <c:v>0.98313047106250362</c:v>
                </c:pt>
                <c:pt idx="2">
                  <c:v>0.95736879153575682</c:v>
                </c:pt>
                <c:pt idx="3">
                  <c:v>0.89443618761072763</c:v>
                </c:pt>
                <c:pt idx="4">
                  <c:v>0.85984731267208514</c:v>
                </c:pt>
                <c:pt idx="5">
                  <c:v>0.75150460137323005</c:v>
                </c:pt>
                <c:pt idx="6">
                  <c:v>0.67931566408227217</c:v>
                </c:pt>
                <c:pt idx="7">
                  <c:v>0.54316801587081553</c:v>
                </c:pt>
                <c:pt idx="8">
                  <c:v>0.37152070651441238</c:v>
                </c:pt>
                <c:pt idx="9">
                  <c:v>0.32406391003061924</c:v>
                </c:pt>
                <c:pt idx="10">
                  <c:v>0.24331002347039773</c:v>
                </c:pt>
                <c:pt idx="11">
                  <c:v>0.20952775687620565</c:v>
                </c:pt>
                <c:pt idx="12">
                  <c:v>0.17974109538740229</c:v>
                </c:pt>
                <c:pt idx="13">
                  <c:v>0.15362090534934131</c:v>
                </c:pt>
                <c:pt idx="14">
                  <c:v>0.58218253155969779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41-47B2-9CFB-DED6925E64D0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Page!$AC$20:$AC$25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16</c:v>
                </c:pt>
                <c:pt idx="4">
                  <c:v>18</c:v>
                </c:pt>
                <c:pt idx="5">
                  <c:v>24</c:v>
                </c:pt>
              </c:numCache>
            </c:numRef>
          </c:xVal>
          <c:yVal>
            <c:numRef>
              <c:f>Page!$AD$20:$AD$25</c:f>
              <c:numCache>
                <c:formatCode>General</c:formatCode>
                <c:ptCount val="6"/>
                <c:pt idx="0">
                  <c:v>0.89411921590304944</c:v>
                </c:pt>
                <c:pt idx="1">
                  <c:v>0.74887565034061343</c:v>
                </c:pt>
                <c:pt idx="2">
                  <c:v>0.657386688720347</c:v>
                </c:pt>
                <c:pt idx="3">
                  <c:v>0.53930532137147502</c:v>
                </c:pt>
                <c:pt idx="4">
                  <c:v>0.50581451079406126</c:v>
                </c:pt>
                <c:pt idx="5">
                  <c:v>0.25103593126455687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41-47B2-9CFB-DED6925E6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335440"/>
        <c:axId val="1379338392"/>
      </c:scatterChart>
      <c:valAx>
        <c:axId val="137933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338392"/>
        <c:crosses val="autoZero"/>
        <c:crossBetween val="midCat"/>
      </c:valAx>
      <c:valAx>
        <c:axId val="1379338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33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Page!$AF$2:$AF$3</c:f>
              <c:strCache>
                <c:ptCount val="2"/>
                <c:pt idx="0">
                  <c:v>CD</c:v>
                </c:pt>
                <c:pt idx="1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Page!$AE$4:$AE$10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Page!$AF$4:$AF$10</c:f>
              <c:numCache>
                <c:formatCode>General</c:formatCode>
                <c:ptCount val="7"/>
                <c:pt idx="0">
                  <c:v>1</c:v>
                </c:pt>
                <c:pt idx="1">
                  <c:v>0.8719047990821901</c:v>
                </c:pt>
                <c:pt idx="2">
                  <c:v>0.8085873453509933</c:v>
                </c:pt>
                <c:pt idx="3">
                  <c:v>0.66526042465241864</c:v>
                </c:pt>
                <c:pt idx="4">
                  <c:v>0.66656424213610876</c:v>
                </c:pt>
                <c:pt idx="5">
                  <c:v>0.13761229117340132</c:v>
                </c:pt>
                <c:pt idx="6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8-4476-B3F7-5E5497D0C12D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Page!$AE$20:$AE$22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8</c:v>
                </c:pt>
              </c:numCache>
            </c:numRef>
          </c:xVal>
          <c:yVal>
            <c:numRef>
              <c:f>Page!$AF$20:$AF$22</c:f>
              <c:numCache>
                <c:formatCode>General</c:formatCode>
                <c:ptCount val="3"/>
                <c:pt idx="0">
                  <c:v>0.87300358352871843</c:v>
                </c:pt>
                <c:pt idx="1">
                  <c:v>0.60194953462483713</c:v>
                </c:pt>
                <c:pt idx="2">
                  <c:v>0.17383457194399796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A8-4476-B3F7-5E5497D0C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828536"/>
        <c:axId val="1276829848"/>
      </c:scatterChart>
      <c:scatterChart>
        <c:scatterStyle val="smoothMarker"/>
        <c:varyColors val="0"/>
        <c:ser>
          <c:idx val="1"/>
          <c:order val="1"/>
          <c:tx>
            <c:v>Page model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Page!$AE$4:$AE$10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Page!$AM$4:$AM$10</c:f>
              <c:numCache>
                <c:formatCode>General</c:formatCode>
                <c:ptCount val="7"/>
                <c:pt idx="0">
                  <c:v>1</c:v>
                </c:pt>
                <c:pt idx="1">
                  <c:v>0.9733510305639006</c:v>
                </c:pt>
                <c:pt idx="2">
                  <c:v>0.83302586364816011</c:v>
                </c:pt>
                <c:pt idx="3">
                  <c:v>0.73980006608911608</c:v>
                </c:pt>
                <c:pt idx="4">
                  <c:v>0.54321811163758837</c:v>
                </c:pt>
                <c:pt idx="5">
                  <c:v>0.22666441268062992</c:v>
                </c:pt>
                <c:pt idx="6">
                  <c:v>0.13023572263835981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A8-4476-B3F7-5E5497D0C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828536"/>
        <c:axId val="1276829848"/>
      </c:scatterChart>
      <c:valAx>
        <c:axId val="127682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6829848"/>
        <c:crosses val="autoZero"/>
        <c:crossBetween val="midCat"/>
      </c:valAx>
      <c:valAx>
        <c:axId val="1276829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6828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2962962962962962"/>
          <c:w val="0.88389129483814521"/>
          <c:h val="0.762970982793817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'Henderson and Pabis'!$B$3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'Henderson and Pabis'!$A$4:$A$23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5">
                  <c:v>5</c:v>
                </c:pt>
                <c:pt idx="6">
                  <c:v>6</c:v>
                </c:pt>
                <c:pt idx="8">
                  <c:v>10</c:v>
                </c:pt>
                <c:pt idx="9">
                  <c:v>12</c:v>
                </c:pt>
                <c:pt idx="11">
                  <c:v>16</c:v>
                </c:pt>
                <c:pt idx="12">
                  <c:v>18</c:v>
                </c:pt>
                <c:pt idx="14">
                  <c:v>22</c:v>
                </c:pt>
                <c:pt idx="16">
                  <c:v>26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'Henderson and Pabis'!$B$4:$B$23</c:f>
              <c:numCache>
                <c:formatCode>General</c:formatCode>
                <c:ptCount val="20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0.89411921590304944</c:v>
                </c:pt>
                <c:pt idx="5">
                  <c:v>0.77924179723414255</c:v>
                </c:pt>
                <c:pt idx="6">
                  <c:v>0.74887565034061343</c:v>
                </c:pt>
                <c:pt idx="8">
                  <c:v>0.72542054364670383</c:v>
                </c:pt>
                <c:pt idx="9">
                  <c:v>0.657386688720347</c:v>
                </c:pt>
                <c:pt idx="11">
                  <c:v>0.53930532137147458</c:v>
                </c:pt>
                <c:pt idx="12">
                  <c:v>0.50581451079406126</c:v>
                </c:pt>
                <c:pt idx="14">
                  <c:v>0.40515242573112892</c:v>
                </c:pt>
                <c:pt idx="16">
                  <c:v>0.16550448692936906</c:v>
                </c:pt>
                <c:pt idx="18">
                  <c:v>0.12918285933370885</c:v>
                </c:pt>
                <c:pt idx="19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43-4DF1-8825-CCDCE839B975}"/>
            </c:ext>
          </c:extLst>
        </c:ser>
        <c:ser>
          <c:idx val="1"/>
          <c:order val="1"/>
          <c:tx>
            <c:v>Henderson and Pabis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'Henderson and Pabis'!$A$4:$A$23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5">
                  <c:v>5</c:v>
                </c:pt>
                <c:pt idx="6">
                  <c:v>6</c:v>
                </c:pt>
                <c:pt idx="8">
                  <c:v>10</c:v>
                </c:pt>
                <c:pt idx="9">
                  <c:v>12</c:v>
                </c:pt>
                <c:pt idx="11">
                  <c:v>16</c:v>
                </c:pt>
                <c:pt idx="12">
                  <c:v>18</c:v>
                </c:pt>
                <c:pt idx="14">
                  <c:v>22</c:v>
                </c:pt>
                <c:pt idx="16">
                  <c:v>26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'Henderson and Pabis'!$J$4:$J$23</c:f>
              <c:numCache>
                <c:formatCode>General</c:formatCode>
                <c:ptCount val="20"/>
                <c:pt idx="0">
                  <c:v>1.003810924993269</c:v>
                </c:pt>
                <c:pt idx="1">
                  <c:v>0.95740926323582543</c:v>
                </c:pt>
                <c:pt idx="2">
                  <c:v>0.91315254148674718</c:v>
                </c:pt>
                <c:pt idx="3">
                  <c:v>0.87094160882201033</c:v>
                </c:pt>
                <c:pt idx="5">
                  <c:v>0.79228321168920135</c:v>
                </c:pt>
                <c:pt idx="6">
                  <c:v>0.75565952421025717</c:v>
                </c:pt>
                <c:pt idx="8">
                  <c:v>0.62532960331026965</c:v>
                </c:pt>
                <c:pt idx="9">
                  <c:v>0.56885345866653236</c:v>
                </c:pt>
                <c:pt idx="11">
                  <c:v>0.47074230688931362</c:v>
                </c:pt>
                <c:pt idx="12">
                  <c:v>0.42822759069313121</c:v>
                </c:pt>
                <c:pt idx="14">
                  <c:v>0.35437042852666989</c:v>
                </c:pt>
                <c:pt idx="17">
                  <c:v>0.26676676129664945</c:v>
                </c:pt>
                <c:pt idx="18">
                  <c:v>0.24267393390230069</c:v>
                </c:pt>
                <c:pt idx="19">
                  <c:v>0.22075703100856239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43-4DF1-8825-CCDCE839B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470616"/>
        <c:axId val="869465040"/>
      </c:scatterChart>
      <c:valAx>
        <c:axId val="869470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465040"/>
        <c:crosses val="autoZero"/>
        <c:crossBetween val="midCat"/>
      </c:valAx>
      <c:valAx>
        <c:axId val="86946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470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5782407407407409"/>
          <c:w val="0.88389129483814521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'Henderson and Pabis'!$D$3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'Henderson and Pabis'!$C$4:$C$13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'Henderson and Pabis'!$D$4:$D$13</c:f>
              <c:numCache>
                <c:formatCode>General</c:formatCode>
                <c:ptCount val="10"/>
                <c:pt idx="0">
                  <c:v>1</c:v>
                </c:pt>
                <c:pt idx="1">
                  <c:v>0.8719047990821901</c:v>
                </c:pt>
                <c:pt idx="2">
                  <c:v>0.87300358352871843</c:v>
                </c:pt>
                <c:pt idx="3">
                  <c:v>0.8085873453509933</c:v>
                </c:pt>
                <c:pt idx="4">
                  <c:v>0.66526042465241864</c:v>
                </c:pt>
                <c:pt idx="5">
                  <c:v>0.60194953462483713</c:v>
                </c:pt>
                <c:pt idx="6">
                  <c:v>0.66656424213610876</c:v>
                </c:pt>
                <c:pt idx="7">
                  <c:v>0.17383457194399796</c:v>
                </c:pt>
                <c:pt idx="8">
                  <c:v>0.13761229117340132</c:v>
                </c:pt>
                <c:pt idx="9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5-4F61-81D4-8AA71CE471F6}"/>
            </c:ext>
          </c:extLst>
        </c:ser>
        <c:ser>
          <c:idx val="1"/>
          <c:order val="1"/>
          <c:tx>
            <c:v>Henderson and Pabis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'Henderson and Pabis'!$C$4:$C$13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'Henderson and Pabis'!$K$4:$K$13</c:f>
              <c:numCache>
                <c:formatCode>General</c:formatCode>
                <c:ptCount val="10"/>
                <c:pt idx="0">
                  <c:v>1.0796914561020721</c:v>
                </c:pt>
                <c:pt idx="1">
                  <c:v>0.94007923096258195</c:v>
                </c:pt>
                <c:pt idx="2">
                  <c:v>0.81851991649330202</c:v>
                </c:pt>
                <c:pt idx="3">
                  <c:v>0.71267913557689166</c:v>
                </c:pt>
                <c:pt idx="4">
                  <c:v>0.62052436361306518</c:v>
                </c:pt>
                <c:pt idx="5">
                  <c:v>0.5402858967180415</c:v>
                </c:pt>
                <c:pt idx="6">
                  <c:v>0.47042286702934555</c:v>
                </c:pt>
                <c:pt idx="7">
                  <c:v>0.35663011285420193</c:v>
                </c:pt>
                <c:pt idx="8">
                  <c:v>0.27036321214050774</c:v>
                </c:pt>
                <c:pt idx="9">
                  <c:v>0.20496380940444178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15-4F61-81D4-8AA71CE47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950992"/>
        <c:axId val="691949352"/>
      </c:scatterChart>
      <c:valAx>
        <c:axId val="69195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49352"/>
        <c:crosses val="autoZero"/>
        <c:crossBetween val="midCat"/>
      </c:valAx>
      <c:valAx>
        <c:axId val="691949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5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'Henderson and Pabis'!$F$3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'Henderson and Pabis'!$E$4:$E$21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'Henderson and Pabis'!$F$4:$F$21</c:f>
              <c:numCache>
                <c:formatCode>General</c:formatCode>
                <c:ptCount val="18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0.43198668331810791</c:v>
                </c:pt>
                <c:pt idx="9">
                  <c:v>0.43620617795612521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0.15070119437459695</c:v>
                </c:pt>
                <c:pt idx="15">
                  <c:v>0.15110482263125347</c:v>
                </c:pt>
                <c:pt idx="16">
                  <c:v>0.13179349913915536</c:v>
                </c:pt>
                <c:pt idx="17">
                  <c:v>0.12964168263055892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3D-4F31-927D-21E28277D231}"/>
            </c:ext>
          </c:extLst>
        </c:ser>
        <c:ser>
          <c:idx val="1"/>
          <c:order val="1"/>
          <c:tx>
            <c:v>Henderson and Pabis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'Henderson and Pabis'!$E$4:$E$21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'Henderson and Pabis'!$L$4:$L$21</c:f>
              <c:numCache>
                <c:formatCode>General</c:formatCode>
                <c:ptCount val="18"/>
                <c:pt idx="0">
                  <c:v>0.85895892484500735</c:v>
                </c:pt>
                <c:pt idx="1">
                  <c:v>0.80267004606255798</c:v>
                </c:pt>
                <c:pt idx="2">
                  <c:v>0.75006986272635123</c:v>
                </c:pt>
                <c:pt idx="3">
                  <c:v>0.70091664903922368</c:v>
                </c:pt>
                <c:pt idx="4">
                  <c:v>0.65498451986146511</c:v>
                </c:pt>
                <c:pt idx="5">
                  <c:v>0.612062392648554</c:v>
                </c:pt>
                <c:pt idx="6">
                  <c:v>0.57195301741468341</c:v>
                </c:pt>
                <c:pt idx="7">
                  <c:v>0.49944730632557854</c:v>
                </c:pt>
                <c:pt idx="8">
                  <c:v>0.43613304624813121</c:v>
                </c:pt>
                <c:pt idx="9">
                  <c:v>0.38084504935877972</c:v>
                </c:pt>
                <c:pt idx="10">
                  <c:v>0.33256583711973842</c:v>
                </c:pt>
                <c:pt idx="11">
                  <c:v>0.29040691537245189</c:v>
                </c:pt>
                <c:pt idx="12">
                  <c:v>0.2535924231621472</c:v>
                </c:pt>
                <c:pt idx="13">
                  <c:v>0.22144485437880149</c:v>
                </c:pt>
                <c:pt idx="14">
                  <c:v>0.19337258944638802</c:v>
                </c:pt>
                <c:pt idx="15">
                  <c:v>0.16885900760302738</c:v>
                </c:pt>
                <c:pt idx="16">
                  <c:v>0.1474529794026703</c:v>
                </c:pt>
                <c:pt idx="17">
                  <c:v>0.12876056446949349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3D-4F31-927D-21E28277D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155800"/>
        <c:axId val="869167936"/>
      </c:scatterChart>
      <c:valAx>
        <c:axId val="86915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167936"/>
        <c:crosses val="autoZero"/>
        <c:crossBetween val="midCat"/>
      </c:valAx>
      <c:valAx>
        <c:axId val="869167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155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BCD</a:t>
            </a:r>
          </a:p>
        </c:rich>
      </c:tx>
      <c:layout>
        <c:manualLayout>
          <c:xMode val="edge"/>
          <c:yMode val="edge"/>
          <c:x val="0.43958333333333327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77190960885986"/>
          <c:y val="0.16572832886505809"/>
          <c:w val="0.75068337494398563"/>
          <c:h val="0.730615425752746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'Henderson and Pabis'!$H$3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'Henderson and Pabis'!$G$4:$G$14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'Henderson and Pabis'!$H$4:$H$14</c:f>
              <c:numCache>
                <c:formatCode>General</c:formatCode>
                <c:ptCount val="11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0.13002007760794732</c:v>
                </c:pt>
                <c:pt idx="9">
                  <c:v>0.13679520979314949</c:v>
                </c:pt>
                <c:pt idx="10">
                  <c:v>0.12766076616203526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FC-4E14-A749-F09D6D1EAF8A}"/>
            </c:ext>
          </c:extLst>
        </c:ser>
        <c:ser>
          <c:idx val="1"/>
          <c:order val="1"/>
          <c:tx>
            <c:v>Henderson and Pabis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'Henderson and Pabis'!$G$4:$G$14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'Henderson and Pabis'!$M$4:$M$14</c:f>
              <c:numCache>
                <c:formatCode>General</c:formatCode>
                <c:ptCount val="11"/>
                <c:pt idx="0">
                  <c:v>55110147.196177334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FC-4E14-A749-F09D6D1EA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656032"/>
        <c:axId val="870628152"/>
      </c:scatterChart>
      <c:valAx>
        <c:axId val="87065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28152"/>
        <c:crosses val="autoZero"/>
        <c:crossBetween val="midCat"/>
      </c:valAx>
      <c:valAx>
        <c:axId val="870628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5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SD</a:t>
            </a:r>
          </a:p>
        </c:rich>
      </c:tx>
      <c:layout>
        <c:manualLayout>
          <c:xMode val="edge"/>
          <c:yMode val="edge"/>
          <c:x val="0.4340277777777777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'Two Term Exponential'!$F$3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'Two Term Exponential'!$E$4:$E$23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'Two Term Exponential'!$F$4:$F$23</c:f>
              <c:numCache>
                <c:formatCode>General</c:formatCode>
                <c:ptCount val="20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0.89411921590304944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0.74887565034061343</c:v>
                </c:pt>
                <c:pt idx="7">
                  <c:v>0.7573010895075255</c:v>
                </c:pt>
                <c:pt idx="8">
                  <c:v>0.72542054364670383</c:v>
                </c:pt>
                <c:pt idx="9">
                  <c:v>0.657386688720347</c:v>
                </c:pt>
                <c:pt idx="10">
                  <c:v>0.65840012454856434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0.40482099376610842</c:v>
                </c:pt>
                <c:pt idx="14">
                  <c:v>0.40515242573112892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0.13092609034474734</c:v>
                </c:pt>
                <c:pt idx="18">
                  <c:v>0.12918285933370885</c:v>
                </c:pt>
                <c:pt idx="19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DF-4B40-BF06-9F9806E42957}"/>
            </c:ext>
          </c:extLst>
        </c:ser>
        <c:ser>
          <c:idx val="1"/>
          <c:order val="1"/>
          <c:tx>
            <c:v>TTE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'Two Term Exponential'!$E$4:$E$23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'Two Term Exponential'!$N$4:$N$23</c:f>
              <c:numCache>
                <c:formatCode>General</c:formatCode>
                <c:ptCount val="20"/>
                <c:pt idx="0">
                  <c:v>1</c:v>
                </c:pt>
                <c:pt idx="1">
                  <c:v>0.95401308798057793</c:v>
                </c:pt>
                <c:pt idx="2">
                  <c:v>0.91014097204193412</c:v>
                </c:pt>
                <c:pt idx="3">
                  <c:v>0.86828639924242268</c:v>
                </c:pt>
                <c:pt idx="4">
                  <c:v>0.82835658900289311</c:v>
                </c:pt>
                <c:pt idx="5">
                  <c:v>0.79026302743654675</c:v>
                </c:pt>
                <c:pt idx="6">
                  <c:v>0.7539212711369303</c:v>
                </c:pt>
                <c:pt idx="7">
                  <c:v>0.68617463858910099</c:v>
                </c:pt>
                <c:pt idx="8">
                  <c:v>0.62451565259659536</c:v>
                </c:pt>
                <c:pt idx="9">
                  <c:v>0.56839728315584681</c:v>
                </c:pt>
                <c:pt idx="10">
                  <c:v>0.51732165584789502</c:v>
                </c:pt>
                <c:pt idx="11">
                  <c:v>0.47083563476530571</c:v>
                </c:pt>
                <c:pt idx="12">
                  <c:v>0.4285268023529904</c:v>
                </c:pt>
                <c:pt idx="13">
                  <c:v>0.39001980049662172</c:v>
                </c:pt>
                <c:pt idx="14">
                  <c:v>0.35497300039729196</c:v>
                </c:pt>
                <c:pt idx="15">
                  <c:v>0.32307547168799844</c:v>
                </c:pt>
                <c:pt idx="16">
                  <c:v>0.29404422390237883</c:v>
                </c:pt>
                <c:pt idx="17">
                  <c:v>0.2676216958223841</c:v>
                </c:pt>
                <c:pt idx="18">
                  <c:v>0.24357347043073294</c:v>
                </c:pt>
                <c:pt idx="19">
                  <c:v>0.22168619519551772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DF-4B40-BF06-9F9806E42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165928"/>
        <c:axId val="871166256"/>
      </c:scatterChart>
      <c:valAx>
        <c:axId val="87116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166256"/>
        <c:crosses val="autoZero"/>
        <c:crossBetween val="midCat"/>
      </c:valAx>
      <c:valAx>
        <c:axId val="871166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165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9759405074366E-2"/>
          <c:y val="6.9444444444444448E-2"/>
          <c:w val="0.88389129483814521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'Two Term Exponential'!$H$3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'Two Term Exponential'!$G$4:$G$13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'Two Term Exponential'!$H$4:$H$13</c:f>
              <c:numCache>
                <c:formatCode>General</c:formatCode>
                <c:ptCount val="10"/>
                <c:pt idx="0">
                  <c:v>1</c:v>
                </c:pt>
                <c:pt idx="1">
                  <c:v>0.8719047990821901</c:v>
                </c:pt>
                <c:pt idx="2">
                  <c:v>0.87300358352871843</c:v>
                </c:pt>
                <c:pt idx="3">
                  <c:v>0.8085873453509933</c:v>
                </c:pt>
                <c:pt idx="4">
                  <c:v>0.66526042465241864</c:v>
                </c:pt>
                <c:pt idx="5">
                  <c:v>0.60194953462483713</c:v>
                </c:pt>
                <c:pt idx="6">
                  <c:v>0.66656424213610876</c:v>
                </c:pt>
                <c:pt idx="7">
                  <c:v>0.17383457194399796</c:v>
                </c:pt>
                <c:pt idx="8">
                  <c:v>0.13761229117340132</c:v>
                </c:pt>
                <c:pt idx="9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A6-4A37-806E-6CFB3A4E0AC3}"/>
            </c:ext>
          </c:extLst>
        </c:ser>
        <c:ser>
          <c:idx val="1"/>
          <c:order val="1"/>
          <c:tx>
            <c:v>TTE fit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'Two Term Exponential'!$G$4:$G$13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'Two Term Exponential'!$O$4:$O$13</c:f>
              <c:numCache>
                <c:formatCode>General</c:formatCode>
                <c:ptCount val="10"/>
                <c:pt idx="0">
                  <c:v>1</c:v>
                </c:pt>
                <c:pt idx="1">
                  <c:v>0.97140987516403543</c:v>
                </c:pt>
                <c:pt idx="2">
                  <c:v>0.88791915757701223</c:v>
                </c:pt>
                <c:pt idx="3">
                  <c:v>0.78210812664936413</c:v>
                </c:pt>
                <c:pt idx="4">
                  <c:v>0.67231169599757812</c:v>
                </c:pt>
                <c:pt idx="5">
                  <c:v>0.56824077868484113</c:v>
                </c:pt>
                <c:pt idx="6">
                  <c:v>0.47448375397314102</c:v>
                </c:pt>
                <c:pt idx="7">
                  <c:v>0.32279110374832082</c:v>
                </c:pt>
                <c:pt idx="8">
                  <c:v>0.21506979528528292</c:v>
                </c:pt>
                <c:pt idx="9">
                  <c:v>0.14153812431919907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A6-4A37-806E-6CFB3A4E0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695248"/>
        <c:axId val="183695576"/>
      </c:scatterChart>
      <c:valAx>
        <c:axId val="18369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95576"/>
        <c:crosses val="autoZero"/>
        <c:crossBetween val="midCat"/>
      </c:valAx>
      <c:valAx>
        <c:axId val="183695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9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'Two Term Exponential'!$J$3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'Two Term Exponential'!$I$4:$I$21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'Two Term Exponential'!$J$4:$J$21</c:f>
              <c:numCache>
                <c:formatCode>General</c:formatCode>
                <c:ptCount val="18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0.43198668331810791</c:v>
                </c:pt>
                <c:pt idx="9">
                  <c:v>0.43620617795612521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0.15070119437459695</c:v>
                </c:pt>
                <c:pt idx="15">
                  <c:v>0.15110482263125347</c:v>
                </c:pt>
                <c:pt idx="16">
                  <c:v>0.13179349913915536</c:v>
                </c:pt>
                <c:pt idx="17">
                  <c:v>0.12964168263055892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EF-4D46-887C-96D75C427761}"/>
            </c:ext>
          </c:extLst>
        </c:ser>
        <c:ser>
          <c:idx val="1"/>
          <c:order val="1"/>
          <c:tx>
            <c:v>TTE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'Two Term Exponential'!$I$4:$I$21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'Two Term Exponential'!$P$4:$P$21</c:f>
              <c:numCache>
                <c:formatCode>General</c:formatCode>
                <c:ptCount val="18"/>
                <c:pt idx="0">
                  <c:v>1</c:v>
                </c:pt>
                <c:pt idx="1">
                  <c:v>0.88743798131693941</c:v>
                </c:pt>
                <c:pt idx="2">
                  <c:v>0.79877060584390991</c:v>
                </c:pt>
                <c:pt idx="3">
                  <c:v>0.72652626855163338</c:v>
                </c:pt>
                <c:pt idx="4">
                  <c:v>0.6658415961441011</c:v>
                </c:pt>
                <c:pt idx="5">
                  <c:v>0.61353002539092849</c:v>
                </c:pt>
                <c:pt idx="6">
                  <c:v>0.56748444226108297</c:v>
                </c:pt>
                <c:pt idx="7">
                  <c:v>0.48899805419716691</c:v>
                </c:pt>
                <c:pt idx="8">
                  <c:v>0.4236082448110608</c:v>
                </c:pt>
                <c:pt idx="9">
                  <c:v>0.36789278627409217</c:v>
                </c:pt>
                <c:pt idx="10">
                  <c:v>0.31988941948196437</c:v>
                </c:pt>
                <c:pt idx="11">
                  <c:v>0.2783077834433807</c:v>
                </c:pt>
                <c:pt idx="12">
                  <c:v>0.2421962928466925</c:v>
                </c:pt>
                <c:pt idx="13">
                  <c:v>0.21079714582923162</c:v>
                </c:pt>
                <c:pt idx="14">
                  <c:v>0.18347967987110575</c:v>
                </c:pt>
                <c:pt idx="15">
                  <c:v>0.15970683415146006</c:v>
                </c:pt>
                <c:pt idx="16">
                  <c:v>0.13901601159000657</c:v>
                </c:pt>
                <c:pt idx="17">
                  <c:v>0.12100655135454409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EF-4D46-887C-96D75C427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555248"/>
        <c:axId val="870556888"/>
      </c:scatterChart>
      <c:valAx>
        <c:axId val="87055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556888"/>
        <c:crosses val="autoZero"/>
        <c:crossBetween val="midCat"/>
      </c:valAx>
      <c:valAx>
        <c:axId val="870556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5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'Two Term Exponential'!$L$3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'Two Term Exponential'!$K$4:$K$14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'Two Term Exponential'!$L$4:$L$14</c:f>
              <c:numCache>
                <c:formatCode>General</c:formatCode>
                <c:ptCount val="11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0.13002007760794732</c:v>
                </c:pt>
                <c:pt idx="9">
                  <c:v>0.13679520979314949</c:v>
                </c:pt>
                <c:pt idx="10">
                  <c:v>0.12766076616203526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4-4CC4-A873-AB8C4CDAB67B}"/>
            </c:ext>
          </c:extLst>
        </c:ser>
        <c:ser>
          <c:idx val="1"/>
          <c:order val="1"/>
          <c:tx>
            <c:v>TTE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'Two Term Exponential'!$K$4:$K$14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'Two Term Exponential'!$Q$4:$Q$14</c:f>
              <c:numCache>
                <c:formatCode>General</c:formatCode>
                <c:ptCount val="11"/>
                <c:pt idx="0">
                  <c:v>1</c:v>
                </c:pt>
                <c:pt idx="1">
                  <c:v>0.86266421620670786</c:v>
                </c:pt>
                <c:pt idx="2">
                  <c:v>0.7201569904626377</c:v>
                </c:pt>
                <c:pt idx="3">
                  <c:v>0.58794188000620151</c:v>
                </c:pt>
                <c:pt idx="4">
                  <c:v>0.47245227120469308</c:v>
                </c:pt>
                <c:pt idx="5">
                  <c:v>0.37525121998902744</c:v>
                </c:pt>
                <c:pt idx="6">
                  <c:v>0.29544563389382522</c:v>
                </c:pt>
                <c:pt idx="7">
                  <c:v>0.23105421258723158</c:v>
                </c:pt>
                <c:pt idx="8">
                  <c:v>0.1797554014222183</c:v>
                </c:pt>
                <c:pt idx="9">
                  <c:v>0.13927355753974113</c:v>
                </c:pt>
                <c:pt idx="10">
                  <c:v>0.10755849879915387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74-4CC4-A873-AB8C4CDAB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184712"/>
        <c:axId val="964174544"/>
      </c:scatterChart>
      <c:valAx>
        <c:axId val="96418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174544"/>
        <c:crosses val="autoZero"/>
        <c:crossBetween val="midCat"/>
      </c:valAx>
      <c:valAx>
        <c:axId val="964174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184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Sun_Dry!$Y$1</c:f>
              <c:strCache>
                <c:ptCount val="1"/>
                <c:pt idx="0">
                  <c:v>Ln(MR)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22856517935258"/>
                  <c:y val="2.09386847477399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Sun_Dry!$X$2:$X$14</c:f>
              <c:numCache>
                <c:formatCode>General</c:formatCode>
                <c:ptCount val="13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  <c:pt idx="11">
                  <c:v>57600</c:v>
                </c:pt>
                <c:pt idx="12">
                  <c:v>64800</c:v>
                </c:pt>
              </c:numCache>
            </c:numRef>
          </c:xVal>
          <c:yVal>
            <c:numRef>
              <c:f>Sun_Dry!$Y$2:$Y$14</c:f>
              <c:numCache>
                <c:formatCode>General</c:formatCode>
                <c:ptCount val="13"/>
                <c:pt idx="0">
                  <c:v>0</c:v>
                </c:pt>
                <c:pt idx="1">
                  <c:v>-0.21130909366720677</c:v>
                </c:pt>
                <c:pt idx="2">
                  <c:v>-0.17870904217033823</c:v>
                </c:pt>
                <c:pt idx="3">
                  <c:v>-0.13344069378994031</c:v>
                </c:pt>
                <c:pt idx="4">
                  <c:v>-0.27485464391130537</c:v>
                </c:pt>
                <c:pt idx="5">
                  <c:v>-0.29960471740868694</c:v>
                </c:pt>
                <c:pt idx="6">
                  <c:v>-0.34405647997952088</c:v>
                </c:pt>
                <c:pt idx="7">
                  <c:v>-0.34137311522092384</c:v>
                </c:pt>
                <c:pt idx="8">
                  <c:v>-0.38263252860462882</c:v>
                </c:pt>
                <c:pt idx="9">
                  <c:v>-0.51029666316122113</c:v>
                </c:pt>
                <c:pt idx="10">
                  <c:v>-0.50370815599712671</c:v>
                </c:pt>
                <c:pt idx="11">
                  <c:v>-0.76112016414615113</c:v>
                </c:pt>
                <c:pt idx="12">
                  <c:v>-0.87584976231564415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71-4E27-BF33-118D8A28F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66536"/>
        <c:axId val="812871784"/>
      </c:scatterChart>
      <c:valAx>
        <c:axId val="81286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71784"/>
        <c:crosses val="autoZero"/>
        <c:crossBetween val="midCat"/>
      </c:valAx>
      <c:valAx>
        <c:axId val="812871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6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8984930254506"/>
          <c:y val="0.17462335216572505"/>
          <c:w val="0.76772776943738064"/>
          <c:h val="0.71615693165472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'Aghbashlo et al'!$F$3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'Aghbashlo et al'!$E$4:$E$23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'Aghbashlo et al'!$F$4:$F$23</c:f>
              <c:numCache>
                <c:formatCode>General</c:formatCode>
                <c:ptCount val="20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0.89411921590304944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0.74887565034061343</c:v>
                </c:pt>
                <c:pt idx="7">
                  <c:v>0.7573010895075255</c:v>
                </c:pt>
                <c:pt idx="8">
                  <c:v>0.72542054364670383</c:v>
                </c:pt>
                <c:pt idx="9">
                  <c:v>0.657386688720347</c:v>
                </c:pt>
                <c:pt idx="10">
                  <c:v>0.65840012454856434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0.40482099376610842</c:v>
                </c:pt>
                <c:pt idx="14">
                  <c:v>0.40515242573112892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0.13092609034474734</c:v>
                </c:pt>
                <c:pt idx="18">
                  <c:v>0.12918285933370885</c:v>
                </c:pt>
                <c:pt idx="19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0E-4093-95BA-870B7A6CAB0E}"/>
            </c:ext>
          </c:extLst>
        </c:ser>
        <c:ser>
          <c:idx val="2"/>
          <c:order val="2"/>
          <c:tx>
            <c:v>Approximation of Diffusion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'Aghbashlo et al'!$E$4:$E$23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32</c:v>
                </c:pt>
              </c:numCache>
            </c:numRef>
          </c:xVal>
          <c:yVal>
            <c:numRef>
              <c:f>'Aghbashlo et al'!$N$4:$N$23</c:f>
              <c:numCache>
                <c:formatCode>General</c:formatCode>
                <c:ptCount val="20"/>
                <c:pt idx="0">
                  <c:v>1</c:v>
                </c:pt>
                <c:pt idx="1">
                  <c:v>0.99759565086332092</c:v>
                </c:pt>
                <c:pt idx="2">
                  <c:v>0.99041723325817144</c:v>
                </c:pt>
                <c:pt idx="3">
                  <c:v>0.97856780664199472</c:v>
                </c:pt>
                <c:pt idx="4">
                  <c:v>0.96221639805631032</c:v>
                </c:pt>
                <c:pt idx="5">
                  <c:v>0.94159399016092404</c:v>
                </c:pt>
                <c:pt idx="6">
                  <c:v>0.91698809247149748</c:v>
                </c:pt>
                <c:pt idx="7">
                  <c:v>0.85721747415611227</c:v>
                </c:pt>
                <c:pt idx="8">
                  <c:v>0.78605821645964857</c:v>
                </c:pt>
                <c:pt idx="9">
                  <c:v>0.70705758368346017</c:v>
                </c:pt>
                <c:pt idx="10">
                  <c:v>0.62386588087836659</c:v>
                </c:pt>
                <c:pt idx="11">
                  <c:v>0.53996307481387329</c:v>
                </c:pt>
                <c:pt idx="12">
                  <c:v>0.4584302482970124</c:v>
                </c:pt>
                <c:pt idx="13">
                  <c:v>0.38178498695618868</c:v>
                </c:pt>
                <c:pt idx="14">
                  <c:v>0.31188953599633973</c:v>
                </c:pt>
                <c:pt idx="15">
                  <c:v>0.24993043148474509</c:v>
                </c:pt>
                <c:pt idx="16">
                  <c:v>0.19645986921188913</c:v>
                </c:pt>
                <c:pt idx="17">
                  <c:v>0.15148336336771417</c:v>
                </c:pt>
                <c:pt idx="18">
                  <c:v>0.11457566976253114</c:v>
                </c:pt>
                <c:pt idx="19">
                  <c:v>8.5007304835384254E-2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0E-4093-95BA-870B7A6CA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161008"/>
        <c:axId val="8711574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Approximation of Diffusion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1-B10E-4093-95BA-870B7A6CAB0E}"/>
                  </c:ext>
                </c:extLst>
              </c15:ser>
            </c15:filteredScatterSeries>
          </c:ext>
        </c:extLst>
      </c:scatterChart>
      <c:valAx>
        <c:axId val="87116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157400"/>
        <c:crosses val="autoZero"/>
        <c:crossBetween val="midCat"/>
      </c:valAx>
      <c:valAx>
        <c:axId val="871157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161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'Aghbashlo et al'!$H$3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'Aghbashlo et al'!$G$4:$G$13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'Aghbashlo et al'!$H$4:$H$13</c:f>
              <c:numCache>
                <c:formatCode>General</c:formatCode>
                <c:ptCount val="10"/>
                <c:pt idx="0">
                  <c:v>1</c:v>
                </c:pt>
                <c:pt idx="1">
                  <c:v>0.8719047990821901</c:v>
                </c:pt>
                <c:pt idx="2">
                  <c:v>0.87300358352871843</c:v>
                </c:pt>
                <c:pt idx="3">
                  <c:v>0.8085873453509933</c:v>
                </c:pt>
                <c:pt idx="4">
                  <c:v>0.66526042465241864</c:v>
                </c:pt>
                <c:pt idx="5">
                  <c:v>0.60194953462483713</c:v>
                </c:pt>
                <c:pt idx="6">
                  <c:v>0.66656424213610876</c:v>
                </c:pt>
                <c:pt idx="7">
                  <c:v>0.17383457194399796</c:v>
                </c:pt>
                <c:pt idx="8">
                  <c:v>0.13761229117340132</c:v>
                </c:pt>
                <c:pt idx="9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E4-41C8-B798-F63D1BC18FAB}"/>
            </c:ext>
          </c:extLst>
        </c:ser>
        <c:ser>
          <c:idx val="1"/>
          <c:order val="1"/>
          <c:tx>
            <c:v>fitting 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'Aghbashlo et al'!$G$4:$G$13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'Aghbashlo et al'!$O$4:$O$13</c:f>
              <c:numCache>
                <c:formatCode>General</c:formatCode>
                <c:ptCount val="10"/>
                <c:pt idx="0">
                  <c:v>1</c:v>
                </c:pt>
                <c:pt idx="1">
                  <c:v>0.98070568106162026</c:v>
                </c:pt>
                <c:pt idx="2">
                  <c:v>0.9250277564499525</c:v>
                </c:pt>
                <c:pt idx="3">
                  <c:v>0.83916665779399036</c:v>
                </c:pt>
                <c:pt idx="4">
                  <c:v>0.73218201629644053</c:v>
                </c:pt>
                <c:pt idx="5">
                  <c:v>0.61442273551234905</c:v>
                </c:pt>
                <c:pt idx="6">
                  <c:v>0.4958985970830988</c:v>
                </c:pt>
                <c:pt idx="7">
                  <c:v>0.28739302953820434</c:v>
                </c:pt>
                <c:pt idx="8">
                  <c:v>0.14251780015945709</c:v>
                </c:pt>
                <c:pt idx="9">
                  <c:v>6.0474393099795978E-2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E4-41C8-B798-F63D1BC18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764752"/>
        <c:axId val="756761472"/>
      </c:scatterChart>
      <c:valAx>
        <c:axId val="75676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761472"/>
        <c:crosses val="autoZero"/>
        <c:crossBetween val="midCat"/>
      </c:valAx>
      <c:valAx>
        <c:axId val="75676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764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9759405074366E-2"/>
          <c:y val="0.16708333333333336"/>
          <c:w val="0.88389129483814521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'Quartic model'!$H$4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intercept val="1"/>
            <c:dispRSqr val="1"/>
            <c:dispEq val="1"/>
            <c:trendlineLbl>
              <c:layout>
                <c:manualLayout>
                  <c:x val="3.8801399825021871E-2"/>
                  <c:y val="-0.610308763487897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model'!$G$5:$G$12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</c:numCache>
            </c:numRef>
          </c:xVal>
          <c:yVal>
            <c:numRef>
              <c:f>'Quartic model'!$H$5:$H$12</c:f>
              <c:numCache>
                <c:formatCode>General</c:formatCode>
                <c:ptCount val="8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0.49811642751536406</c:v>
                </c:pt>
                <c:pt idx="4">
                  <c:v>0.31685483154225391</c:v>
                </c:pt>
                <c:pt idx="5">
                  <c:v>0.1540948684218085</c:v>
                </c:pt>
                <c:pt idx="6">
                  <c:v>0.13679520979314949</c:v>
                </c:pt>
                <c:pt idx="7">
                  <c:v>0.12766076616203526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63-4DA0-8863-760D974E2AE1}"/>
            </c:ext>
          </c:extLst>
        </c:ser>
        <c:ser>
          <c:idx val="1"/>
          <c:order val="1"/>
          <c:tx>
            <c:v>Quartic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'Quartic model'!$G$5:$G$12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</c:numCache>
            </c:numRef>
          </c:xVal>
          <c:yVal>
            <c:numRef>
              <c:f>'Quartic model'!$M$5:$M$12</c:f>
              <c:numCache>
                <c:formatCode>0.00</c:formatCode>
                <c:ptCount val="8"/>
                <c:pt idx="0">
                  <c:v>0.99287187317089942</c:v>
                </c:pt>
                <c:pt idx="1">
                  <c:v>0.82179485724700141</c:v>
                </c:pt>
                <c:pt idx="2">
                  <c:v>0.69388375320393947</c:v>
                </c:pt>
                <c:pt idx="3">
                  <c:v>0.48936448177270131</c:v>
                </c:pt>
                <c:pt idx="4">
                  <c:v>0.29312011968019602</c:v>
                </c:pt>
                <c:pt idx="5">
                  <c:v>0.20187602435239693</c:v>
                </c:pt>
                <c:pt idx="6">
                  <c:v>0.1021151959975366</c:v>
                </c:pt>
                <c:pt idx="7">
                  <c:v>0.14224563694948444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63-4DA0-8863-760D974E2AE1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'Quartic model'!$G$21:$G$23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8</c:v>
                </c:pt>
              </c:numCache>
            </c:numRef>
          </c:xVal>
          <c:yVal>
            <c:numRef>
              <c:f>'Quartic model'!$H$21:$H$23</c:f>
              <c:numCache>
                <c:formatCode>General</c:formatCode>
                <c:ptCount val="3"/>
                <c:pt idx="0">
                  <c:v>0.63196444601167723</c:v>
                </c:pt>
                <c:pt idx="1">
                  <c:v>0.42557964286029865</c:v>
                </c:pt>
                <c:pt idx="2">
                  <c:v>0.13002007760794732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63-4DA0-8863-760D974E2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577880"/>
        <c:axId val="1011574928"/>
      </c:scatterChart>
      <c:valAx>
        <c:axId val="101157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574928"/>
        <c:crosses val="autoZero"/>
        <c:crossBetween val="midCat"/>
      </c:valAx>
      <c:valAx>
        <c:axId val="1011574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577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899659133091287E-2"/>
          <c:y val="0.1737917200529312"/>
          <c:w val="0.8626739382752151"/>
          <c:h val="0.73196209400183443"/>
        </c:manualLayout>
      </c:layout>
      <c:scatterChart>
        <c:scatterStyle val="lineMarker"/>
        <c:varyColors val="0"/>
        <c:ser>
          <c:idx val="0"/>
          <c:order val="0"/>
          <c:tx>
            <c:strRef>
              <c:f>'Quartic model'!$B$4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intercept val="1"/>
            <c:dispRSqr val="1"/>
            <c:dispEq val="1"/>
            <c:trendlineLbl>
              <c:layout>
                <c:manualLayout>
                  <c:x val="-7.3529527559055119E-2"/>
                  <c:y val="-0.603796296296296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model'!$A$5:$A$18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</c:numCache>
            </c:numRef>
          </c:xVal>
          <c:yVal>
            <c:numRef>
              <c:f>'Quartic model'!$B$5:$B$18</c:f>
              <c:numCache>
                <c:formatCode>General</c:formatCode>
                <c:ptCount val="14"/>
                <c:pt idx="0">
                  <c:v>1</c:v>
                </c:pt>
                <c:pt idx="1">
                  <c:v>0.84208722400184877</c:v>
                </c:pt>
                <c:pt idx="2">
                  <c:v>0.85583101299828412</c:v>
                </c:pt>
                <c:pt idx="3">
                  <c:v>0.80782806424512987</c:v>
                </c:pt>
                <c:pt idx="4">
                  <c:v>0.77924179723414255</c:v>
                </c:pt>
                <c:pt idx="5">
                  <c:v>0.7573010895075255</c:v>
                </c:pt>
                <c:pt idx="6">
                  <c:v>0.72542054364670383</c:v>
                </c:pt>
                <c:pt idx="7">
                  <c:v>0.65840012454856434</c:v>
                </c:pt>
                <c:pt idx="8">
                  <c:v>0.40482099376610842</c:v>
                </c:pt>
                <c:pt idx="9">
                  <c:v>0.40515242573112892</c:v>
                </c:pt>
                <c:pt idx="10">
                  <c:v>0.16550448692936906</c:v>
                </c:pt>
                <c:pt idx="11">
                  <c:v>0.13092609034474734</c:v>
                </c:pt>
                <c:pt idx="12">
                  <c:v>0.12918285933370885</c:v>
                </c:pt>
                <c:pt idx="13">
                  <c:v>0.13792761311581958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13-4532-9B70-4B25E0B4CC2E}"/>
            </c:ext>
          </c:extLst>
        </c:ser>
        <c:ser>
          <c:idx val="1"/>
          <c:order val="1"/>
          <c:tx>
            <c:v>Quartic Model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'Quartic model'!$A$5:$A$18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</c:numCache>
            </c:numRef>
          </c:xVal>
          <c:yVal>
            <c:numRef>
              <c:f>'Quartic model'!$J$5:$J$18</c:f>
              <c:numCache>
                <c:formatCode>0.00</c:formatCode>
                <c:ptCount val="14"/>
                <c:pt idx="0">
                  <c:v>1</c:v>
                </c:pt>
                <c:pt idx="1">
                  <c:v>0.92810800000000004</c:v>
                </c:pt>
                <c:pt idx="2">
                  <c:v>0.87232799999999999</c:v>
                </c:pt>
                <c:pt idx="3">
                  <c:v>0.79844800000000005</c:v>
                </c:pt>
                <c:pt idx="4">
                  <c:v>0.77550000000000008</c:v>
                </c:pt>
                <c:pt idx="5">
                  <c:v>0.737568</c:v>
                </c:pt>
                <c:pt idx="6">
                  <c:v>0.72100000000000009</c:v>
                </c:pt>
                <c:pt idx="7">
                  <c:v>0.66472799999999976</c:v>
                </c:pt>
                <c:pt idx="8">
                  <c:v>0.46200000000000019</c:v>
                </c:pt>
                <c:pt idx="9">
                  <c:v>0.36824800000000013</c:v>
                </c:pt>
                <c:pt idx="10">
                  <c:v>0.18640799999999969</c:v>
                </c:pt>
                <c:pt idx="11">
                  <c:v>0.12404799999999838</c:v>
                </c:pt>
                <c:pt idx="12">
                  <c:v>0.10299999999999843</c:v>
                </c:pt>
                <c:pt idx="13">
                  <c:v>0.14380799999999905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62-4627-AFFE-D8D0AF678213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'Quartic model'!$A$19:$A$24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16</c:v>
                </c:pt>
                <c:pt idx="4">
                  <c:v>18</c:v>
                </c:pt>
                <c:pt idx="5">
                  <c:v>24</c:v>
                </c:pt>
              </c:numCache>
            </c:numRef>
          </c:xVal>
          <c:yVal>
            <c:numRef>
              <c:f>'Quartic model'!$B$19:$B$24</c:f>
              <c:numCache>
                <c:formatCode>General</c:formatCode>
                <c:ptCount val="6"/>
                <c:pt idx="0">
                  <c:v>0.89411921590304944</c:v>
                </c:pt>
                <c:pt idx="1">
                  <c:v>0.74887565034061343</c:v>
                </c:pt>
                <c:pt idx="2">
                  <c:v>0.657386688720347</c:v>
                </c:pt>
                <c:pt idx="3">
                  <c:v>0.53930532137147458</c:v>
                </c:pt>
                <c:pt idx="4">
                  <c:v>0.50581451079406126</c:v>
                </c:pt>
                <c:pt idx="5">
                  <c:v>0.25103593126455687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62-4627-AFFE-D8D0AF678213}"/>
            </c:ext>
          </c:extLst>
        </c:ser>
        <c:ser>
          <c:idx val="3"/>
          <c:order val="3"/>
          <c:tx>
            <c:v>Deff_1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'Quartic model'!$Z$52:$Z$71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  <c:pt idx="14">
                  <c:v>3</c:v>
                </c:pt>
                <c:pt idx="15">
                  <c:v>6</c:v>
                </c:pt>
                <c:pt idx="16">
                  <c:v>12</c:v>
                </c:pt>
                <c:pt idx="17">
                  <c:v>16</c:v>
                </c:pt>
                <c:pt idx="18">
                  <c:v>18</c:v>
                </c:pt>
                <c:pt idx="19">
                  <c:v>24</c:v>
                </c:pt>
              </c:numCache>
            </c:numRef>
          </c:xVal>
          <c:yVal>
            <c:numRef>
              <c:f>'Quartic model'!$AB$52:$AB$71</c:f>
              <c:numCache>
                <c:formatCode>General</c:formatCode>
                <c:ptCount val="20"/>
                <c:pt idx="0">
                  <c:v>1</c:v>
                </c:pt>
                <c:pt idx="1">
                  <c:v>0.88895111789579151</c:v>
                </c:pt>
                <c:pt idx="2">
                  <c:v>0.79023955977708071</c:v>
                </c:pt>
                <c:pt idx="3">
                  <c:v>0.62464808559593976</c:v>
                </c:pt>
                <c:pt idx="4">
                  <c:v>0.55565800458340275</c:v>
                </c:pt>
                <c:pt idx="5">
                  <c:v>0.39528139615728841</c:v>
                </c:pt>
                <c:pt idx="6">
                  <c:v>0.32384086129892647</c:v>
                </c:pt>
                <c:pt idx="7">
                  <c:v>0.27132211230200065</c:v>
                </c:pt>
                <c:pt idx="8">
                  <c:v>0.52223989359971767</c:v>
                </c:pt>
                <c:pt idx="9">
                  <c:v>0.74297942277541473</c:v>
                </c:pt>
                <c:pt idx="10">
                  <c:v>1.5007449254389416</c:v>
                </c:pt>
                <c:pt idx="11">
                  <c:v>2.0854015793259193</c:v>
                </c:pt>
                <c:pt idx="12">
                  <c:v>2.8441146218491364</c:v>
                </c:pt>
                <c:pt idx="13">
                  <c:v>3.8083793932081722</c:v>
                </c:pt>
                <c:pt idx="14">
                  <c:v>0.70252224316881451</c:v>
                </c:pt>
                <c:pt idx="15">
                  <c:v>0.49478491765615074</c:v>
                </c:pt>
                <c:pt idx="16">
                  <c:v>0.28123865328063913</c:v>
                </c:pt>
                <c:pt idx="17">
                  <c:v>0.30101057856258462</c:v>
                </c:pt>
                <c:pt idx="18">
                  <c:v>0.38029539226196551</c:v>
                </c:pt>
                <c:pt idx="19">
                  <c:v>1.0617213199886315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6D-4B16-92DC-9FDD598D2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599856"/>
        <c:axId val="104960018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v>Deff_2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'Quartic model'!$Z$52:$Z$71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8</c:v>
                      </c:pt>
                      <c:pt idx="6">
                        <c:v>10</c:v>
                      </c:pt>
                      <c:pt idx="7">
                        <c:v>14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30</c:v>
                      </c:pt>
                      <c:pt idx="13">
                        <c:v>32</c:v>
                      </c:pt>
                      <c:pt idx="14">
                        <c:v>3</c:v>
                      </c:pt>
                      <c:pt idx="15">
                        <c:v>6</c:v>
                      </c:pt>
                      <c:pt idx="16">
                        <c:v>12</c:v>
                      </c:pt>
                      <c:pt idx="17">
                        <c:v>16</c:v>
                      </c:pt>
                      <c:pt idx="18">
                        <c:v>18</c:v>
                      </c:pt>
                      <c:pt idx="19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'Quartic model'!$AC$52:$AC$71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0.87123805926861486</c:v>
                      </c:pt>
                      <c:pt idx="2">
                        <c:v>0.75906773260766602</c:v>
                      </c:pt>
                      <c:pt idx="3">
                        <c:v>0.57655304444548827</c:v>
                      </c:pt>
                      <c:pt idx="4">
                        <c:v>0.50313674441846512</c:v>
                      </c:pt>
                      <c:pt idx="5">
                        <c:v>0.34340138939889275</c:v>
                      </c:pt>
                      <c:pt idx="6">
                        <c:v>0.28551691430812065</c:v>
                      </c:pt>
                      <c:pt idx="7">
                        <c:v>0.3123318984757425</c:v>
                      </c:pt>
                      <c:pt idx="8">
                        <c:v>0.9578978990524325</c:v>
                      </c:pt>
                      <c:pt idx="9">
                        <c:v>1.4413124893186899</c:v>
                      </c:pt>
                      <c:pt idx="10">
                        <c:v>3.0399940303431805</c:v>
                      </c:pt>
                      <c:pt idx="11">
                        <c:v>4.2519814728950589</c:v>
                      </c:pt>
                      <c:pt idx="12">
                        <c:v>5.8131736913357921</c:v>
                      </c:pt>
                      <c:pt idx="13">
                        <c:v>7.7863709315622032</c:v>
                      </c:pt>
                      <c:pt idx="14">
                        <c:v>0.66141155075425628</c:v>
                      </c:pt>
                      <c:pt idx="15">
                        <c:v>0.44016818141028957</c:v>
                      </c:pt>
                      <c:pt idx="16">
                        <c:v>0.27155500203479632</c:v>
                      </c:pt>
                      <c:pt idx="17">
                        <c:v>0.42443984952778213</c:v>
                      </c:pt>
                      <c:pt idx="18">
                        <c:v>0.63024710108773796</c:v>
                      </c:pt>
                      <c:pt idx="19">
                        <c:v>2.1201871177833307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886D-4B16-92DC-9FDD598D236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Deff_3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'Quartic model'!$Z$52:$Z$71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8</c:v>
                      </c:pt>
                      <c:pt idx="6">
                        <c:v>10</c:v>
                      </c:pt>
                      <c:pt idx="7">
                        <c:v>14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30</c:v>
                      </c:pt>
                      <c:pt idx="13">
                        <c:v>32</c:v>
                      </c:pt>
                      <c:pt idx="14">
                        <c:v>3</c:v>
                      </c:pt>
                      <c:pt idx="15">
                        <c:v>6</c:v>
                      </c:pt>
                      <c:pt idx="16">
                        <c:v>12</c:v>
                      </c:pt>
                      <c:pt idx="17">
                        <c:v>16</c:v>
                      </c:pt>
                      <c:pt idx="18">
                        <c:v>18</c:v>
                      </c:pt>
                      <c:pt idx="19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'Quartic model'!$AD$52:$AD$71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0.86569349020414765</c:v>
                      </c:pt>
                      <c:pt idx="2">
                        <c:v>0.7494402123136179</c:v>
                      </c:pt>
                      <c:pt idx="3">
                        <c:v>0.56212207634617262</c:v>
                      </c:pt>
                      <c:pt idx="4">
                        <c:v>0.48765326749581051</c:v>
                      </c:pt>
                      <c:pt idx="5">
                        <c:v>0.32967034513042182</c:v>
                      </c:pt>
                      <c:pt idx="6">
                        <c:v>0.27807353750696973</c:v>
                      </c:pt>
                      <c:pt idx="7">
                        <c:v>0.33990099182211109</c:v>
                      </c:pt>
                      <c:pt idx="8">
                        <c:v>1.1601676461038073</c:v>
                      </c:pt>
                      <c:pt idx="9">
                        <c:v>1.7600489888834612</c:v>
                      </c:pt>
                      <c:pt idx="10">
                        <c:v>3.731252434626148</c:v>
                      </c:pt>
                      <c:pt idx="11">
                        <c:v>5.2207216880885952</c:v>
                      </c:pt>
                      <c:pt idx="12">
                        <c:v>7.136405392173848</c:v>
                      </c:pt>
                      <c:pt idx="13">
                        <c:v>9.5546841169752987</c:v>
                      </c:pt>
                      <c:pt idx="14">
                        <c:v>0.64888917863504947</c:v>
                      </c:pt>
                      <c:pt idx="15">
                        <c:v>0.42442978900387773</c:v>
                      </c:pt>
                      <c:pt idx="16">
                        <c:v>0.2767919568521609</c:v>
                      </c:pt>
                      <c:pt idx="17">
                        <c:v>0.48839882901041221</c:v>
                      </c:pt>
                      <c:pt idx="18">
                        <c:v>0.75020645294813026</c:v>
                      </c:pt>
                      <c:pt idx="19">
                        <c:v>2.5985398596305855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86D-4B16-92DC-9FDD598D236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Deff_4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'Quartic model'!$Z$52:$Z$71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8</c:v>
                      </c:pt>
                      <c:pt idx="6">
                        <c:v>10</c:v>
                      </c:pt>
                      <c:pt idx="7">
                        <c:v>14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30</c:v>
                      </c:pt>
                      <c:pt idx="13">
                        <c:v>32</c:v>
                      </c:pt>
                      <c:pt idx="14">
                        <c:v>3</c:v>
                      </c:pt>
                      <c:pt idx="15">
                        <c:v>6</c:v>
                      </c:pt>
                      <c:pt idx="16">
                        <c:v>12</c:v>
                      </c:pt>
                      <c:pt idx="17">
                        <c:v>16</c:v>
                      </c:pt>
                      <c:pt idx="18">
                        <c:v>18</c:v>
                      </c:pt>
                      <c:pt idx="19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'Quartic model'!$AE$52:$AE$71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0.88895111789579151</c:v>
                      </c:pt>
                      <c:pt idx="2">
                        <c:v>0.79023955977708071</c:v>
                      </c:pt>
                      <c:pt idx="3">
                        <c:v>0.62464808559593976</c:v>
                      </c:pt>
                      <c:pt idx="4">
                        <c:v>0.55565800458340275</c:v>
                      </c:pt>
                      <c:pt idx="5">
                        <c:v>0.39528139615728841</c:v>
                      </c:pt>
                      <c:pt idx="6">
                        <c:v>0.32384086129892647</c:v>
                      </c:pt>
                      <c:pt idx="7">
                        <c:v>0.27132211230200065</c:v>
                      </c:pt>
                      <c:pt idx="8">
                        <c:v>0.52223989359971767</c:v>
                      </c:pt>
                      <c:pt idx="9">
                        <c:v>0.74297942277541473</c:v>
                      </c:pt>
                      <c:pt idx="10">
                        <c:v>1.5007449254389416</c:v>
                      </c:pt>
                      <c:pt idx="11">
                        <c:v>2.0854015793259193</c:v>
                      </c:pt>
                      <c:pt idx="12">
                        <c:v>2.8441146218491364</c:v>
                      </c:pt>
                      <c:pt idx="13">
                        <c:v>3.8083793932081722</c:v>
                      </c:pt>
                      <c:pt idx="14">
                        <c:v>0.70252224316881451</c:v>
                      </c:pt>
                      <c:pt idx="15">
                        <c:v>0.49478491765615074</c:v>
                      </c:pt>
                      <c:pt idx="16">
                        <c:v>0.28123865328063913</c:v>
                      </c:pt>
                      <c:pt idx="17">
                        <c:v>0.30101057856258462</c:v>
                      </c:pt>
                      <c:pt idx="18">
                        <c:v>0.38029539226196551</c:v>
                      </c:pt>
                      <c:pt idx="19">
                        <c:v>1.0617213199886315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86D-4B16-92DC-9FDD598D236B}"/>
                  </c:ext>
                </c:extLst>
              </c15:ser>
            </c15:filteredScatterSeries>
          </c:ext>
        </c:extLst>
      </c:scatterChart>
      <c:valAx>
        <c:axId val="104959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600184"/>
        <c:crosses val="autoZero"/>
        <c:crossBetween val="midCat"/>
      </c:valAx>
      <c:valAx>
        <c:axId val="1049600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59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'Quartic model'!$D$4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intercept val="1"/>
            <c:dispRSqr val="1"/>
            <c:dispEq val="1"/>
            <c:trendlineLbl>
              <c:layout>
                <c:manualLayout>
                  <c:x val="9.4311898512685857E-2"/>
                  <c:y val="-0.6214311752697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model'!$C$5:$C$11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'Quartic model'!$D$5:$D$11</c:f>
              <c:numCache>
                <c:formatCode>General</c:formatCode>
                <c:ptCount val="7"/>
                <c:pt idx="0">
                  <c:v>1</c:v>
                </c:pt>
                <c:pt idx="1">
                  <c:v>0.8719047990821901</c:v>
                </c:pt>
                <c:pt idx="2">
                  <c:v>0.8085873453509933</c:v>
                </c:pt>
                <c:pt idx="3">
                  <c:v>0.66526042465241864</c:v>
                </c:pt>
                <c:pt idx="4">
                  <c:v>0.66656424213610876</c:v>
                </c:pt>
                <c:pt idx="5">
                  <c:v>0.13761229117340132</c:v>
                </c:pt>
                <c:pt idx="6">
                  <c:v>0.13138949241803621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38-4FE4-85BA-38287D9FAC8C}"/>
            </c:ext>
          </c:extLst>
        </c:ser>
        <c:ser>
          <c:idx val="1"/>
          <c:order val="1"/>
          <c:tx>
            <c:v>Quartic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'Quartic model'!$C$5:$C$11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'Quartic model'!$K$5:$K$11</c:f>
              <c:numCache>
                <c:formatCode>0.00</c:formatCode>
                <c:ptCount val="7"/>
                <c:pt idx="0">
                  <c:v>1.0081575395967519</c:v>
                </c:pt>
                <c:pt idx="1">
                  <c:v>0.86200897596706794</c:v>
                </c:pt>
                <c:pt idx="2">
                  <c:v>0.76529959979728401</c:v>
                </c:pt>
                <c:pt idx="3">
                  <c:v>0.74092722583791137</c:v>
                </c:pt>
                <c:pt idx="4">
                  <c:v>0.6290669694338058</c:v>
                </c:pt>
                <c:pt idx="5">
                  <c:v>0.14780529817928301</c:v>
                </c:pt>
                <c:pt idx="6">
                  <c:v>0.12805560716549591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39-4F52-99BD-562EA46DCFB0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'Quartic model'!$C$21:$C$23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8</c:v>
                </c:pt>
              </c:numCache>
            </c:numRef>
          </c:xVal>
          <c:yVal>
            <c:numRef>
              <c:f>'Quartic model'!$D$21:$D$23</c:f>
              <c:numCache>
                <c:formatCode>General</c:formatCode>
                <c:ptCount val="3"/>
                <c:pt idx="0">
                  <c:v>0.87300358352871843</c:v>
                </c:pt>
                <c:pt idx="1">
                  <c:v>0.60194953462483713</c:v>
                </c:pt>
                <c:pt idx="2">
                  <c:v>0.17383457194399796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39-4F52-99BD-562EA46DC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249400"/>
        <c:axId val="889243496"/>
      </c:scatterChart>
      <c:valAx>
        <c:axId val="88924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43496"/>
        <c:crosses val="autoZero"/>
        <c:crossBetween val="midCat"/>
      </c:valAx>
      <c:valAx>
        <c:axId val="889243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4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9759405074366E-2"/>
          <c:y val="0.17352046783625732"/>
          <c:w val="0.88389129483814521"/>
          <c:h val="0.71794962471796286"/>
        </c:manualLayout>
      </c:layout>
      <c:scatterChart>
        <c:scatterStyle val="lineMarker"/>
        <c:varyColors val="0"/>
        <c:ser>
          <c:idx val="0"/>
          <c:order val="0"/>
          <c:tx>
            <c:strRef>
              <c:f>'Quartic model'!$F$4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intercept val="1"/>
            <c:dispRSqr val="1"/>
            <c:dispEq val="1"/>
            <c:trendlineLbl>
              <c:layout>
                <c:manualLayout>
                  <c:x val="-2.525437445319335E-2"/>
                  <c:y val="-0.568896908719743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model'!$E$5:$E$17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12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</c:numCache>
            </c:numRef>
          </c:xVal>
          <c:yVal>
            <c:numRef>
              <c:f>'Quartic model'!$F$5:$F$17</c:f>
              <c:numCache>
                <c:formatCode>General</c:formatCode>
                <c:ptCount val="13"/>
                <c:pt idx="0">
                  <c:v>1</c:v>
                </c:pt>
                <c:pt idx="1">
                  <c:v>0.78247024774843776</c:v>
                </c:pt>
                <c:pt idx="2">
                  <c:v>0.67457705383364175</c:v>
                </c:pt>
                <c:pt idx="3">
                  <c:v>0.58964137477944789</c:v>
                </c:pt>
                <c:pt idx="4">
                  <c:v>0.49938671406882423</c:v>
                </c:pt>
                <c:pt idx="5">
                  <c:v>0.45973661826485396</c:v>
                </c:pt>
                <c:pt idx="6">
                  <c:v>0.43620617795612521</c:v>
                </c:pt>
                <c:pt idx="7">
                  <c:v>0.38538208797016077</c:v>
                </c:pt>
                <c:pt idx="8">
                  <c:v>0.31944179712752446</c:v>
                </c:pt>
                <c:pt idx="9">
                  <c:v>0.23230066061049878</c:v>
                </c:pt>
                <c:pt idx="10">
                  <c:v>0.15110482263125347</c:v>
                </c:pt>
                <c:pt idx="11">
                  <c:v>0.13179349913915536</c:v>
                </c:pt>
                <c:pt idx="12">
                  <c:v>0.12964168263055892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D2-4852-A7D7-8EA8BDB6A02A}"/>
            </c:ext>
          </c:extLst>
        </c:ser>
        <c:ser>
          <c:idx val="1"/>
          <c:order val="1"/>
          <c:tx>
            <c:v>Quartic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'Quartic model'!$E$5:$E$17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12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</c:numCache>
            </c:numRef>
          </c:xVal>
          <c:yVal>
            <c:numRef>
              <c:f>'Quartic model'!$L$5:$L$17</c:f>
              <c:numCache>
                <c:formatCode>0.00</c:formatCode>
                <c:ptCount val="13"/>
                <c:pt idx="0">
                  <c:v>0.96732012164794956</c:v>
                </c:pt>
                <c:pt idx="1">
                  <c:v>0.83677653994891621</c:v>
                </c:pt>
                <c:pt idx="2">
                  <c:v>0.65085674911350611</c:v>
                </c:pt>
                <c:pt idx="3">
                  <c:v>0.58796331849131578</c:v>
                </c:pt>
                <c:pt idx="4">
                  <c:v>0.50557809627098282</c:v>
                </c:pt>
                <c:pt idx="5">
                  <c:v>0.4619605257784819</c:v>
                </c:pt>
                <c:pt idx="6">
                  <c:v>0.41913550473315697</c:v>
                </c:pt>
                <c:pt idx="7">
                  <c:v>0.39497770667869381</c:v>
                </c:pt>
                <c:pt idx="8">
                  <c:v>0.31178387711288347</c:v>
                </c:pt>
                <c:pt idx="9">
                  <c:v>0.25418806638854774</c:v>
                </c:pt>
                <c:pt idx="10">
                  <c:v>0.14358741538536279</c:v>
                </c:pt>
                <c:pt idx="11">
                  <c:v>0.11841336418217374</c:v>
                </c:pt>
                <c:pt idx="12">
                  <c:v>0.13920806864187896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27-4C6B-A754-55E820821D5B}"/>
            </c:ext>
          </c:extLst>
        </c:ser>
        <c:ser>
          <c:idx val="2"/>
          <c:order val="2"/>
          <c:tx>
            <c:v>Validation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'Quartic model'!$E$21:$E$25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22</c:v>
                </c:pt>
              </c:numCache>
            </c:numRef>
          </c:xVal>
          <c:yVal>
            <c:numRef>
              <c:f>'Quartic model'!$F$21:$F$25</c:f>
              <c:numCache>
                <c:formatCode>General</c:formatCode>
                <c:ptCount val="5"/>
                <c:pt idx="0">
                  <c:v>0.73611508402642223</c:v>
                </c:pt>
                <c:pt idx="1">
                  <c:v>0.55531138531890867</c:v>
                </c:pt>
                <c:pt idx="2">
                  <c:v>0.43198668331810791</c:v>
                </c:pt>
                <c:pt idx="3">
                  <c:v>0.36056106220175366</c:v>
                </c:pt>
                <c:pt idx="4">
                  <c:v>0.15070119437459695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27-4C6B-A754-55E820821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563776"/>
        <c:axId val="1011571648"/>
      </c:scatterChart>
      <c:valAx>
        <c:axId val="10115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571648"/>
        <c:crosses val="autoZero"/>
        <c:crossBetween val="midCat"/>
      </c:valAx>
      <c:valAx>
        <c:axId val="101157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56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635248865854947E-2"/>
          <c:y val="5.057471264367816E-2"/>
          <c:w val="0.6143295426074542"/>
          <c:h val="0.8427665852113313"/>
        </c:manualLayout>
      </c:layout>
      <c:scatterChart>
        <c:scatterStyle val="lineMarker"/>
        <c:varyColors val="0"/>
        <c:ser>
          <c:idx val="1"/>
          <c:order val="0"/>
          <c:tx>
            <c:v>Quartic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11561330499086854"/>
                  <c:y val="9.885419494976921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model'!$A$5:$A$18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</c:numCache>
            </c:numRef>
          </c:xVal>
          <c:yVal>
            <c:numRef>
              <c:f>'Quartic model'!$J$5:$J$18</c:f>
              <c:numCache>
                <c:formatCode>0.00</c:formatCode>
                <c:ptCount val="14"/>
                <c:pt idx="0">
                  <c:v>1</c:v>
                </c:pt>
                <c:pt idx="1">
                  <c:v>0.92810800000000004</c:v>
                </c:pt>
                <c:pt idx="2">
                  <c:v>0.87232799999999999</c:v>
                </c:pt>
                <c:pt idx="3">
                  <c:v>0.79844800000000005</c:v>
                </c:pt>
                <c:pt idx="4">
                  <c:v>0.77550000000000008</c:v>
                </c:pt>
                <c:pt idx="5">
                  <c:v>0.737568</c:v>
                </c:pt>
                <c:pt idx="6">
                  <c:v>0.72100000000000009</c:v>
                </c:pt>
                <c:pt idx="7">
                  <c:v>0.66472799999999976</c:v>
                </c:pt>
                <c:pt idx="8">
                  <c:v>0.46200000000000019</c:v>
                </c:pt>
                <c:pt idx="9">
                  <c:v>0.36824800000000013</c:v>
                </c:pt>
                <c:pt idx="10">
                  <c:v>0.18640799999999969</c:v>
                </c:pt>
                <c:pt idx="11">
                  <c:v>0.12404799999999838</c:v>
                </c:pt>
                <c:pt idx="12">
                  <c:v>0.10299999999999843</c:v>
                </c:pt>
                <c:pt idx="13">
                  <c:v>0.14380799999999905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CA-435C-9E2C-61F9D841031A}"/>
            </c:ext>
          </c:extLst>
        </c:ser>
        <c:ser>
          <c:idx val="0"/>
          <c:order val="2"/>
          <c:tx>
            <c:v>De=1e-8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3.3656099171313812E-2"/>
                  <c:y val="-0.112021359399040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model'!$A$5:$A$24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  <c:pt idx="14">
                  <c:v>3</c:v>
                </c:pt>
                <c:pt idx="15">
                  <c:v>6</c:v>
                </c:pt>
                <c:pt idx="16">
                  <c:v>12</c:v>
                </c:pt>
                <c:pt idx="17">
                  <c:v>16</c:v>
                </c:pt>
                <c:pt idx="18">
                  <c:v>18</c:v>
                </c:pt>
                <c:pt idx="19">
                  <c:v>24</c:v>
                </c:pt>
              </c:numCache>
            </c:numRef>
          </c:xVal>
          <c:yVal>
            <c:numRef>
              <c:f>'Quartic model'!$AE$5:$AE$24</c:f>
              <c:numCache>
                <c:formatCode>General</c:formatCode>
                <c:ptCount val="20"/>
                <c:pt idx="0">
                  <c:v>0.8105694691387022</c:v>
                </c:pt>
                <c:pt idx="1">
                  <c:v>0.80879986167779583</c:v>
                </c:pt>
                <c:pt idx="2">
                  <c:v>0.80703411756319698</c:v>
                </c:pt>
                <c:pt idx="3">
                  <c:v>0.80351418565403554</c:v>
                </c:pt>
                <c:pt idx="4">
                  <c:v>0.80175998104602275</c:v>
                </c:pt>
                <c:pt idx="5">
                  <c:v>0.79652031211255592</c:v>
                </c:pt>
                <c:pt idx="6">
                  <c:v>0.79304623685119524</c:v>
                </c:pt>
                <c:pt idx="7">
                  <c:v>0.78614347745738467</c:v>
                </c:pt>
                <c:pt idx="8">
                  <c:v>0.77590182918204986</c:v>
                </c:pt>
                <c:pt idx="9">
                  <c:v>0.77251768277797817</c:v>
                </c:pt>
                <c:pt idx="10">
                  <c:v>0.76579360611776559</c:v>
                </c:pt>
                <c:pt idx="11">
                  <c:v>0.76245354738747928</c:v>
                </c:pt>
                <c:pt idx="12">
                  <c:v>0.7591280565410623</c:v>
                </c:pt>
                <c:pt idx="13">
                  <c:v>0.75581707003973952</c:v>
                </c:pt>
                <c:pt idx="14">
                  <c:v>0.80527222836058088</c:v>
                </c:pt>
                <c:pt idx="15">
                  <c:v>0.80000960615733763</c:v>
                </c:pt>
                <c:pt idx="16">
                  <c:v>0.78958731399553994</c:v>
                </c:pt>
                <c:pt idx="17">
                  <c:v>0.78271466143677226</c:v>
                </c:pt>
                <c:pt idx="18">
                  <c:v>0.77930080042073635</c:v>
                </c:pt>
                <c:pt idx="19">
                  <c:v>0.76914829654903871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CA-435C-9E2C-61F9D841031A}"/>
            </c:ext>
          </c:extLst>
        </c:ser>
        <c:ser>
          <c:idx val="2"/>
          <c:order val="1"/>
          <c:tx>
            <c:v>De=1e-7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3.965970133261059E-2"/>
                  <c:y val="-9.79006244909041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'Quartic model'!$A$5:$A$24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  <c:pt idx="12">
                  <c:v>30</c:v>
                </c:pt>
                <c:pt idx="13">
                  <c:v>32</c:v>
                </c:pt>
                <c:pt idx="14">
                  <c:v>3</c:v>
                </c:pt>
                <c:pt idx="15">
                  <c:v>6</c:v>
                </c:pt>
                <c:pt idx="16">
                  <c:v>12</c:v>
                </c:pt>
                <c:pt idx="17">
                  <c:v>16</c:v>
                </c:pt>
                <c:pt idx="18">
                  <c:v>18</c:v>
                </c:pt>
                <c:pt idx="19">
                  <c:v>24</c:v>
                </c:pt>
              </c:numCache>
            </c:numRef>
          </c:xVal>
          <c:yVal>
            <c:numRef>
              <c:f>'Quartic model'!$AD$5:$AD$24</c:f>
              <c:numCache>
                <c:formatCode>General</c:formatCode>
                <c:ptCount val="20"/>
                <c:pt idx="0">
                  <c:v>0.8105694691387022</c:v>
                </c:pt>
                <c:pt idx="1">
                  <c:v>0.79304623685119524</c:v>
                </c:pt>
                <c:pt idx="2">
                  <c:v>0.77590182918204986</c:v>
                </c:pt>
                <c:pt idx="3">
                  <c:v>0.74271690638404053</c:v>
                </c:pt>
                <c:pt idx="4">
                  <c:v>0.72666053938534836</c:v>
                </c:pt>
                <c:pt idx="5">
                  <c:v>0.68054426428721881</c:v>
                </c:pt>
                <c:pt idx="6">
                  <c:v>0.65143773557235918</c:v>
                </c:pt>
                <c:pt idx="7">
                  <c:v>0.59690604949658554</c:v>
                </c:pt>
                <c:pt idx="8">
                  <c:v>0.52354688831121743</c:v>
                </c:pt>
                <c:pt idx="9">
                  <c:v>0.50115505674657068</c:v>
                </c:pt>
                <c:pt idx="10">
                  <c:v>0.45920349524272391</c:v>
                </c:pt>
                <c:pt idx="11">
                  <c:v>0.43956359755841207</c:v>
                </c:pt>
                <c:pt idx="12">
                  <c:v>0.42076368821270455</c:v>
                </c:pt>
                <c:pt idx="13">
                  <c:v>0.4027678413357047</c:v>
                </c:pt>
                <c:pt idx="14">
                  <c:v>0.7591280565410623</c:v>
                </c:pt>
                <c:pt idx="15">
                  <c:v>0.71095128569319432</c:v>
                </c:pt>
                <c:pt idx="16">
                  <c:v>0.62357607814403704</c:v>
                </c:pt>
                <c:pt idx="17">
                  <c:v>0.57137668427896426</c:v>
                </c:pt>
                <c:pt idx="18">
                  <c:v>0.54693919690202553</c:v>
                </c:pt>
                <c:pt idx="19">
                  <c:v>0.47972091231943487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CA-435C-9E2C-61F9D841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205872"/>
        <c:axId val="664208824"/>
      </c:scatterChart>
      <c:valAx>
        <c:axId val="664205872"/>
        <c:scaling>
          <c:orientation val="minMax"/>
        </c:scaling>
        <c:delete val="0"/>
        <c:axPos val="b"/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208824"/>
        <c:crosses val="autoZero"/>
        <c:crossBetween val="midCat"/>
        <c:minorUnit val="0.5"/>
      </c:valAx>
      <c:valAx>
        <c:axId val="664208824"/>
        <c:scaling>
          <c:orientation val="minMax"/>
        </c:scaling>
        <c:delete val="0"/>
        <c:axPos val="l"/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205872"/>
        <c:crosses val="autoZero"/>
        <c:crossBetween val="midCat"/>
        <c:minorUnit val="2.0000000000000004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Sun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sd!$B$2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297711308574489"/>
                  <c:y val="-0.479106299212598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sd!$B$3:$B$21</c:f>
              <c:numCache>
                <c:formatCode>General</c:formatCode>
                <c:ptCount val="19"/>
                <c:pt idx="0">
                  <c:v>1</c:v>
                </c:pt>
                <c:pt idx="1">
                  <c:v>0.89411921590304944</c:v>
                </c:pt>
                <c:pt idx="2">
                  <c:v>0.85583101299828412</c:v>
                </c:pt>
                <c:pt idx="3">
                  <c:v>0.84208722400184877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0.7573010895075255</c:v>
                </c:pt>
                <c:pt idx="7">
                  <c:v>0.74887565034061343</c:v>
                </c:pt>
                <c:pt idx="8">
                  <c:v>0.72542054364670383</c:v>
                </c:pt>
                <c:pt idx="9">
                  <c:v>0.65840012454856434</c:v>
                </c:pt>
                <c:pt idx="10">
                  <c:v>0.657386688720347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0.40515242573112892</c:v>
                </c:pt>
                <c:pt idx="14">
                  <c:v>0.40482099376610842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0.13792761311581958</c:v>
                </c:pt>
                <c:pt idx="18">
                  <c:v>0.13092609034474734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EE-4542-8084-F0AD4500C5E1}"/>
            </c:ext>
          </c:extLst>
        </c:ser>
        <c:ser>
          <c:idx val="2"/>
          <c:order val="1"/>
          <c:tx>
            <c:v>D=5.2E-11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sd!$W$3:$W$21</c:f>
              <c:numCache>
                <c:formatCode>General</c:formatCode>
                <c:ptCount val="19"/>
                <c:pt idx="0">
                  <c:v>0.97700000000000009</c:v>
                </c:pt>
                <c:pt idx="1">
                  <c:v>0.91327338368791966</c:v>
                </c:pt>
                <c:pt idx="2">
                  <c:v>0.85370345276640947</c:v>
                </c:pt>
                <c:pt idx="3">
                  <c:v>0.79801907980966102</c:v>
                </c:pt>
                <c:pt idx="4">
                  <c:v>0.74596682217532151</c:v>
                </c:pt>
                <c:pt idx="5">
                  <c:v>0.69730976848206805</c:v>
                </c:pt>
                <c:pt idx="6">
                  <c:v>0.65182646032779734</c:v>
                </c:pt>
                <c:pt idx="7">
                  <c:v>0.56956652997579094</c:v>
                </c:pt>
                <c:pt idx="8">
                  <c:v>0.49768773103430425</c:v>
                </c:pt>
                <c:pt idx="9">
                  <c:v>0.43487997378041515</c:v>
                </c:pt>
                <c:pt idx="10">
                  <c:v>0.37999850067073293</c:v>
                </c:pt>
                <c:pt idx="11">
                  <c:v>0.33204302156465043</c:v>
                </c:pt>
                <c:pt idx="12">
                  <c:v>0.29013948206421025</c:v>
                </c:pt>
                <c:pt idx="13">
                  <c:v>0.25352413267356599</c:v>
                </c:pt>
                <c:pt idx="14">
                  <c:v>0.22152960841661468</c:v>
                </c:pt>
                <c:pt idx="15">
                  <c:v>0.19357276519473343</c:v>
                </c:pt>
                <c:pt idx="16">
                  <c:v>0.16914405118555309</c:v>
                </c:pt>
                <c:pt idx="17">
                  <c:v>0.14779821956192934</c:v>
                </c:pt>
                <c:pt idx="18">
                  <c:v>0.12914621325767348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EE-4542-8084-F0AD4500C5E1}"/>
            </c:ext>
          </c:extLst>
        </c:ser>
        <c:ser>
          <c:idx val="4"/>
          <c:order val="2"/>
          <c:tx>
            <c:v>D=9.3E-11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sd!$Y$3:$Y$21</c:f>
              <c:numCache>
                <c:formatCode>General</c:formatCode>
                <c:ptCount val="19"/>
                <c:pt idx="0">
                  <c:v>0.97700000000000009</c:v>
                </c:pt>
                <c:pt idx="1">
                  <c:v>0.8653052902796442</c:v>
                </c:pt>
                <c:pt idx="2">
                  <c:v>0.76637998504190297</c:v>
                </c:pt>
                <c:pt idx="3">
                  <c:v>0.67876423277501852</c:v>
                </c:pt>
                <c:pt idx="4">
                  <c:v>0.60116507827310894</c:v>
                </c:pt>
                <c:pt idx="5">
                  <c:v>0.53243738235526861</c:v>
                </c:pt>
                <c:pt idx="6">
                  <c:v>0.47156692292186242</c:v>
                </c:pt>
                <c:pt idx="7">
                  <c:v>0.36990731968793567</c:v>
                </c:pt>
                <c:pt idx="8">
                  <c:v>0.29016332254793298</c:v>
                </c:pt>
                <c:pt idx="9">
                  <c:v>0.22761040204093524</c:v>
                </c:pt>
                <c:pt idx="10">
                  <c:v>0.17854253481219393</c:v>
                </c:pt>
                <c:pt idx="11">
                  <c:v>0.14005263578169153</c:v>
                </c:pt>
                <c:pt idx="12">
                  <c:v>0.10986032437610217</c:v>
                </c:pt>
                <c:pt idx="13">
                  <c:v>8.6176820626464479E-2</c:v>
                </c:pt>
                <c:pt idx="14">
                  <c:v>6.75989667376342E-2</c:v>
                </c:pt>
                <c:pt idx="15">
                  <c:v>5.3026095309351248E-2</c:v>
                </c:pt>
                <c:pt idx="16">
                  <c:v>4.1594818966234529E-2</c:v>
                </c:pt>
                <c:pt idx="17">
                  <c:v>3.262787792954297E-2</c:v>
                </c:pt>
                <c:pt idx="18">
                  <c:v>2.5594014943287797E-2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EE-4542-8084-F0AD4500C5E1}"/>
            </c:ext>
          </c:extLst>
        </c:ser>
        <c:ser>
          <c:idx val="5"/>
          <c:order val="3"/>
          <c:tx>
            <c:v>D=8.8E-11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sd!$Z$3:$Z$21</c:f>
              <c:numCache>
                <c:formatCode>General</c:formatCode>
                <c:ptCount val="19"/>
                <c:pt idx="0">
                  <c:v>0.97700000000000009</c:v>
                </c:pt>
                <c:pt idx="1">
                  <c:v>0.8653052902796442</c:v>
                </c:pt>
                <c:pt idx="2">
                  <c:v>0.76637998504190297</c:v>
                </c:pt>
                <c:pt idx="3">
                  <c:v>0.67876423277501852</c:v>
                </c:pt>
                <c:pt idx="4">
                  <c:v>0.60116507827310894</c:v>
                </c:pt>
                <c:pt idx="5">
                  <c:v>0.53243738235526861</c:v>
                </c:pt>
                <c:pt idx="6">
                  <c:v>0.47156692292186242</c:v>
                </c:pt>
                <c:pt idx="7">
                  <c:v>0.36990731968793567</c:v>
                </c:pt>
                <c:pt idx="8">
                  <c:v>0.29016332254793298</c:v>
                </c:pt>
                <c:pt idx="9">
                  <c:v>0.22761040204093524</c:v>
                </c:pt>
                <c:pt idx="10">
                  <c:v>0.17854253481219393</c:v>
                </c:pt>
                <c:pt idx="11">
                  <c:v>0.14005263578169153</c:v>
                </c:pt>
                <c:pt idx="12">
                  <c:v>0.10986032437610217</c:v>
                </c:pt>
                <c:pt idx="13">
                  <c:v>8.6176820626464479E-2</c:v>
                </c:pt>
                <c:pt idx="14">
                  <c:v>6.75989667376342E-2</c:v>
                </c:pt>
                <c:pt idx="15">
                  <c:v>5.3026095309351248E-2</c:v>
                </c:pt>
                <c:pt idx="16">
                  <c:v>4.1594818966234529E-2</c:v>
                </c:pt>
                <c:pt idx="17">
                  <c:v>3.262787792954297E-2</c:v>
                </c:pt>
                <c:pt idx="18">
                  <c:v>2.5594014943287797E-2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6EE-4542-8084-F0AD4500C5E1}"/>
            </c:ext>
          </c:extLst>
        </c:ser>
        <c:ser>
          <c:idx val="6"/>
          <c:order val="4"/>
          <c:tx>
            <c:v>D=1.0E-10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sd!$Y$3:$Y$21</c:f>
              <c:numCache>
                <c:formatCode>General</c:formatCode>
                <c:ptCount val="19"/>
                <c:pt idx="0">
                  <c:v>0.97700000000000009</c:v>
                </c:pt>
                <c:pt idx="1">
                  <c:v>0.8653052902796442</c:v>
                </c:pt>
                <c:pt idx="2">
                  <c:v>0.76637998504190297</c:v>
                </c:pt>
                <c:pt idx="3">
                  <c:v>0.67876423277501852</c:v>
                </c:pt>
                <c:pt idx="4">
                  <c:v>0.60116507827310894</c:v>
                </c:pt>
                <c:pt idx="5">
                  <c:v>0.53243738235526861</c:v>
                </c:pt>
                <c:pt idx="6">
                  <c:v>0.47156692292186242</c:v>
                </c:pt>
                <c:pt idx="7">
                  <c:v>0.36990731968793567</c:v>
                </c:pt>
                <c:pt idx="8">
                  <c:v>0.29016332254793298</c:v>
                </c:pt>
                <c:pt idx="9">
                  <c:v>0.22761040204093524</c:v>
                </c:pt>
                <c:pt idx="10">
                  <c:v>0.17854253481219393</c:v>
                </c:pt>
                <c:pt idx="11">
                  <c:v>0.14005263578169153</c:v>
                </c:pt>
                <c:pt idx="12">
                  <c:v>0.10986032437610217</c:v>
                </c:pt>
                <c:pt idx="13">
                  <c:v>8.6176820626464479E-2</c:v>
                </c:pt>
                <c:pt idx="14">
                  <c:v>6.75989667376342E-2</c:v>
                </c:pt>
                <c:pt idx="15">
                  <c:v>5.3026095309351248E-2</c:v>
                </c:pt>
                <c:pt idx="16">
                  <c:v>4.1594818966234529E-2</c:v>
                </c:pt>
                <c:pt idx="17">
                  <c:v>3.262787792954297E-2</c:v>
                </c:pt>
                <c:pt idx="18">
                  <c:v>2.5594014943287797E-2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6EE-4542-8084-F0AD4500C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223088"/>
        <c:axId val="956220464"/>
      </c:scatterChart>
      <c:valAx>
        <c:axId val="956223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layout>
            <c:manualLayout>
              <c:xMode val="edge"/>
              <c:yMode val="edge"/>
              <c:x val="0.34395646730410406"/>
              <c:y val="0.899068002863278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220464"/>
        <c:crosses val="autoZero"/>
        <c:crossBetween val="midCat"/>
      </c:valAx>
      <c:valAx>
        <c:axId val="956220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223088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Sun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sd!$B$2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297711308574489"/>
                  <c:y val="-0.479106299212598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sd!$B$3:$B$21</c:f>
              <c:numCache>
                <c:formatCode>General</c:formatCode>
                <c:ptCount val="19"/>
                <c:pt idx="0">
                  <c:v>1</c:v>
                </c:pt>
                <c:pt idx="1">
                  <c:v>0.89411921590304944</c:v>
                </c:pt>
                <c:pt idx="2">
                  <c:v>0.85583101299828412</c:v>
                </c:pt>
                <c:pt idx="3">
                  <c:v>0.84208722400184877</c:v>
                </c:pt>
                <c:pt idx="4">
                  <c:v>0.80782806424512987</c:v>
                </c:pt>
                <c:pt idx="5">
                  <c:v>0.77924179723414255</c:v>
                </c:pt>
                <c:pt idx="6">
                  <c:v>0.7573010895075255</c:v>
                </c:pt>
                <c:pt idx="7">
                  <c:v>0.74887565034061343</c:v>
                </c:pt>
                <c:pt idx="8">
                  <c:v>0.72542054364670383</c:v>
                </c:pt>
                <c:pt idx="9">
                  <c:v>0.65840012454856434</c:v>
                </c:pt>
                <c:pt idx="10">
                  <c:v>0.657386688720347</c:v>
                </c:pt>
                <c:pt idx="11">
                  <c:v>0.53930532137147458</c:v>
                </c:pt>
                <c:pt idx="12">
                  <c:v>0.50581451079406126</c:v>
                </c:pt>
                <c:pt idx="13">
                  <c:v>0.40515242573112892</c:v>
                </c:pt>
                <c:pt idx="14">
                  <c:v>0.40482099376610842</c:v>
                </c:pt>
                <c:pt idx="15">
                  <c:v>0.25103593126455687</c:v>
                </c:pt>
                <c:pt idx="16">
                  <c:v>0.16550448692936906</c:v>
                </c:pt>
                <c:pt idx="17">
                  <c:v>0.13792761311581958</c:v>
                </c:pt>
                <c:pt idx="18">
                  <c:v>0.13092609034474734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E0-40C1-82EA-108AC5E4EDB5}"/>
            </c:ext>
          </c:extLst>
        </c:ser>
        <c:ser>
          <c:idx val="2"/>
          <c:order val="1"/>
          <c:tx>
            <c:v>D=5.2E-11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sd!$A$3:$A$21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</c:numCache>
            </c:numRef>
          </c:xVal>
          <c:yVal>
            <c:numRef>
              <c:f>sd!$W$3:$W$21</c:f>
              <c:numCache>
                <c:formatCode>General</c:formatCode>
                <c:ptCount val="19"/>
                <c:pt idx="0">
                  <c:v>0.97700000000000009</c:v>
                </c:pt>
                <c:pt idx="1">
                  <c:v>0.91327338368791966</c:v>
                </c:pt>
                <c:pt idx="2">
                  <c:v>0.85370345276640947</c:v>
                </c:pt>
                <c:pt idx="3">
                  <c:v>0.79801907980966102</c:v>
                </c:pt>
                <c:pt idx="4">
                  <c:v>0.74596682217532151</c:v>
                </c:pt>
                <c:pt idx="5">
                  <c:v>0.69730976848206805</c:v>
                </c:pt>
                <c:pt idx="6">
                  <c:v>0.65182646032779734</c:v>
                </c:pt>
                <c:pt idx="7">
                  <c:v>0.56956652997579094</c:v>
                </c:pt>
                <c:pt idx="8">
                  <c:v>0.49768773103430425</c:v>
                </c:pt>
                <c:pt idx="9">
                  <c:v>0.43487997378041515</c:v>
                </c:pt>
                <c:pt idx="10">
                  <c:v>0.37999850067073293</c:v>
                </c:pt>
                <c:pt idx="11">
                  <c:v>0.33204302156465043</c:v>
                </c:pt>
                <c:pt idx="12">
                  <c:v>0.29013948206421025</c:v>
                </c:pt>
                <c:pt idx="13">
                  <c:v>0.25352413267356599</c:v>
                </c:pt>
                <c:pt idx="14">
                  <c:v>0.22152960841661468</c:v>
                </c:pt>
                <c:pt idx="15">
                  <c:v>0.19357276519473343</c:v>
                </c:pt>
                <c:pt idx="16">
                  <c:v>0.16914405118555309</c:v>
                </c:pt>
                <c:pt idx="17">
                  <c:v>0.14779821956192934</c:v>
                </c:pt>
                <c:pt idx="18">
                  <c:v>0.12914621325767348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E0-40C1-82EA-108AC5E4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223088"/>
        <c:axId val="95622046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2"/>
                <c:tx>
                  <c:v>D=9.3E-11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sd!$A$3:$A$21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  <c:pt idx="17">
                        <c:v>28</c:v>
                      </c:pt>
                      <c:pt idx="18">
                        <c:v>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sd!$Y$3:$Y$21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0.97700000000000009</c:v>
                      </c:pt>
                      <c:pt idx="1">
                        <c:v>0.8653052902796442</c:v>
                      </c:pt>
                      <c:pt idx="2">
                        <c:v>0.76637998504190297</c:v>
                      </c:pt>
                      <c:pt idx="3">
                        <c:v>0.67876423277501852</c:v>
                      </c:pt>
                      <c:pt idx="4">
                        <c:v>0.60116507827310894</c:v>
                      </c:pt>
                      <c:pt idx="5">
                        <c:v>0.53243738235526861</c:v>
                      </c:pt>
                      <c:pt idx="6">
                        <c:v>0.47156692292186242</c:v>
                      </c:pt>
                      <c:pt idx="7">
                        <c:v>0.36990731968793567</c:v>
                      </c:pt>
                      <c:pt idx="8">
                        <c:v>0.29016332254793298</c:v>
                      </c:pt>
                      <c:pt idx="9">
                        <c:v>0.22761040204093524</c:v>
                      </c:pt>
                      <c:pt idx="10">
                        <c:v>0.17854253481219393</c:v>
                      </c:pt>
                      <c:pt idx="11">
                        <c:v>0.14005263578169153</c:v>
                      </c:pt>
                      <c:pt idx="12">
                        <c:v>0.10986032437610217</c:v>
                      </c:pt>
                      <c:pt idx="13">
                        <c:v>8.6176820626464479E-2</c:v>
                      </c:pt>
                      <c:pt idx="14">
                        <c:v>6.75989667376342E-2</c:v>
                      </c:pt>
                      <c:pt idx="15">
                        <c:v>5.3026095309351248E-2</c:v>
                      </c:pt>
                      <c:pt idx="16">
                        <c:v>4.1594818966234529E-2</c:v>
                      </c:pt>
                      <c:pt idx="17">
                        <c:v>3.262787792954297E-2</c:v>
                      </c:pt>
                      <c:pt idx="18">
                        <c:v>2.5594014943287797E-2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69E0-40C1-82EA-108AC5E4EDB5}"/>
                  </c:ext>
                </c:extLst>
              </c15:ser>
            </c15:filteredScatterSeries>
            <c15:filteredScatterSeries>
              <c15:ser>
                <c:idx val="5"/>
                <c:order val="3"/>
                <c:tx>
                  <c:v>D=8.8E-11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  <c:pt idx="17">
                        <c:v>28</c:v>
                      </c:pt>
                      <c:pt idx="18">
                        <c:v>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sd!$Z$3:$Z$21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0.97700000000000009</c:v>
                      </c:pt>
                      <c:pt idx="1">
                        <c:v>0.8653052902796442</c:v>
                      </c:pt>
                      <c:pt idx="2">
                        <c:v>0.76637998504190297</c:v>
                      </c:pt>
                      <c:pt idx="3">
                        <c:v>0.67876423277501852</c:v>
                      </c:pt>
                      <c:pt idx="4">
                        <c:v>0.60116507827310894</c:v>
                      </c:pt>
                      <c:pt idx="5">
                        <c:v>0.53243738235526861</c:v>
                      </c:pt>
                      <c:pt idx="6">
                        <c:v>0.47156692292186242</c:v>
                      </c:pt>
                      <c:pt idx="7">
                        <c:v>0.36990731968793567</c:v>
                      </c:pt>
                      <c:pt idx="8">
                        <c:v>0.29016332254793298</c:v>
                      </c:pt>
                      <c:pt idx="9">
                        <c:v>0.22761040204093524</c:v>
                      </c:pt>
                      <c:pt idx="10">
                        <c:v>0.17854253481219393</c:v>
                      </c:pt>
                      <c:pt idx="11">
                        <c:v>0.14005263578169153</c:v>
                      </c:pt>
                      <c:pt idx="12">
                        <c:v>0.10986032437610217</c:v>
                      </c:pt>
                      <c:pt idx="13">
                        <c:v>8.6176820626464479E-2</c:v>
                      </c:pt>
                      <c:pt idx="14">
                        <c:v>6.75989667376342E-2</c:v>
                      </c:pt>
                      <c:pt idx="15">
                        <c:v>5.3026095309351248E-2</c:v>
                      </c:pt>
                      <c:pt idx="16">
                        <c:v>4.1594818966234529E-2</c:v>
                      </c:pt>
                      <c:pt idx="17">
                        <c:v>3.262787792954297E-2</c:v>
                      </c:pt>
                      <c:pt idx="18">
                        <c:v>2.5594014943287797E-2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9E0-40C1-82EA-108AC5E4EDB5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v>D=1.0E-10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  <c:pt idx="17">
                        <c:v>28</c:v>
                      </c:pt>
                      <c:pt idx="18">
                        <c:v>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sd!$Y$3:$Y$21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0.97700000000000009</c:v>
                      </c:pt>
                      <c:pt idx="1">
                        <c:v>0.8653052902796442</c:v>
                      </c:pt>
                      <c:pt idx="2">
                        <c:v>0.76637998504190297</c:v>
                      </c:pt>
                      <c:pt idx="3">
                        <c:v>0.67876423277501852</c:v>
                      </c:pt>
                      <c:pt idx="4">
                        <c:v>0.60116507827310894</c:v>
                      </c:pt>
                      <c:pt idx="5">
                        <c:v>0.53243738235526861</c:v>
                      </c:pt>
                      <c:pt idx="6">
                        <c:v>0.47156692292186242</c:v>
                      </c:pt>
                      <c:pt idx="7">
                        <c:v>0.36990731968793567</c:v>
                      </c:pt>
                      <c:pt idx="8">
                        <c:v>0.29016332254793298</c:v>
                      </c:pt>
                      <c:pt idx="9">
                        <c:v>0.22761040204093524</c:v>
                      </c:pt>
                      <c:pt idx="10">
                        <c:v>0.17854253481219393</c:v>
                      </c:pt>
                      <c:pt idx="11">
                        <c:v>0.14005263578169153</c:v>
                      </c:pt>
                      <c:pt idx="12">
                        <c:v>0.10986032437610217</c:v>
                      </c:pt>
                      <c:pt idx="13">
                        <c:v>8.6176820626464479E-2</c:v>
                      </c:pt>
                      <c:pt idx="14">
                        <c:v>6.75989667376342E-2</c:v>
                      </c:pt>
                      <c:pt idx="15">
                        <c:v>5.3026095309351248E-2</c:v>
                      </c:pt>
                      <c:pt idx="16">
                        <c:v>4.1594818966234529E-2</c:v>
                      </c:pt>
                      <c:pt idx="17">
                        <c:v>3.262787792954297E-2</c:v>
                      </c:pt>
                      <c:pt idx="18">
                        <c:v>2.5594014943287797E-2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9E0-40C1-82EA-108AC5E4EDB5}"/>
                  </c:ext>
                </c:extLst>
              </c15:ser>
            </c15:filteredScatterSeries>
          </c:ext>
        </c:extLst>
      </c:scatterChart>
      <c:valAx>
        <c:axId val="956223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layout>
            <c:manualLayout>
              <c:xMode val="edge"/>
              <c:yMode val="edge"/>
              <c:x val="0.34395646730410406"/>
              <c:y val="0.899068002863278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220464"/>
        <c:crosses val="autoZero"/>
        <c:crossBetween val="midCat"/>
      </c:valAx>
      <c:valAx>
        <c:axId val="956220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223088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Cabinet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399376360006295E-2"/>
          <c:y val="0.11615740740740743"/>
          <c:w val="0.67171177961729156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cd!$B$1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2771784776902889"/>
                  <c:y val="-0.514900271612389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cd!$B$2:$B$10</c:f>
              <c:numCache>
                <c:formatCode>General</c:formatCode>
                <c:ptCount val="9"/>
                <c:pt idx="0">
                  <c:v>1</c:v>
                </c:pt>
                <c:pt idx="1">
                  <c:v>0.87300358352871843</c:v>
                </c:pt>
                <c:pt idx="2">
                  <c:v>0.8719047990821901</c:v>
                </c:pt>
                <c:pt idx="3">
                  <c:v>0.8085873453509933</c:v>
                </c:pt>
                <c:pt idx="4">
                  <c:v>0.66656424213610876</c:v>
                </c:pt>
                <c:pt idx="5">
                  <c:v>0.66526042465241864</c:v>
                </c:pt>
                <c:pt idx="6">
                  <c:v>0.60194953462483713</c:v>
                </c:pt>
                <c:pt idx="7">
                  <c:v>0.17383457194399796</c:v>
                </c:pt>
                <c:pt idx="8">
                  <c:v>0.13761229117340132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9E-432E-90B2-F301FBC3EE64}"/>
            </c:ext>
          </c:extLst>
        </c:ser>
        <c:ser>
          <c:idx val="1"/>
          <c:order val="1"/>
          <c:tx>
            <c:v>D=1.5E-10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cd!$C$2:$C$10</c:f>
              <c:numCache>
                <c:formatCode>General</c:formatCode>
                <c:ptCount val="9"/>
                <c:pt idx="0">
                  <c:v>1.0051000000000001</c:v>
                </c:pt>
                <c:pt idx="1">
                  <c:v>0.83529595962752456</c:v>
                </c:pt>
                <c:pt idx="2">
                  <c:v>0.69417902713169544</c:v>
                </c:pt>
                <c:pt idx="3">
                  <c:v>0.57690273268457948</c:v>
                </c:pt>
                <c:pt idx="4">
                  <c:v>0.47943938086708487</c:v>
                </c:pt>
                <c:pt idx="5">
                  <c:v>0.39844172492746777</c:v>
                </c:pt>
                <c:pt idx="6">
                  <c:v>0.33112801012728615</c:v>
                </c:pt>
                <c:pt idx="7">
                  <c:v>0.22869577149160641</c:v>
                </c:pt>
                <c:pt idx="8">
                  <c:v>0.15795026182785379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9E-432E-90B2-F301FBC3EE64}"/>
            </c:ext>
          </c:extLst>
        </c:ser>
        <c:ser>
          <c:idx val="2"/>
          <c:order val="2"/>
          <c:tx>
            <c:v>D=3.0E-10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cd!$D$2:$D$10</c:f>
              <c:numCache>
                <c:formatCode>General</c:formatCode>
                <c:ptCount val="9"/>
                <c:pt idx="0">
                  <c:v>1.0051000000000001</c:v>
                </c:pt>
                <c:pt idx="1">
                  <c:v>0.68443501356097158</c:v>
                </c:pt>
                <c:pt idx="2">
                  <c:v>0.46607430881325967</c:v>
                </c:pt>
                <c:pt idx="3">
                  <c:v>0.31737894326238564</c:v>
                </c:pt>
                <c:pt idx="4">
                  <c:v>0.21612303386305612</c:v>
                </c:pt>
                <c:pt idx="5">
                  <c:v>0.14717159647089753</c:v>
                </c:pt>
                <c:pt idx="6">
                  <c:v>0.10021828039632731</c:v>
                </c:pt>
                <c:pt idx="7">
                  <c:v>4.6472157761587599E-2</c:v>
                </c:pt>
                <c:pt idx="8">
                  <c:v>2.1549575970343942E-2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9E-432E-90B2-F301FBC3EE64}"/>
            </c:ext>
          </c:extLst>
        </c:ser>
        <c:ser>
          <c:idx val="3"/>
          <c:order val="3"/>
          <c:tx>
            <c:v>D=3.4E-10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cd!$E$2:$E$10</c:f>
              <c:numCache>
                <c:formatCode>General</c:formatCode>
                <c:ptCount val="9"/>
                <c:pt idx="0">
                  <c:v>1.0051000000000001</c:v>
                </c:pt>
                <c:pt idx="1">
                  <c:v>0.64980730514920992</c:v>
                </c:pt>
                <c:pt idx="2">
                  <c:v>0.4201069881855321</c:v>
                </c:pt>
                <c:pt idx="3">
                  <c:v>0.27160341246362701</c:v>
                </c:pt>
                <c:pt idx="4">
                  <c:v>0.17559435033560716</c:v>
                </c:pt>
                <c:pt idx="5">
                  <c:v>0.11352352163069057</c:v>
                </c:pt>
                <c:pt idx="6">
                  <c:v>7.3394103732849547E-2</c:v>
                </c:pt>
                <c:pt idx="7">
                  <c:v>3.0676923559629834E-2</c:v>
                </c:pt>
                <c:pt idx="8">
                  <c:v>1.2822196759958084E-2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69E-432E-90B2-F301FBC3EE64}"/>
            </c:ext>
          </c:extLst>
        </c:ser>
        <c:ser>
          <c:idx val="4"/>
          <c:order val="4"/>
          <c:tx>
            <c:v>D=2.8E-10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cd!$F$2:$F$10</c:f>
              <c:numCache>
                <c:formatCode>General</c:formatCode>
                <c:ptCount val="9"/>
                <c:pt idx="0">
                  <c:v>1.0051000000000001</c:v>
                </c:pt>
                <c:pt idx="1">
                  <c:v>0.7015409777619529</c:v>
                </c:pt>
                <c:pt idx="2">
                  <c:v>0.48966246490816523</c:v>
                </c:pt>
                <c:pt idx="3">
                  <c:v>0.34177523072828786</c:v>
                </c:pt>
                <c:pt idx="4">
                  <c:v>0.2385527107152921</c:v>
                </c:pt>
                <c:pt idx="5">
                  <c:v>0.1665053247666603</c:v>
                </c:pt>
                <c:pt idx="6">
                  <c:v>0.11621759858658283</c:v>
                </c:pt>
                <c:pt idx="7">
                  <c:v>5.6618640721931977E-2</c:v>
                </c:pt>
                <c:pt idx="8">
                  <c:v>2.7583348100339286E-2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69E-432E-90B2-F301FBC3E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13456"/>
        <c:axId val="961716736"/>
      </c:scatterChart>
      <c:valAx>
        <c:axId val="9617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16736"/>
        <c:crosses val="autoZero"/>
        <c:crossBetween val="midCat"/>
        <c:minorUnit val="1"/>
      </c:valAx>
      <c:valAx>
        <c:axId val="96171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1345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39370078740152E-2"/>
          <c:y val="0.16708333333333336"/>
          <c:w val="0.85723840769903759"/>
          <c:h val="0.671457786526684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Sheet1!$A$2:$A$14</c:f>
              <c:numCache>
                <c:formatCode>General</c:formatCode>
                <c:ptCount val="13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  <c:pt idx="11">
                  <c:v>57600</c:v>
                </c:pt>
                <c:pt idx="12">
                  <c:v>64800</c:v>
                </c:pt>
              </c:numCache>
            </c:numRef>
          </c:xVal>
          <c:yVal>
            <c:numRef>
              <c:f>Sheet1!$B$2:$B$14</c:f>
              <c:numCache>
                <c:formatCode>General</c:formatCode>
                <c:ptCount val="13"/>
                <c:pt idx="0">
                  <c:v>0</c:v>
                </c:pt>
                <c:pt idx="1">
                  <c:v>-0.21130909366720677</c:v>
                </c:pt>
                <c:pt idx="2">
                  <c:v>-0.17870904217033823</c:v>
                </c:pt>
                <c:pt idx="3">
                  <c:v>-0.13344069378994031</c:v>
                </c:pt>
                <c:pt idx="4">
                  <c:v>-0.27485464391130537</c:v>
                </c:pt>
                <c:pt idx="5">
                  <c:v>-0.29960471740868694</c:v>
                </c:pt>
                <c:pt idx="6">
                  <c:v>-0.34405647997952088</c:v>
                </c:pt>
                <c:pt idx="7">
                  <c:v>-0.34137311522092384</c:v>
                </c:pt>
                <c:pt idx="8">
                  <c:v>-0.38263252860462882</c:v>
                </c:pt>
                <c:pt idx="9">
                  <c:v>-0.51029666316122113</c:v>
                </c:pt>
                <c:pt idx="10">
                  <c:v>-0.50370815599712671</c:v>
                </c:pt>
                <c:pt idx="11">
                  <c:v>-0.76112016414615113</c:v>
                </c:pt>
                <c:pt idx="12">
                  <c:v>-0.87584976231564415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9D-4577-B322-4C1A0B34EE8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SCD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  <c:pt idx="11">
                  <c:v>57600</c:v>
                </c:pt>
                <c:pt idx="12">
                  <c:v>64800</c:v>
                </c:pt>
              </c:numCache>
            </c:numRef>
          </c:xVal>
          <c:yVal>
            <c:numRef>
              <c:f>Sheet1!$C$2:$C$14</c:f>
              <c:numCache>
                <c:formatCode>General</c:formatCode>
                <c:ptCount val="13"/>
                <c:pt idx="0">
                  <c:v>0</c:v>
                </c:pt>
                <c:pt idx="1">
                  <c:v>-0.15412411128706507</c:v>
                </c:pt>
                <c:pt idx="2">
                  <c:v>-0.15263739850625424</c:v>
                </c:pt>
                <c:pt idx="3">
                  <c:v>-0.24375951741081775</c:v>
                </c:pt>
                <c:pt idx="4">
                  <c:v>-0.49417350267104088</c:v>
                </c:pt>
                <c:pt idx="5">
                  <c:v>-0.48119305042581401</c:v>
                </c:pt>
                <c:pt idx="6">
                  <c:v>-0.61454022331251312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9D-4577-B322-4C1A0B34EE80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BSD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  <c:pt idx="11">
                  <c:v>57600</c:v>
                </c:pt>
                <c:pt idx="12">
                  <c:v>64800</c:v>
                </c:pt>
              </c:numCache>
            </c:numRef>
          </c:xVal>
          <c:yVal>
            <c:numRef>
              <c:f>Sheet1!$D$2:$D$14</c:f>
              <c:numCache>
                <c:formatCode>General</c:formatCode>
                <c:ptCount val="13"/>
                <c:pt idx="0">
                  <c:v>0</c:v>
                </c:pt>
                <c:pt idx="1">
                  <c:v>-0.29100359507049361</c:v>
                </c:pt>
                <c:pt idx="2">
                  <c:v>-0.36356402050590592</c:v>
                </c:pt>
                <c:pt idx="3">
                  <c:v>-0.46776287438283748</c:v>
                </c:pt>
                <c:pt idx="4">
                  <c:v>-0.64959038822013082</c:v>
                </c:pt>
                <c:pt idx="5">
                  <c:v>-0.71441064569010837</c:v>
                </c:pt>
                <c:pt idx="6">
                  <c:v>-0.84339537975635781</c:v>
                </c:pt>
                <c:pt idx="7">
                  <c:v>-0.96822363805570655</c:v>
                </c:pt>
                <c:pt idx="8">
                  <c:v>-1.0416573155839826</c:v>
                </c:pt>
                <c:pt idx="9">
                  <c:v>-1.0605694100654401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9D-4577-B322-4C1A0B34EE80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BSCD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  <c:pt idx="6">
                  <c:v>21600</c:v>
                </c:pt>
                <c:pt idx="7">
                  <c:v>28800</c:v>
                </c:pt>
                <c:pt idx="8">
                  <c:v>36000</c:v>
                </c:pt>
                <c:pt idx="9">
                  <c:v>43200</c:v>
                </c:pt>
                <c:pt idx="10">
                  <c:v>50400</c:v>
                </c:pt>
                <c:pt idx="11">
                  <c:v>57600</c:v>
                </c:pt>
                <c:pt idx="12">
                  <c:v>64800</c:v>
                </c:pt>
              </c:numCache>
            </c:numRef>
          </c:xVal>
          <c:yVal>
            <c:numRef>
              <c:f>Sheet1!$E$2:$E$14</c:f>
              <c:numCache>
                <c:formatCode>General</c:formatCode>
                <c:ptCount val="13"/>
                <c:pt idx="0">
                  <c:v>0</c:v>
                </c:pt>
                <c:pt idx="1">
                  <c:v>-0.20313877558228891</c:v>
                </c:pt>
                <c:pt idx="2">
                  <c:v>-0.34957578554362595</c:v>
                </c:pt>
                <c:pt idx="3">
                  <c:v>-0.45664645424558664</c:v>
                </c:pt>
                <c:pt idx="4">
                  <c:v>-0.70267936733688885</c:v>
                </c:pt>
                <c:pt idx="5">
                  <c:v>-0.83835601666103798</c:v>
                </c:pt>
                <c:pt idx="6">
                  <c:v>-1.1439234803366924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9D-4577-B322-4C1A0B34E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857672"/>
        <c:axId val="721858000"/>
      </c:scatterChart>
      <c:valAx>
        <c:axId val="72185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58000"/>
        <c:crosses val="autoZero"/>
        <c:crossBetween val="midCat"/>
      </c:valAx>
      <c:valAx>
        <c:axId val="721858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57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Cabinet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399376360006295E-2"/>
          <c:y val="0.11615740740740743"/>
          <c:w val="0.67171177961729156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cd!$B$1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2771784776902889"/>
                  <c:y val="-0.514900271612389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cd!$B$2:$B$10</c:f>
              <c:numCache>
                <c:formatCode>General</c:formatCode>
                <c:ptCount val="9"/>
                <c:pt idx="0">
                  <c:v>1</c:v>
                </c:pt>
                <c:pt idx="1">
                  <c:v>0.87300358352871843</c:v>
                </c:pt>
                <c:pt idx="2">
                  <c:v>0.8719047990821901</c:v>
                </c:pt>
                <c:pt idx="3">
                  <c:v>0.8085873453509933</c:v>
                </c:pt>
                <c:pt idx="4">
                  <c:v>0.66656424213610876</c:v>
                </c:pt>
                <c:pt idx="5">
                  <c:v>0.66526042465241864</c:v>
                </c:pt>
                <c:pt idx="6">
                  <c:v>0.60194953462483713</c:v>
                </c:pt>
                <c:pt idx="7">
                  <c:v>0.17383457194399796</c:v>
                </c:pt>
                <c:pt idx="8">
                  <c:v>0.13761229117340132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D0-433C-986B-8C9BB6248D7D}"/>
            </c:ext>
          </c:extLst>
        </c:ser>
        <c:ser>
          <c:idx val="1"/>
          <c:order val="1"/>
          <c:tx>
            <c:v>D=1.5E-10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4424766135002356"/>
                  <c:y val="-0.414390777781129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cd!$A$2:$A$10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cd!$C$2:$C$10</c:f>
              <c:numCache>
                <c:formatCode>General</c:formatCode>
                <c:ptCount val="9"/>
                <c:pt idx="0">
                  <c:v>1.0051000000000001</c:v>
                </c:pt>
                <c:pt idx="1">
                  <c:v>0.83529595962752456</c:v>
                </c:pt>
                <c:pt idx="2">
                  <c:v>0.69417902713169544</c:v>
                </c:pt>
                <c:pt idx="3">
                  <c:v>0.57690273268457948</c:v>
                </c:pt>
                <c:pt idx="4">
                  <c:v>0.47943938086708487</c:v>
                </c:pt>
                <c:pt idx="5">
                  <c:v>0.39844172492746777</c:v>
                </c:pt>
                <c:pt idx="6">
                  <c:v>0.33112801012728615</c:v>
                </c:pt>
                <c:pt idx="7">
                  <c:v>0.22869577149160641</c:v>
                </c:pt>
                <c:pt idx="8">
                  <c:v>0.15795026182785379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D0-433C-986B-8C9BB6248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13456"/>
        <c:axId val="96171673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D=3.0E-10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cd!$A$2:$A$10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cd!$D$2:$D$10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1.0051000000000001</c:v>
                      </c:pt>
                      <c:pt idx="1">
                        <c:v>0.68443501356097158</c:v>
                      </c:pt>
                      <c:pt idx="2">
                        <c:v>0.46607430881325967</c:v>
                      </c:pt>
                      <c:pt idx="3">
                        <c:v>0.31737894326238564</c:v>
                      </c:pt>
                      <c:pt idx="4">
                        <c:v>0.21612303386305612</c:v>
                      </c:pt>
                      <c:pt idx="5">
                        <c:v>0.14717159647089753</c:v>
                      </c:pt>
                      <c:pt idx="6">
                        <c:v>0.10021828039632731</c:v>
                      </c:pt>
                      <c:pt idx="7">
                        <c:v>4.6472157761587599E-2</c:v>
                      </c:pt>
                      <c:pt idx="8">
                        <c:v>2.1549575970343942E-2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55D0-433C-986B-8C9BB6248D7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D=3.4E-10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cd!$A$2:$A$10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cd!$E$2:$E$10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1.0051000000000001</c:v>
                      </c:pt>
                      <c:pt idx="1">
                        <c:v>0.64980730514920992</c:v>
                      </c:pt>
                      <c:pt idx="2">
                        <c:v>0.4201069881855321</c:v>
                      </c:pt>
                      <c:pt idx="3">
                        <c:v>0.27160341246362701</c:v>
                      </c:pt>
                      <c:pt idx="4">
                        <c:v>0.17559435033560716</c:v>
                      </c:pt>
                      <c:pt idx="5">
                        <c:v>0.11352352163069057</c:v>
                      </c:pt>
                      <c:pt idx="6">
                        <c:v>7.3394103732849547E-2</c:v>
                      </c:pt>
                      <c:pt idx="7">
                        <c:v>3.0676923559629834E-2</c:v>
                      </c:pt>
                      <c:pt idx="8">
                        <c:v>1.2822196759958084E-2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5D0-433C-986B-8C9BB6248D7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D=2.8E-10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cd!$A$2:$A$10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cd!$F$2:$F$10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1.0051000000000001</c:v>
                      </c:pt>
                      <c:pt idx="1">
                        <c:v>0.7015409777619529</c:v>
                      </c:pt>
                      <c:pt idx="2">
                        <c:v>0.48966246490816523</c:v>
                      </c:pt>
                      <c:pt idx="3">
                        <c:v>0.34177523072828786</c:v>
                      </c:pt>
                      <c:pt idx="4">
                        <c:v>0.2385527107152921</c:v>
                      </c:pt>
                      <c:pt idx="5">
                        <c:v>0.1665053247666603</c:v>
                      </c:pt>
                      <c:pt idx="6">
                        <c:v>0.11621759858658283</c:v>
                      </c:pt>
                      <c:pt idx="7">
                        <c:v>5.6618640721931977E-2</c:v>
                      </c:pt>
                      <c:pt idx="8">
                        <c:v>2.7583348100339286E-2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5D0-433C-986B-8C9BB6248D7D}"/>
                  </c:ext>
                </c:extLst>
              </c15:ser>
            </c15:filteredScatterSeries>
          </c:ext>
        </c:extLst>
      </c:scatterChart>
      <c:valAx>
        <c:axId val="9617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16736"/>
        <c:crosses val="autoZero"/>
        <c:crossBetween val="midCat"/>
        <c:minorUnit val="1"/>
      </c:valAx>
      <c:valAx>
        <c:axId val="96171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1345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Boiled + solar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'b+sd'!$B$1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4.4104564799736866E-2"/>
                  <c:y val="-0.430237924232610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'b+sd'!$B$2:$B$18</c:f>
              <c:numCache>
                <c:formatCode>General</c:formatCode>
                <c:ptCount val="17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0.43620617795612521</c:v>
                </c:pt>
                <c:pt idx="9">
                  <c:v>0.43198668331810791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0.15110482263125347</c:v>
                </c:pt>
                <c:pt idx="15">
                  <c:v>0.15070119437459695</c:v>
                </c:pt>
                <c:pt idx="16">
                  <c:v>0.13179349913915536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AF-4C7D-AC75-A419545A3184}"/>
            </c:ext>
          </c:extLst>
        </c:ser>
        <c:ser>
          <c:idx val="1"/>
          <c:order val="1"/>
          <c:tx>
            <c:v>D=1.2E-10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'b+sd'!$C$2:$C$18</c:f>
              <c:numCache>
                <c:formatCode>General</c:formatCode>
                <c:ptCount val="17"/>
                <c:pt idx="0">
                  <c:v>0.97309999999999997</c:v>
                </c:pt>
                <c:pt idx="1">
                  <c:v>0.83323245947858371</c:v>
                </c:pt>
                <c:pt idx="2">
                  <c:v>0.7134686378879147</c:v>
                </c:pt>
                <c:pt idx="3">
                  <c:v>0.61091894759858401</c:v>
                </c:pt>
                <c:pt idx="4">
                  <c:v>0.52310913292532757</c:v>
                </c:pt>
                <c:pt idx="5">
                  <c:v>0.44792057281171527</c:v>
                </c:pt>
                <c:pt idx="6">
                  <c:v>0.38353916404784866</c:v>
                </c:pt>
                <c:pt idx="7">
                  <c:v>0.28120765075520304</c:v>
                </c:pt>
                <c:pt idx="8">
                  <c:v>0.20617905615864257</c:v>
                </c:pt>
                <c:pt idx="9">
                  <c:v>0.15116872917328392</c:v>
                </c:pt>
                <c:pt idx="10">
                  <c:v>0.11083562562378987</c:v>
                </c:pt>
                <c:pt idx="11">
                  <c:v>8.1263737378748563E-2</c:v>
                </c:pt>
                <c:pt idx="12">
                  <c:v>5.9581880605587265E-2</c:v>
                </c:pt>
                <c:pt idx="13">
                  <c:v>4.3684927755080358E-2</c:v>
                </c:pt>
                <c:pt idx="14">
                  <c:v>3.2029417225001688E-2</c:v>
                </c:pt>
                <c:pt idx="15">
                  <c:v>2.3483696105092652E-2</c:v>
                </c:pt>
                <c:pt idx="16">
                  <c:v>1.7218046113117034E-2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AF-4C7D-AC75-A419545A3184}"/>
            </c:ext>
          </c:extLst>
        </c:ser>
        <c:ser>
          <c:idx val="2"/>
          <c:order val="2"/>
          <c:tx>
            <c:v>D=1.4E-10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'b+sd'!$D$2:$D$18</c:f>
              <c:numCache>
                <c:formatCode>General</c:formatCode>
                <c:ptCount val="17"/>
                <c:pt idx="0">
                  <c:v>0.97309999999999997</c:v>
                </c:pt>
                <c:pt idx="1">
                  <c:v>0.80853290385949717</c:v>
                </c:pt>
                <c:pt idx="2">
                  <c:v>0.67179679028205841</c:v>
                </c:pt>
                <c:pt idx="3">
                  <c:v>0.55818498576738496</c:v>
                </c:pt>
                <c:pt idx="4">
                  <c:v>0.46378679214189289</c:v>
                </c:pt>
                <c:pt idx="5">
                  <c:v>0.38535287413643582</c:v>
                </c:pt>
                <c:pt idx="6">
                  <c:v>0.32018341212222362</c:v>
                </c:pt>
                <c:pt idx="7">
                  <c:v>0.2210442796888987</c:v>
                </c:pt>
                <c:pt idx="8">
                  <c:v>0.15260182674464265</c:v>
                </c:pt>
                <c:pt idx="9">
                  <c:v>0.10535136923053098</c:v>
                </c:pt>
                <c:pt idx="10">
                  <c:v>7.2731180455133826E-2</c:v>
                </c:pt>
                <c:pt idx="11">
                  <c:v>5.0211256379800714E-2</c:v>
                </c:pt>
                <c:pt idx="12">
                  <c:v>3.4664228621909002E-2</c:v>
                </c:pt>
                <c:pt idx="13">
                  <c:v>2.3931063123833037E-2</c:v>
                </c:pt>
                <c:pt idx="14">
                  <c:v>1.6521232550229532E-2</c:v>
                </c:pt>
                <c:pt idx="15">
                  <c:v>1.140572500128216E-2</c:v>
                </c:pt>
                <c:pt idx="16">
                  <c:v>7.8741439180980144E-3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AF-4C7D-AC75-A419545A3184}"/>
            </c:ext>
          </c:extLst>
        </c:ser>
        <c:ser>
          <c:idx val="3"/>
          <c:order val="3"/>
          <c:tx>
            <c:v>D=1.3E-10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'b+sd'!$E$2:$E$18</c:f>
              <c:numCache>
                <c:formatCode>General</c:formatCode>
                <c:ptCount val="17"/>
                <c:pt idx="0">
                  <c:v>0.97309999999999997</c:v>
                </c:pt>
                <c:pt idx="1">
                  <c:v>0.82078406245462898</c:v>
                </c:pt>
                <c:pt idx="2">
                  <c:v>0.69230960556933974</c:v>
                </c:pt>
                <c:pt idx="3">
                  <c:v>0.58394480581190467</c:v>
                </c:pt>
                <c:pt idx="4">
                  <c:v>0.49254196892773056</c:v>
                </c:pt>
                <c:pt idx="5">
                  <c:v>0.41544609822824413</c:v>
                </c:pt>
                <c:pt idx="6">
                  <c:v>0.350417774365125</c:v>
                </c:pt>
                <c:pt idx="7">
                  <c:v>0.24930386512712521</c:v>
                </c:pt>
                <c:pt idx="8">
                  <c:v>0.1773666226832514</c:v>
                </c:pt>
                <c:pt idx="9">
                  <c:v>0.12618704818724458</c:v>
                </c:pt>
                <c:pt idx="10">
                  <c:v>8.9775465582643682E-2</c:v>
                </c:pt>
                <c:pt idx="11">
                  <c:v>6.3870534546628152E-2</c:v>
                </c:pt>
                <c:pt idx="12">
                  <c:v>4.544053497017677E-2</c:v>
                </c:pt>
                <c:pt idx="13">
                  <c:v>3.2328557026063985E-2</c:v>
                </c:pt>
                <c:pt idx="14">
                  <c:v>2.3000072513965953E-2</c:v>
                </c:pt>
                <c:pt idx="15">
                  <c:v>1.6363345113770404E-2</c:v>
                </c:pt>
                <c:pt idx="16">
                  <c:v>1.1641661701273625E-2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AF-4C7D-AC75-A419545A3184}"/>
            </c:ext>
          </c:extLst>
        </c:ser>
        <c:ser>
          <c:idx val="4"/>
          <c:order val="4"/>
          <c:tx>
            <c:v>D=9.6E-11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'b+sd'!$F$2:$F$18</c:f>
              <c:numCache>
                <c:formatCode>0.0000</c:formatCode>
                <c:ptCount val="17"/>
                <c:pt idx="0">
                  <c:v>0.97309999999999997</c:v>
                </c:pt>
                <c:pt idx="1">
                  <c:v>0.85854191649353251</c:v>
                </c:pt>
                <c:pt idx="2">
                  <c:v>0.75747016994798855</c:v>
                </c:pt>
                <c:pt idx="3">
                  <c:v>0.66829708292449674</c:v>
                </c:pt>
                <c:pt idx="4">
                  <c:v>0.58962188712468888</c:v>
                </c:pt>
                <c:pt idx="5">
                  <c:v>0.52020871953402903</c:v>
                </c:pt>
                <c:pt idx="6">
                  <c:v>0.45896720896659304</c:v>
                </c:pt>
                <c:pt idx="7">
                  <c:v>0.35726438164266705</c:v>
                </c:pt>
                <c:pt idx="8">
                  <c:v>0.27809794664395648</c:v>
                </c:pt>
                <c:pt idx="9">
                  <c:v>0.2164740508751252</c:v>
                </c:pt>
                <c:pt idx="10">
                  <c:v>0.1685054322327722</c:v>
                </c:pt>
                <c:pt idx="11">
                  <c:v>0.13116620942402349</c:v>
                </c:pt>
                <c:pt idx="12">
                  <c:v>0.10210100806068084</c:v>
                </c:pt>
                <c:pt idx="13">
                  <c:v>7.9476382620064609E-2</c:v>
                </c:pt>
                <c:pt idx="14">
                  <c:v>6.186516190532497E-2</c:v>
                </c:pt>
                <c:pt idx="15">
                  <c:v>4.8156422466638871E-2</c:v>
                </c:pt>
                <c:pt idx="16">
                  <c:v>3.748541106761083E-2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AF-4C7D-AC75-A419545A3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565120"/>
        <c:axId val="1020572992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v>D=Test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'b+sd'!$A$2:$A$18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'b+sd'!$G$2:$G$19</c15:sqref>
                        </c15:formulaRef>
                      </c:ext>
                    </c:extLst>
                    <c:numCache>
                      <c:formatCode>0.0000</c:formatCode>
                      <c:ptCount val="18"/>
                      <c:pt idx="0">
                        <c:v>0.97309999999999997</c:v>
                      </c:pt>
                      <c:pt idx="1">
                        <c:v>0.8787830746219224</c:v>
                      </c:pt>
                      <c:pt idx="2">
                        <c:v>0.79360774046034244</c:v>
                      </c:pt>
                      <c:pt idx="3">
                        <c:v>0.71668795622803039</c:v>
                      </c:pt>
                      <c:pt idx="4">
                        <c:v>0.64722355946826671</c:v>
                      </c:pt>
                      <c:pt idx="5">
                        <c:v>0.58449194281910188</c:v>
                      </c:pt>
                      <c:pt idx="6">
                        <c:v>0.52784053704892742</c:v>
                      </c:pt>
                      <c:pt idx="7">
                        <c:v>0.43047819949724903</c:v>
                      </c:pt>
                      <c:pt idx="8">
                        <c:v>0.35107474177417353</c:v>
                      </c:pt>
                      <c:pt idx="9">
                        <c:v>0.28631757532843499</c:v>
                      </c:pt>
                      <c:pt idx="10">
                        <c:v>0.23350513206297732</c:v>
                      </c:pt>
                      <c:pt idx="11">
                        <c:v>0.19043415912279651</c:v>
                      </c:pt>
                      <c:pt idx="12">
                        <c:v>0.15530780261834123</c:v>
                      </c:pt>
                      <c:pt idx="13">
                        <c:v>0.12666064568061106</c:v>
                      </c:pt>
                      <c:pt idx="14">
                        <c:v>0.10329757355239734</c:v>
                      </c:pt>
                      <c:pt idx="15">
                        <c:v>8.4243915262515734E-2</c:v>
                      </c:pt>
                      <c:pt idx="16">
                        <c:v>6.8704781871357187E-2</c:v>
                      </c:pt>
                      <c:pt idx="17">
                        <c:v>5.6031904942707315E-2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8FAF-4C7D-AC75-A419545A3184}"/>
                  </c:ext>
                </c:extLst>
              </c15:ser>
            </c15:filteredScatterSeries>
          </c:ext>
        </c:extLst>
      </c:scatterChart>
      <c:valAx>
        <c:axId val="1020565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572992"/>
        <c:crosses val="autoZero"/>
        <c:crossBetween val="midCat"/>
      </c:valAx>
      <c:valAx>
        <c:axId val="102057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56512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Boiled + solar drying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8711391608464"/>
          <c:y val="0.13836970714418953"/>
          <c:w val="0.59206951720676348"/>
          <c:h val="0.695977216614011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'b+sd'!$B$1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4.4104564799736866E-2"/>
                  <c:y val="-0.430237924232610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'b+sd'!$B$2:$B$18</c:f>
              <c:numCache>
                <c:formatCode>General</c:formatCode>
                <c:ptCount val="17"/>
                <c:pt idx="0">
                  <c:v>1</c:v>
                </c:pt>
                <c:pt idx="1">
                  <c:v>0.78247024774843776</c:v>
                </c:pt>
                <c:pt idx="2">
                  <c:v>0.73611508402642223</c:v>
                </c:pt>
                <c:pt idx="3">
                  <c:v>0.67457705383364175</c:v>
                </c:pt>
                <c:pt idx="4">
                  <c:v>0.58964137477944789</c:v>
                </c:pt>
                <c:pt idx="5">
                  <c:v>0.55531138531890867</c:v>
                </c:pt>
                <c:pt idx="6">
                  <c:v>0.49938671406882423</c:v>
                </c:pt>
                <c:pt idx="7">
                  <c:v>0.45973661826485396</c:v>
                </c:pt>
                <c:pt idx="8">
                  <c:v>0.43620617795612521</c:v>
                </c:pt>
                <c:pt idx="9">
                  <c:v>0.43198668331810791</c:v>
                </c:pt>
                <c:pt idx="10">
                  <c:v>0.38538208797016077</c:v>
                </c:pt>
                <c:pt idx="11">
                  <c:v>0.36056106220175366</c:v>
                </c:pt>
                <c:pt idx="12">
                  <c:v>0.31944179712752446</c:v>
                </c:pt>
                <c:pt idx="13">
                  <c:v>0.23230066061049878</c:v>
                </c:pt>
                <c:pt idx="14">
                  <c:v>0.15110482263125347</c:v>
                </c:pt>
                <c:pt idx="15">
                  <c:v>0.15070119437459695</c:v>
                </c:pt>
                <c:pt idx="16">
                  <c:v>0.13179349913915536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5E-44AD-ACE1-814622B033DE}"/>
            </c:ext>
          </c:extLst>
        </c:ser>
        <c:ser>
          <c:idx val="4"/>
          <c:order val="4"/>
          <c:tx>
            <c:v>D=9.6E-11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26480895791684134"/>
                  <c:y val="-0.413582604500018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'b+sd'!$A$2:$A$18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'b+sd'!$F$2:$F$18</c:f>
              <c:numCache>
                <c:formatCode>0.0000</c:formatCode>
                <c:ptCount val="17"/>
                <c:pt idx="0">
                  <c:v>0.97309999999999997</c:v>
                </c:pt>
                <c:pt idx="1">
                  <c:v>0.85854191649353251</c:v>
                </c:pt>
                <c:pt idx="2">
                  <c:v>0.75747016994798855</c:v>
                </c:pt>
                <c:pt idx="3">
                  <c:v>0.66829708292449674</c:v>
                </c:pt>
                <c:pt idx="4">
                  <c:v>0.58962188712468888</c:v>
                </c:pt>
                <c:pt idx="5">
                  <c:v>0.52020871953402903</c:v>
                </c:pt>
                <c:pt idx="6">
                  <c:v>0.45896720896659304</c:v>
                </c:pt>
                <c:pt idx="7">
                  <c:v>0.35726438164266705</c:v>
                </c:pt>
                <c:pt idx="8">
                  <c:v>0.27809794664395648</c:v>
                </c:pt>
                <c:pt idx="9">
                  <c:v>0.2164740508751252</c:v>
                </c:pt>
                <c:pt idx="10">
                  <c:v>0.1685054322327722</c:v>
                </c:pt>
                <c:pt idx="11">
                  <c:v>0.13116620942402349</c:v>
                </c:pt>
                <c:pt idx="12">
                  <c:v>0.10210100806068084</c:v>
                </c:pt>
                <c:pt idx="13">
                  <c:v>7.9476382620064609E-2</c:v>
                </c:pt>
                <c:pt idx="14">
                  <c:v>6.186516190532497E-2</c:v>
                </c:pt>
                <c:pt idx="15">
                  <c:v>4.8156422466638871E-2</c:v>
                </c:pt>
                <c:pt idx="16">
                  <c:v>3.748541106761083E-2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5E-44AD-ACE1-814622B03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565120"/>
        <c:axId val="102057299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D=1.2E-10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'b+sd'!$A$2:$A$18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'b+sd'!$C$2:$C$18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0.97309999999999997</c:v>
                      </c:pt>
                      <c:pt idx="1">
                        <c:v>0.83323245947858371</c:v>
                      </c:pt>
                      <c:pt idx="2">
                        <c:v>0.7134686378879147</c:v>
                      </c:pt>
                      <c:pt idx="3">
                        <c:v>0.61091894759858401</c:v>
                      </c:pt>
                      <c:pt idx="4">
                        <c:v>0.52310913292532757</c:v>
                      </c:pt>
                      <c:pt idx="5">
                        <c:v>0.44792057281171527</c:v>
                      </c:pt>
                      <c:pt idx="6">
                        <c:v>0.38353916404784866</c:v>
                      </c:pt>
                      <c:pt idx="7">
                        <c:v>0.28120765075520304</c:v>
                      </c:pt>
                      <c:pt idx="8">
                        <c:v>0.20617905615864257</c:v>
                      </c:pt>
                      <c:pt idx="9">
                        <c:v>0.15116872917328392</c:v>
                      </c:pt>
                      <c:pt idx="10">
                        <c:v>0.11083562562378987</c:v>
                      </c:pt>
                      <c:pt idx="11">
                        <c:v>8.1263737378748563E-2</c:v>
                      </c:pt>
                      <c:pt idx="12">
                        <c:v>5.9581880605587265E-2</c:v>
                      </c:pt>
                      <c:pt idx="13">
                        <c:v>4.3684927755080358E-2</c:v>
                      </c:pt>
                      <c:pt idx="14">
                        <c:v>3.2029417225001688E-2</c:v>
                      </c:pt>
                      <c:pt idx="15">
                        <c:v>2.3483696105092652E-2</c:v>
                      </c:pt>
                      <c:pt idx="16">
                        <c:v>1.7218046113117034E-2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E85E-44AD-ACE1-814622B033D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D=1.4E-10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'b+sd'!$D$2:$D$18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0.97309999999999997</c:v>
                      </c:pt>
                      <c:pt idx="1">
                        <c:v>0.80853290385949717</c:v>
                      </c:pt>
                      <c:pt idx="2">
                        <c:v>0.67179679028205841</c:v>
                      </c:pt>
                      <c:pt idx="3">
                        <c:v>0.55818498576738496</c:v>
                      </c:pt>
                      <c:pt idx="4">
                        <c:v>0.46378679214189289</c:v>
                      </c:pt>
                      <c:pt idx="5">
                        <c:v>0.38535287413643582</c:v>
                      </c:pt>
                      <c:pt idx="6">
                        <c:v>0.32018341212222362</c:v>
                      </c:pt>
                      <c:pt idx="7">
                        <c:v>0.2210442796888987</c:v>
                      </c:pt>
                      <c:pt idx="8">
                        <c:v>0.15260182674464265</c:v>
                      </c:pt>
                      <c:pt idx="9">
                        <c:v>0.10535136923053098</c:v>
                      </c:pt>
                      <c:pt idx="10">
                        <c:v>7.2731180455133826E-2</c:v>
                      </c:pt>
                      <c:pt idx="11">
                        <c:v>5.0211256379800714E-2</c:v>
                      </c:pt>
                      <c:pt idx="12">
                        <c:v>3.4664228621909002E-2</c:v>
                      </c:pt>
                      <c:pt idx="13">
                        <c:v>2.3931063123833037E-2</c:v>
                      </c:pt>
                      <c:pt idx="14">
                        <c:v>1.6521232550229532E-2</c:v>
                      </c:pt>
                      <c:pt idx="15">
                        <c:v>1.140572500128216E-2</c:v>
                      </c:pt>
                      <c:pt idx="16">
                        <c:v>7.8741439180980144E-3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85E-44AD-ACE1-814622B033D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D=1.3E-10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'b+sd'!$E$2:$E$18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0.97309999999999997</c:v>
                      </c:pt>
                      <c:pt idx="1">
                        <c:v>0.82078406245462898</c:v>
                      </c:pt>
                      <c:pt idx="2">
                        <c:v>0.69230960556933974</c:v>
                      </c:pt>
                      <c:pt idx="3">
                        <c:v>0.58394480581190467</c:v>
                      </c:pt>
                      <c:pt idx="4">
                        <c:v>0.49254196892773056</c:v>
                      </c:pt>
                      <c:pt idx="5">
                        <c:v>0.41544609822824413</c:v>
                      </c:pt>
                      <c:pt idx="6">
                        <c:v>0.350417774365125</c:v>
                      </c:pt>
                      <c:pt idx="7">
                        <c:v>0.24930386512712521</c:v>
                      </c:pt>
                      <c:pt idx="8">
                        <c:v>0.1773666226832514</c:v>
                      </c:pt>
                      <c:pt idx="9">
                        <c:v>0.12618704818724458</c:v>
                      </c:pt>
                      <c:pt idx="10">
                        <c:v>8.9775465582643682E-2</c:v>
                      </c:pt>
                      <c:pt idx="11">
                        <c:v>6.3870534546628152E-2</c:v>
                      </c:pt>
                      <c:pt idx="12">
                        <c:v>4.544053497017677E-2</c:v>
                      </c:pt>
                      <c:pt idx="13">
                        <c:v>3.2328557026063985E-2</c:v>
                      </c:pt>
                      <c:pt idx="14">
                        <c:v>2.3000072513965953E-2</c:v>
                      </c:pt>
                      <c:pt idx="15">
                        <c:v>1.6363345113770404E-2</c:v>
                      </c:pt>
                      <c:pt idx="16">
                        <c:v>1.1641661701273625E-2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85E-44AD-ACE1-814622B033D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D=Test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12700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10</c:v>
                      </c:pt>
                      <c:pt idx="9">
                        <c:v>12</c:v>
                      </c:pt>
                      <c:pt idx="10">
                        <c:v>14</c:v>
                      </c:pt>
                      <c:pt idx="11">
                        <c:v>16</c:v>
                      </c:pt>
                      <c:pt idx="12">
                        <c:v>18</c:v>
                      </c:pt>
                      <c:pt idx="13">
                        <c:v>20</c:v>
                      </c:pt>
                      <c:pt idx="14">
                        <c:v>22</c:v>
                      </c:pt>
                      <c:pt idx="15">
                        <c:v>24</c:v>
                      </c:pt>
                      <c:pt idx="16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'b+sd'!$G$2:$G$19</c15:sqref>
                        </c15:formulaRef>
                      </c:ext>
                    </c:extLst>
                    <c:numCache>
                      <c:formatCode>0.0000</c:formatCode>
                      <c:ptCount val="18"/>
                      <c:pt idx="0">
                        <c:v>0.97309999999999997</c:v>
                      </c:pt>
                      <c:pt idx="1">
                        <c:v>0.8787830746219224</c:v>
                      </c:pt>
                      <c:pt idx="2">
                        <c:v>0.79360774046034244</c:v>
                      </c:pt>
                      <c:pt idx="3">
                        <c:v>0.71668795622803039</c:v>
                      </c:pt>
                      <c:pt idx="4">
                        <c:v>0.64722355946826671</c:v>
                      </c:pt>
                      <c:pt idx="5">
                        <c:v>0.58449194281910188</c:v>
                      </c:pt>
                      <c:pt idx="6">
                        <c:v>0.52784053704892742</c:v>
                      </c:pt>
                      <c:pt idx="7">
                        <c:v>0.43047819949724903</c:v>
                      </c:pt>
                      <c:pt idx="8">
                        <c:v>0.35107474177417353</c:v>
                      </c:pt>
                      <c:pt idx="9">
                        <c:v>0.28631757532843499</c:v>
                      </c:pt>
                      <c:pt idx="10">
                        <c:v>0.23350513206297732</c:v>
                      </c:pt>
                      <c:pt idx="11">
                        <c:v>0.19043415912279651</c:v>
                      </c:pt>
                      <c:pt idx="12">
                        <c:v>0.15530780261834123</c:v>
                      </c:pt>
                      <c:pt idx="13">
                        <c:v>0.12666064568061106</c:v>
                      </c:pt>
                      <c:pt idx="14">
                        <c:v>0.10329757355239734</c:v>
                      </c:pt>
                      <c:pt idx="15">
                        <c:v>8.4243915262515734E-2</c:v>
                      </c:pt>
                      <c:pt idx="16">
                        <c:v>6.8704781871357187E-2</c:v>
                      </c:pt>
                      <c:pt idx="17">
                        <c:v>5.6031904942707315E-2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85E-44AD-ACE1-814622B033DE}"/>
                  </c:ext>
                </c:extLst>
              </c15:ser>
            </c15:filteredScatterSeries>
          </c:ext>
        </c:extLst>
      </c:scatterChart>
      <c:valAx>
        <c:axId val="1020565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572992"/>
        <c:crosses val="autoZero"/>
        <c:crossBetween val="midCat"/>
      </c:valAx>
      <c:valAx>
        <c:axId val="102057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56512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Boiled + cabinet</a:t>
            </a:r>
            <a:r>
              <a:rPr lang="en-GB" baseline="0">
                <a:solidFill>
                  <a:schemeClr val="tx1"/>
                </a:solidFill>
              </a:rPr>
              <a:t> drying</a:t>
            </a:r>
            <a:endParaRPr lang="en-GB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'b+cd'!$B$1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6232327209098862"/>
                  <c:y val="-0.446939816733434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'b+cd'!$B$2:$B$10</c:f>
              <c:numCache>
                <c:formatCode>General</c:formatCode>
                <c:ptCount val="9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0.13679520979314949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17-4179-A762-97E2D9DFF662}"/>
            </c:ext>
          </c:extLst>
        </c:ser>
        <c:ser>
          <c:idx val="1"/>
          <c:order val="1"/>
          <c:tx>
            <c:v>D=2.0E-11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'b+cd'!$C$2:$C$10</c:f>
              <c:numCache>
                <c:formatCode>General</c:formatCode>
                <c:ptCount val="9"/>
                <c:pt idx="0">
                  <c:v>1.0006999999999999</c:v>
                </c:pt>
                <c:pt idx="1">
                  <c:v>0.77080679051408763</c:v>
                </c:pt>
                <c:pt idx="2">
                  <c:v>0.59372749905329136</c:v>
                </c:pt>
                <c:pt idx="3">
                  <c:v>0.45732905764487219</c:v>
                </c:pt>
                <c:pt idx="4">
                  <c:v>0.35226575710210462</c:v>
                </c:pt>
                <c:pt idx="5">
                  <c:v>0.27133890040960179</c:v>
                </c:pt>
                <c:pt idx="6">
                  <c:v>0.20900356447121698</c:v>
                </c:pt>
                <c:pt idx="7">
                  <c:v>0.16098867466379829</c:v>
                </c:pt>
                <c:pt idx="8">
                  <c:v>0.12400436057431698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17-4179-A762-97E2D9DFF662}"/>
            </c:ext>
          </c:extLst>
        </c:ser>
        <c:ser>
          <c:idx val="2"/>
          <c:order val="2"/>
          <c:tx>
            <c:v>D=3.2E-10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'b+cd'!$D$2:$D$10</c:f>
              <c:numCache>
                <c:formatCode>General</c:formatCode>
                <c:ptCount val="9"/>
                <c:pt idx="0">
                  <c:v>1.0006999999999999</c:v>
                </c:pt>
                <c:pt idx="1">
                  <c:v>0.66921380399947317</c:v>
                </c:pt>
                <c:pt idx="2">
                  <c:v>0.4475338417742033</c:v>
                </c:pt>
                <c:pt idx="3">
                  <c:v>0.29928632424524126</c:v>
                </c:pt>
                <c:pt idx="4">
                  <c:v>0.20014643702725857</c:v>
                </c:pt>
                <c:pt idx="5">
                  <c:v>0.13384706553407885</c:v>
                </c:pt>
                <c:pt idx="6">
                  <c:v>8.9509647127238634E-2</c:v>
                </c:pt>
                <c:pt idx="7">
                  <c:v>5.9859190015658925E-2</c:v>
                </c:pt>
                <c:pt idx="8">
                  <c:v>4.0030574852309764E-2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17-4179-A762-97E2D9DFF662}"/>
            </c:ext>
          </c:extLst>
        </c:ser>
        <c:ser>
          <c:idx val="3"/>
          <c:order val="3"/>
          <c:tx>
            <c:v>D=3.5E-10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'b+cd'!$E$2:$E$10</c:f>
              <c:numCache>
                <c:formatCode>General</c:formatCode>
                <c:ptCount val="9"/>
                <c:pt idx="0">
                  <c:v>1.0006999999999999</c:v>
                </c:pt>
                <c:pt idx="1">
                  <c:v>0.63996720509104588</c:v>
                </c:pt>
                <c:pt idx="2">
                  <c:v>0.40927153351858175</c:v>
                </c:pt>
                <c:pt idx="3">
                  <c:v>0.26173714342881288</c:v>
                </c:pt>
                <c:pt idx="4">
                  <c:v>0.16738601793609634</c:v>
                </c:pt>
                <c:pt idx="5">
                  <c:v>0.10704662942928271</c:v>
                </c:pt>
                <c:pt idx="6">
                  <c:v>6.8458411362321364E-2</c:v>
                </c:pt>
                <c:pt idx="7">
                  <c:v>4.3780491840229738E-2</c:v>
                </c:pt>
                <c:pt idx="8">
                  <c:v>2.7998480064458039E-2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17-4179-A762-97E2D9DFF662}"/>
            </c:ext>
          </c:extLst>
        </c:ser>
        <c:ser>
          <c:idx val="4"/>
          <c:order val="4"/>
          <c:tx>
            <c:v>D=3.0E-10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'b+cd'!$F$2:$F$10</c:f>
              <c:numCache>
                <c:formatCode>General</c:formatCode>
                <c:ptCount val="9"/>
                <c:pt idx="0">
                  <c:v>1.0006999999999999</c:v>
                </c:pt>
                <c:pt idx="1">
                  <c:v>0.68208632851877782</c:v>
                </c:pt>
                <c:pt idx="2">
                  <c:v>0.46491631812953554</c:v>
                </c:pt>
                <c:pt idx="3">
                  <c:v>0.316891240633</c:v>
                </c:pt>
                <c:pt idx="4">
                  <c:v>0.21599598567315229</c:v>
                </c:pt>
                <c:pt idx="5">
                  <c:v>0.1472248514465824</c:v>
                </c:pt>
                <c:pt idx="6">
                  <c:v>0.10034981352045759</c:v>
                </c:pt>
                <c:pt idx="7">
                  <c:v>6.839935632228733E-2</c:v>
                </c:pt>
                <c:pt idx="8">
                  <c:v>4.6621630685436809E-2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17-4179-A762-97E2D9DFF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648656"/>
        <c:axId val="621649968"/>
      </c:scatterChart>
      <c:valAx>
        <c:axId val="62164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49968"/>
        <c:crosses val="autoZero"/>
        <c:crossBetween val="midCat"/>
        <c:minorUnit val="1"/>
      </c:valAx>
      <c:valAx>
        <c:axId val="621649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4865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Boiled + cabinet</a:t>
            </a:r>
            <a:r>
              <a:rPr lang="en-GB" baseline="0">
                <a:solidFill>
                  <a:schemeClr val="tx1"/>
                </a:solidFill>
              </a:rPr>
              <a:t> drying</a:t>
            </a:r>
            <a:endParaRPr lang="en-GB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9185243278853092"/>
          <c:y val="4.67836257309941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70165532097332"/>
          <c:y val="0.22966081871345029"/>
          <c:w val="0.55127646892743987"/>
          <c:h val="0.61874476216788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'b+cd'!$B$1</c:f>
              <c:strCache>
                <c:ptCount val="1"/>
                <c:pt idx="0">
                  <c:v>MRexp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26931287971473683"/>
                  <c:y val="-0.423548003867937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'b+cd'!$B$2:$B$10</c:f>
              <c:numCache>
                <c:formatCode>General</c:formatCode>
                <c:ptCount val="9"/>
                <c:pt idx="0">
                  <c:v>1</c:v>
                </c:pt>
                <c:pt idx="1">
                  <c:v>0.80714948566211964</c:v>
                </c:pt>
                <c:pt idx="2">
                  <c:v>0.69660154192315715</c:v>
                </c:pt>
                <c:pt idx="3">
                  <c:v>0.63196444601167723</c:v>
                </c:pt>
                <c:pt idx="4">
                  <c:v>0.49811642751536406</c:v>
                </c:pt>
                <c:pt idx="5">
                  <c:v>0.42557964286029865</c:v>
                </c:pt>
                <c:pt idx="6">
                  <c:v>0.31685483154225391</c:v>
                </c:pt>
                <c:pt idx="7">
                  <c:v>0.1540948684218085</c:v>
                </c:pt>
                <c:pt idx="8">
                  <c:v>0.13679520979314949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D8-49D3-9E8D-DEDC79341A46}"/>
            </c:ext>
          </c:extLst>
        </c:ser>
        <c:ser>
          <c:idx val="1"/>
          <c:order val="1"/>
          <c:tx>
            <c:v>D=2.0E-10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trendline>
            <c:spPr>
              <a:ln w="1270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6.9598142861624371E-2"/>
                  <c:y val="-0.321343463645991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'b+cd'!$A$2:$A$10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'b+cd'!$C$2:$C$10</c:f>
              <c:numCache>
                <c:formatCode>General</c:formatCode>
                <c:ptCount val="9"/>
                <c:pt idx="0">
                  <c:v>1.0006999999999999</c:v>
                </c:pt>
                <c:pt idx="1">
                  <c:v>0.77080679051408763</c:v>
                </c:pt>
                <c:pt idx="2">
                  <c:v>0.59372749905329136</c:v>
                </c:pt>
                <c:pt idx="3">
                  <c:v>0.45732905764487219</c:v>
                </c:pt>
                <c:pt idx="4">
                  <c:v>0.35226575710210462</c:v>
                </c:pt>
                <c:pt idx="5">
                  <c:v>0.27133890040960179</c:v>
                </c:pt>
                <c:pt idx="6">
                  <c:v>0.20900356447121698</c:v>
                </c:pt>
                <c:pt idx="7">
                  <c:v>0.16098867466379829</c:v>
                </c:pt>
                <c:pt idx="8">
                  <c:v>0.12400436057431698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D8-49D3-9E8D-DEDC79341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648656"/>
        <c:axId val="62164996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D=3.2E-10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'b+cd'!$A$2:$A$10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'b+cd'!$D$2:$D$10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1.0006999999999999</c:v>
                      </c:pt>
                      <c:pt idx="1">
                        <c:v>0.66921380399947317</c:v>
                      </c:pt>
                      <c:pt idx="2">
                        <c:v>0.4475338417742033</c:v>
                      </c:pt>
                      <c:pt idx="3">
                        <c:v>0.29928632424524126</c:v>
                      </c:pt>
                      <c:pt idx="4">
                        <c:v>0.20014643702725857</c:v>
                      </c:pt>
                      <c:pt idx="5">
                        <c:v>0.13384706553407885</c:v>
                      </c:pt>
                      <c:pt idx="6">
                        <c:v>8.9509647127238634E-2</c:v>
                      </c:pt>
                      <c:pt idx="7">
                        <c:v>5.9859190015658925E-2</c:v>
                      </c:pt>
                      <c:pt idx="8">
                        <c:v>4.0030574852309764E-2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7BD8-49D3-9E8D-DEDC79341A4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D=3.5E-10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'b+cd'!$A$2:$A$10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'b+cd'!$E$2:$E$10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1.0006999999999999</c:v>
                      </c:pt>
                      <c:pt idx="1">
                        <c:v>0.63996720509104588</c:v>
                      </c:pt>
                      <c:pt idx="2">
                        <c:v>0.40927153351858175</c:v>
                      </c:pt>
                      <c:pt idx="3">
                        <c:v>0.26173714342881288</c:v>
                      </c:pt>
                      <c:pt idx="4">
                        <c:v>0.16738601793609634</c:v>
                      </c:pt>
                      <c:pt idx="5">
                        <c:v>0.10704662942928271</c:v>
                      </c:pt>
                      <c:pt idx="6">
                        <c:v>6.8458411362321364E-2</c:v>
                      </c:pt>
                      <c:pt idx="7">
                        <c:v>4.3780491840229738E-2</c:v>
                      </c:pt>
                      <c:pt idx="8">
                        <c:v>2.7998480064458039E-2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BD8-49D3-9E8D-DEDC79341A4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D=3.0E-10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'b+cd'!$A$2:$A$10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'b+cd'!$F$2:$F$10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1.0006999999999999</c:v>
                      </c:pt>
                      <c:pt idx="1">
                        <c:v>0.68208632851877782</c:v>
                      </c:pt>
                      <c:pt idx="2">
                        <c:v>0.46491631812953554</c:v>
                      </c:pt>
                      <c:pt idx="3">
                        <c:v>0.316891240633</c:v>
                      </c:pt>
                      <c:pt idx="4">
                        <c:v>0.21599598567315229</c:v>
                      </c:pt>
                      <c:pt idx="5">
                        <c:v>0.1472248514465824</c:v>
                      </c:pt>
                      <c:pt idx="6">
                        <c:v>0.10034981352045759</c:v>
                      </c:pt>
                      <c:pt idx="7">
                        <c:v>6.839935632228733E-2</c:v>
                      </c:pt>
                      <c:pt idx="8">
                        <c:v>4.6621630685436809E-2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BD8-49D3-9E8D-DEDC79341A46}"/>
                  </c:ext>
                </c:extLst>
              </c15:ser>
            </c15:filteredScatterSeries>
          </c:ext>
        </c:extLst>
      </c:scatterChart>
      <c:valAx>
        <c:axId val="62164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49968"/>
        <c:crosses val="autoZero"/>
        <c:crossBetween val="midCat"/>
        <c:minorUnit val="1"/>
      </c:valAx>
      <c:valAx>
        <c:axId val="621649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Moisture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4865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Sheet1!$B$28</c:f>
              <c:strCache>
                <c:ptCount val="1"/>
                <c:pt idx="0">
                  <c:v>Deff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Sheet1!$A$29:$A$32</c:f>
              <c:strCache>
                <c:ptCount val="4"/>
                <c:pt idx="0">
                  <c:v>SCD:SD</c:v>
                </c:pt>
                <c:pt idx="1">
                  <c:v>BSCD:BSD</c:v>
                </c:pt>
                <c:pt idx="2">
                  <c:v>BSD:SD</c:v>
                </c:pt>
                <c:pt idx="3">
                  <c:v>BSCD:SCD</c:v>
                </c:pt>
              </c:strCache>
            </c:strRef>
          </c:cat>
          <c:val>
            <c:numRef>
              <c:f>Sheet1!$B$29:$B$32</c:f>
              <c:numCache>
                <c:formatCode>General</c:formatCode>
                <c:ptCount val="4"/>
                <c:pt idx="0">
                  <c:v>3.29</c:v>
                </c:pt>
                <c:pt idx="1">
                  <c:v>3.26</c:v>
                </c:pt>
                <c:pt idx="2">
                  <c:v>1.66</c:v>
                </c:pt>
                <c:pt idx="3">
                  <c:v>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D7-4D86-B66D-AB7F0F88B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1904248"/>
        <c:axId val="721905232"/>
      </c:barChart>
      <c:catAx>
        <c:axId val="72190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05232"/>
        <c:crosses val="autoZero"/>
        <c:auto val="1"/>
        <c:lblAlgn val="ctr"/>
        <c:lblOffset val="100"/>
        <c:noMultiLvlLbl val="0"/>
      </c:catAx>
      <c:valAx>
        <c:axId val="72190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904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'Solar dry'!$I$1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964566929133863E-2"/>
                  <c:y val="-0.492795627109111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'Solar dry'!$H$2:$H$11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</c:numCache>
            </c:numRef>
          </c:xVal>
          <c:yVal>
            <c:numRef>
              <c:f>'Solar dry'!$I$2:$I$11</c:f>
              <c:numCache>
                <c:formatCode>General</c:formatCode>
                <c:ptCount val="10"/>
                <c:pt idx="0">
                  <c:v>1</c:v>
                </c:pt>
                <c:pt idx="1">
                  <c:v>0.87634556996963853</c:v>
                </c:pt>
                <c:pt idx="2">
                  <c:v>0.87744962738062382</c:v>
                </c:pt>
                <c:pt idx="3">
                  <c:v>0.8127242616616065</c:v>
                </c:pt>
                <c:pt idx="4">
                  <c:v>0.66243444659122275</c:v>
                </c:pt>
                <c:pt idx="5">
                  <c:v>0.60253933204526633</c:v>
                </c:pt>
                <c:pt idx="6">
                  <c:v>0.66933480540988133</c:v>
                </c:pt>
                <c:pt idx="7">
                  <c:v>0.17319900634833013</c:v>
                </c:pt>
                <c:pt idx="8">
                  <c:v>0.13786916919679826</c:v>
                </c:pt>
                <c:pt idx="9">
                  <c:v>0.13428098261109581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A5-46F2-A4EE-A772D8D87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563408"/>
        <c:axId val="696567672"/>
      </c:scatterChart>
      <c:valAx>
        <c:axId val="69656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67672"/>
        <c:crosses val="autoZero"/>
        <c:crossBetween val="midCat"/>
      </c:valAx>
      <c:valAx>
        <c:axId val="69656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6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'Solar dry'!$L$1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8871391076115492E-2"/>
                  <c:y val="-0.70088435374149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 cmpd="sng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4"/>
            <c:dispRSqr val="0"/>
            <c:dispEq val="0"/>
          </c:trendline>
          <c:xVal>
            <c:numRef>
              <c:f>'Solar dry'!$K$2:$K$10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'Solar dry'!$L$2:$L$10</c:f>
              <c:numCache>
                <c:formatCode>General</c:formatCode>
                <c:ptCount val="9"/>
                <c:pt idx="0">
                  <c:v>1</c:v>
                </c:pt>
                <c:pt idx="1">
                  <c:v>0.8571656304798343</c:v>
                </c:pt>
                <c:pt idx="2">
                  <c:v>0.85844093735055005</c:v>
                </c:pt>
                <c:pt idx="3">
                  <c:v>0.78367607205483825</c:v>
                </c:pt>
                <c:pt idx="4">
                  <c:v>0.61007492427865462</c:v>
                </c:pt>
                <c:pt idx="5">
                  <c:v>0.54088952654232425</c:v>
                </c:pt>
                <c:pt idx="6">
                  <c:v>0.61804559222062816</c:v>
                </c:pt>
                <c:pt idx="7">
                  <c:v>4.4954567192730763E-2</c:v>
                </c:pt>
                <c:pt idx="8">
                  <c:v>4.1447473298262365E-3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5E-40BC-A964-D97412B33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520768"/>
        <c:axId val="690522736"/>
      </c:scatterChart>
      <c:valAx>
        <c:axId val="69052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522736"/>
        <c:crosses val="autoZero"/>
        <c:crossBetween val="midCat"/>
      </c:valAx>
      <c:valAx>
        <c:axId val="69052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52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'Solar dry'!$P$1</c:f>
              <c:strCache>
                <c:ptCount val="1"/>
                <c:pt idx="0">
                  <c:v>Ln(MR)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40157480314962"/>
                  <c:y val="3.4740449110527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'Solar dry'!$O$2:$O$7</c:f>
              <c:numCache>
                <c:formatCode>General</c:formatCode>
                <c:ptCount val="6"/>
                <c:pt idx="0">
                  <c:v>0</c:v>
                </c:pt>
                <c:pt idx="1">
                  <c:v>3600</c:v>
                </c:pt>
                <c:pt idx="2">
                  <c:v>7200</c:v>
                </c:pt>
                <c:pt idx="3">
                  <c:v>10800</c:v>
                </c:pt>
                <c:pt idx="4">
                  <c:v>14400</c:v>
                </c:pt>
                <c:pt idx="5">
                  <c:v>18000</c:v>
                </c:pt>
              </c:numCache>
            </c:numRef>
          </c:xVal>
          <c:yVal>
            <c:numRef>
              <c:f>'Solar dry'!$P$2:$P$7</c:f>
              <c:numCache>
                <c:formatCode>General</c:formatCode>
                <c:ptCount val="6"/>
                <c:pt idx="0">
                  <c:v>0</c:v>
                </c:pt>
                <c:pt idx="1">
                  <c:v>-0.15412411128706507</c:v>
                </c:pt>
                <c:pt idx="2">
                  <c:v>-0.15263739850625424</c:v>
                </c:pt>
                <c:pt idx="3">
                  <c:v>-0.24375951741081775</c:v>
                </c:pt>
                <c:pt idx="4">
                  <c:v>-0.49417350267104088</c:v>
                </c:pt>
                <c:pt idx="5">
                  <c:v>-0.61454022331251312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0F-4900-B169-DBD06FAE5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908520"/>
        <c:axId val="812909504"/>
      </c:scatterChart>
      <c:valAx>
        <c:axId val="812908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909504"/>
        <c:crosses val="autoZero"/>
        <c:crossBetween val="midCat"/>
      </c:valAx>
      <c:valAx>
        <c:axId val="812909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908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BSD!$H$1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595384951881015"/>
                  <c:y val="-0.739961723534558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BSD!$G$2:$G$19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</c:numCache>
            </c:numRef>
          </c:xVal>
          <c:yVal>
            <c:numRef>
              <c:f>BSD!$H$2:$H$19</c:f>
              <c:numCache>
                <c:formatCode>General</c:formatCode>
                <c:ptCount val="18"/>
                <c:pt idx="0">
                  <c:v>1</c:v>
                </c:pt>
                <c:pt idx="1">
                  <c:v>0.78013817796717011</c:v>
                </c:pt>
                <c:pt idx="2">
                  <c:v>0.7345797927330493</c:v>
                </c:pt>
                <c:pt idx="3">
                  <c:v>0.67467661816989843</c:v>
                </c:pt>
                <c:pt idx="4">
                  <c:v>0.58399102347512544</c:v>
                </c:pt>
                <c:pt idx="5">
                  <c:v>0.55544743942106467</c:v>
                </c:pt>
                <c:pt idx="6">
                  <c:v>0.50386797448246301</c:v>
                </c:pt>
                <c:pt idx="7">
                  <c:v>0.45990191381527518</c:v>
                </c:pt>
                <c:pt idx="8">
                  <c:v>0.43648856501676797</c:v>
                </c:pt>
                <c:pt idx="9">
                  <c:v>0.43073199021659647</c:v>
                </c:pt>
                <c:pt idx="10">
                  <c:v>0.38092954940870921</c:v>
                </c:pt>
                <c:pt idx="11">
                  <c:v>0.36075670087495904</c:v>
                </c:pt>
                <c:pt idx="12">
                  <c:v>0.3196500163897224</c:v>
                </c:pt>
                <c:pt idx="13">
                  <c:v>0.2301369172192945</c:v>
                </c:pt>
                <c:pt idx="14">
                  <c:v>0.15144733856123452</c:v>
                </c:pt>
                <c:pt idx="15">
                  <c:v>0.14558864318313625</c:v>
                </c:pt>
                <c:pt idx="16">
                  <c:v>0.13138757911192919</c:v>
                </c:pt>
                <c:pt idx="17">
                  <c:v>0.12921531052220178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B7-4F67-892A-2A73378ED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606072"/>
        <c:axId val="732607056"/>
      </c:scatterChart>
      <c:valAx>
        <c:axId val="732606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607056"/>
        <c:crosses val="autoZero"/>
        <c:crossBetween val="midCat"/>
      </c:valAx>
      <c:valAx>
        <c:axId val="73260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606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4" Type="http://schemas.openxmlformats.org/officeDocument/2006/relationships/chart" Target="../charts/chart3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0</xdr:row>
      <xdr:rowOff>68580</xdr:rowOff>
    </xdr:from>
    <xdr:to>
      <xdr:col>21</xdr:col>
      <xdr:colOff>342900</xdr:colOff>
      <xdr:row>16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5033AF-8AFC-4BD2-B703-D18CCBE6AA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84909</xdr:colOff>
      <xdr:row>17</xdr:row>
      <xdr:rowOff>143692</xdr:rowOff>
    </xdr:from>
    <xdr:to>
      <xdr:col>21</xdr:col>
      <xdr:colOff>389709</xdr:colOff>
      <xdr:row>39</xdr:row>
      <xdr:rowOff>67491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8703190-E1F5-4972-9686-DE7B9DB82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522513</xdr:colOff>
      <xdr:row>1</xdr:row>
      <xdr:rowOff>141516</xdr:rowOff>
    </xdr:from>
    <xdr:to>
      <xdr:col>33</xdr:col>
      <xdr:colOff>217713</xdr:colOff>
      <xdr:row>16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996730-FB3F-49DB-BA57-5CC9DF6D84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26</xdr:row>
      <xdr:rowOff>15240</xdr:rowOff>
    </xdr:from>
    <xdr:to>
      <xdr:col>16</xdr:col>
      <xdr:colOff>556260</xdr:colOff>
      <xdr:row>27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65E25F8-CA25-42A8-8ABF-1D887652A138}"/>
            </a:ext>
          </a:extLst>
        </xdr:cNvPr>
        <xdr:cNvSpPr txBox="1"/>
      </xdr:nvSpPr>
      <xdr:spPr>
        <a:xfrm>
          <a:off x="8839200" y="4800600"/>
          <a:ext cx="1470660" cy="320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MR = exp(-kt/(1+m)t)</a:t>
          </a:r>
          <a:endParaRPr lang="en-GB" sz="1100"/>
        </a:p>
      </xdr:txBody>
    </xdr:sp>
    <xdr:clientData/>
  </xdr:twoCellAnchor>
  <xdr:twoCellAnchor>
    <xdr:from>
      <xdr:col>4</xdr:col>
      <xdr:colOff>15240</xdr:colOff>
      <xdr:row>29</xdr:row>
      <xdr:rowOff>22860</xdr:rowOff>
    </xdr:from>
    <xdr:to>
      <xdr:col>7</xdr:col>
      <xdr:colOff>144780</xdr:colOff>
      <xdr:row>43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BE2E02-2F24-4409-AC6E-954298C3E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213360</xdr:colOff>
      <xdr:row>29</xdr:row>
      <xdr:rowOff>7620</xdr:rowOff>
    </xdr:from>
    <xdr:to>
      <xdr:col>10</xdr:col>
      <xdr:colOff>441960</xdr:colOff>
      <xdr:row>44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DF199D-5A4F-41F4-BA15-B906D0E97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24</xdr:row>
      <xdr:rowOff>144780</xdr:rowOff>
    </xdr:from>
    <xdr:to>
      <xdr:col>14</xdr:col>
      <xdr:colOff>586740</xdr:colOff>
      <xdr:row>26</xdr:row>
      <xdr:rowOff>129540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75A539F-D477-4B22-B90F-74384913172E}"/>
            </a:ext>
          </a:extLst>
        </xdr:cNvPr>
        <xdr:cNvSpPr txBox="1"/>
      </xdr:nvSpPr>
      <xdr:spPr>
        <a:xfrm>
          <a:off x="7970520" y="4572000"/>
          <a:ext cx="115062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rgbClr val="000000"/>
              </a:solidFill>
              <a:effectLst/>
              <a:latin typeface="MicrosoftSansSerif"/>
            </a:rPr>
            <a:t>M</a:t>
          </a:r>
          <a:r>
            <a:rPr lang="en-GB" sz="800" b="0" i="0" u="none" strike="noStrike">
              <a:solidFill>
                <a:srgbClr val="000000"/>
              </a:solidFill>
              <a:effectLst/>
              <a:latin typeface="MicrosoftSansSerif"/>
            </a:rPr>
            <a:t>R </a:t>
          </a:r>
          <a:r>
            <a:rPr lang="en-GB" sz="1100" b="0" i="0" u="none" strike="noStrike">
              <a:solidFill>
                <a:srgbClr val="000000"/>
              </a:solidFill>
              <a:effectLst/>
              <a:latin typeface="MicrosoftSansSerif"/>
            </a:rPr>
            <a:t>= 1 + at + bt</a:t>
          </a:r>
          <a:r>
            <a:rPr lang="en-GB" sz="1100" b="0" i="0" u="none" strike="noStrike" baseline="30000">
              <a:solidFill>
                <a:srgbClr val="000000"/>
              </a:solidFill>
              <a:effectLst/>
              <a:latin typeface="MicrosoftSansSerif"/>
            </a:rPr>
            <a:t>2</a:t>
          </a:r>
          <a:r>
            <a:rPr lang="en-GB"/>
            <a:t> </a:t>
          </a:r>
          <a:endParaRPr lang="en-GB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</xdr:colOff>
      <xdr:row>0</xdr:row>
      <xdr:rowOff>175260</xdr:rowOff>
    </xdr:from>
    <xdr:to>
      <xdr:col>16</xdr:col>
      <xdr:colOff>449580</xdr:colOff>
      <xdr:row>10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30C1337-C229-45CF-91B0-E5FF6716D8B4}"/>
            </a:ext>
          </a:extLst>
        </xdr:cNvPr>
        <xdr:cNvSpPr txBox="1"/>
      </xdr:nvSpPr>
      <xdr:spPr>
        <a:xfrm>
          <a:off x="5166360" y="175260"/>
          <a:ext cx="5036820" cy="1729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GB" sz="1100" b="0" i="0" u="none" strike="noStrike" baseline="0">
              <a:latin typeface="MicrosoftSansSerif"/>
            </a:rPr>
            <a:t>Model no. Model name Model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1 Newton 	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exp(-kt)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2 Page 	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exp(-kt</a:t>
          </a:r>
          <a:r>
            <a:rPr lang="en-GB" sz="1100" b="0" i="0" u="none" strike="noStrike" baseline="30000">
              <a:latin typeface="MicrosoftSansSerif"/>
            </a:rPr>
            <a:t>n</a:t>
          </a:r>
          <a:r>
            <a:rPr lang="en-GB" sz="1100" b="0" i="0" u="none" strike="noStrike" baseline="0">
              <a:latin typeface="MicrosoftSansSerif"/>
            </a:rPr>
            <a:t>)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3 Henderson and Pabis 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a exp(-kt)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4 Logarithmic 	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a exp(-kt) + b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5 Wang and Singh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1 + at + bt</a:t>
          </a:r>
          <a:r>
            <a:rPr lang="en-GB" sz="1100" b="0" i="0" u="none" strike="noStrike" baseline="30000">
              <a:latin typeface="MicrosoftSansSerif"/>
            </a:rPr>
            <a:t>2</a:t>
          </a:r>
          <a:endParaRPr lang="en-GB" sz="800" b="0" i="0" u="none" strike="noStrike" baseline="30000">
            <a:latin typeface="MicrosoftSansSerif"/>
          </a:endParaRPr>
        </a:p>
        <a:p>
          <a:pPr algn="l"/>
          <a:r>
            <a:rPr lang="en-GB" sz="1100" b="0" i="0" u="none" strike="noStrike" baseline="0">
              <a:latin typeface="MicrosoftSansSerif"/>
            </a:rPr>
            <a:t>6 Approximation of diffusion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a exp(-kt) + (1 - a) exp(-kbt)</a:t>
          </a:r>
        </a:p>
        <a:p>
          <a:pPr algn="l"/>
          <a:r>
            <a:rPr lang="en-GB" sz="1100" b="0" i="0" u="none" strike="noStrike" baseline="0">
              <a:latin typeface="MicrosoftSansSerif"/>
            </a:rPr>
            <a:t>7 Two-term exponential 		M</a:t>
          </a:r>
          <a:r>
            <a:rPr lang="en-GB" sz="800" b="0" i="0" u="none" strike="noStrike" baseline="0">
              <a:latin typeface="MicrosoftSansSerif"/>
            </a:rPr>
            <a:t>R </a:t>
          </a:r>
          <a:r>
            <a:rPr lang="en-GB" sz="1100" b="0" i="0" u="none" strike="noStrike" baseline="0">
              <a:latin typeface="MicrosoftSansSerif"/>
            </a:rPr>
            <a:t>= a exp(-kt) + (1 - a) exp(-kat)</a:t>
          </a:r>
          <a:endParaRPr lang="en-GB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576943</xdr:colOff>
      <xdr:row>52</xdr:row>
      <xdr:rowOff>165735</xdr:rowOff>
    </xdr:from>
    <xdr:to>
      <xdr:col>13</xdr:col>
      <xdr:colOff>228600</xdr:colOff>
      <xdr:row>67</xdr:row>
      <xdr:rowOff>154849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1588EB-A79E-6336-D62B-4E9924EAD6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51979</xdr:rowOff>
    </xdr:from>
    <xdr:to>
      <xdr:col>5</xdr:col>
      <xdr:colOff>598714</xdr:colOff>
      <xdr:row>50</xdr:row>
      <xdr:rowOff>84636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02488F-815C-1755-DA65-88F11B288F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74840</xdr:colOff>
      <xdr:row>35</xdr:row>
      <xdr:rowOff>42182</xdr:rowOff>
    </xdr:from>
    <xdr:to>
      <xdr:col>12</xdr:col>
      <xdr:colOff>217714</xdr:colOff>
      <xdr:row>50</xdr:row>
      <xdr:rowOff>43543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DB3D071-17A9-C5FC-DAAC-86409CA1E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51</xdr:row>
      <xdr:rowOff>86269</xdr:rowOff>
    </xdr:from>
    <xdr:to>
      <xdr:col>5</xdr:col>
      <xdr:colOff>533400</xdr:colOff>
      <xdr:row>66</xdr:row>
      <xdr:rowOff>173355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806FB06-DFFB-B6D1-26E5-4CDB254D21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2</xdr:row>
      <xdr:rowOff>95250</xdr:rowOff>
    </xdr:from>
    <xdr:to>
      <xdr:col>11</xdr:col>
      <xdr:colOff>158750</xdr:colOff>
      <xdr:row>17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010BE6-D0FA-6B3F-B9BF-6AB40AED3D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406400</xdr:colOff>
      <xdr:row>5</xdr:row>
      <xdr:rowOff>120650</xdr:rowOff>
    </xdr:from>
    <xdr:to>
      <xdr:col>3</xdr:col>
      <xdr:colOff>304800</xdr:colOff>
      <xdr:row>7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B657C71-A03A-A795-33DC-CF9409C12380}"/>
            </a:ext>
          </a:extLst>
        </xdr:cNvPr>
        <xdr:cNvSpPr txBox="1"/>
      </xdr:nvSpPr>
      <xdr:spPr>
        <a:xfrm>
          <a:off x="1016000" y="1041400"/>
          <a:ext cx="1117600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accent1"/>
              </a:solidFill>
            </a:rPr>
            <a:t>D</a:t>
          </a:r>
          <a:r>
            <a:rPr lang="en-GB" sz="1100" baseline="-25000">
              <a:solidFill>
                <a:schemeClr val="accent1"/>
              </a:solidFill>
            </a:rPr>
            <a:t>eff</a:t>
          </a:r>
          <a:r>
            <a:rPr lang="en-GB" sz="1100">
              <a:solidFill>
                <a:schemeClr val="accent1"/>
              </a:solidFill>
            </a:rPr>
            <a:t> = 4.13E-09</a:t>
          </a:r>
        </a:p>
      </xdr:txBody>
    </xdr:sp>
    <xdr:clientData/>
  </xdr:twoCellAnchor>
  <xdr:twoCellAnchor>
    <xdr:from>
      <xdr:col>3</xdr:col>
      <xdr:colOff>247650</xdr:colOff>
      <xdr:row>10</xdr:row>
      <xdr:rowOff>57150</xdr:rowOff>
    </xdr:from>
    <xdr:to>
      <xdr:col>5</xdr:col>
      <xdr:colOff>95250</xdr:colOff>
      <xdr:row>11</xdr:row>
      <xdr:rowOff>165100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9AE1A5-6104-4DB3-9F0F-3049F613694D}"/>
            </a:ext>
          </a:extLst>
        </xdr:cNvPr>
        <xdr:cNvSpPr txBox="1"/>
      </xdr:nvSpPr>
      <xdr:spPr>
        <a:xfrm>
          <a:off x="2076450" y="1898650"/>
          <a:ext cx="1066800" cy="292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accent3"/>
              </a:solidFill>
            </a:rPr>
            <a:t>D</a:t>
          </a:r>
          <a:r>
            <a:rPr lang="en-GB" sz="1100" b="1" baseline="-25000">
              <a:solidFill>
                <a:schemeClr val="accent3"/>
              </a:solidFill>
            </a:rPr>
            <a:t>eff</a:t>
          </a:r>
          <a:r>
            <a:rPr lang="en-GB" sz="1100" b="1">
              <a:solidFill>
                <a:schemeClr val="accent3"/>
              </a:solidFill>
            </a:rPr>
            <a:t> = 1.48E-10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129541</xdr:colOff>
      <xdr:row>22</xdr:row>
      <xdr:rowOff>102870</xdr:rowOff>
    </xdr:from>
    <xdr:to>
      <xdr:col>24</xdr:col>
      <xdr:colOff>44874</xdr:colOff>
      <xdr:row>37</xdr:row>
      <xdr:rowOff>52070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00523E-80B0-721F-F67F-369230824E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118533</xdr:colOff>
      <xdr:row>0</xdr:row>
      <xdr:rowOff>0</xdr:rowOff>
    </xdr:from>
    <xdr:to>
      <xdr:col>15</xdr:col>
      <xdr:colOff>423333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7053A1-A130-4258-B079-296311A98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95249</xdr:colOff>
      <xdr:row>18</xdr:row>
      <xdr:rowOff>64770</xdr:rowOff>
    </xdr:from>
    <xdr:to>
      <xdr:col>26</xdr:col>
      <xdr:colOff>180974</xdr:colOff>
      <xdr:row>34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E130B2-A06C-303A-C724-6FBFD3AC3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</xdr:colOff>
      <xdr:row>0</xdr:row>
      <xdr:rowOff>161925</xdr:rowOff>
    </xdr:from>
    <xdr:to>
      <xdr:col>27</xdr:col>
      <xdr:colOff>114300</xdr:colOff>
      <xdr:row>17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1E18C9-06BF-4391-8139-1B69CC04DF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487679</xdr:colOff>
      <xdr:row>19</xdr:row>
      <xdr:rowOff>123825</xdr:rowOff>
    </xdr:from>
    <xdr:to>
      <xdr:col>23</xdr:col>
      <xdr:colOff>260984</xdr:colOff>
      <xdr:row>37</xdr:row>
      <xdr:rowOff>32385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A7E2A-77B6-4817-FC93-35BFE06554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352425</xdr:colOff>
      <xdr:row>1</xdr:row>
      <xdr:rowOff>76200</xdr:rowOff>
    </xdr:from>
    <xdr:to>
      <xdr:col>27</xdr:col>
      <xdr:colOff>125730</xdr:colOff>
      <xdr:row>20</xdr:row>
      <xdr:rowOff>41910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31735B-E6AF-46EB-B5DC-7EE2B1174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55245</xdr:colOff>
      <xdr:row>17</xdr:row>
      <xdr:rowOff>66675</xdr:rowOff>
    </xdr:from>
    <xdr:to>
      <xdr:col>26</xdr:col>
      <xdr:colOff>569595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9E28A0-6B46-636B-231C-BD7B3FBE74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26</xdr:col>
      <xdr:colOff>514350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200C11-85AA-4DDC-BF29-1B10704E9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179070</xdr:rowOff>
    </xdr:from>
    <xdr:to>
      <xdr:col>15</xdr:col>
      <xdr:colOff>228600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42AA9E-C6D8-4D70-B948-F5457B0524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396240</xdr:colOff>
      <xdr:row>18</xdr:row>
      <xdr:rowOff>179070</xdr:rowOff>
    </xdr:from>
    <xdr:to>
      <xdr:col>13</xdr:col>
      <xdr:colOff>91440</xdr:colOff>
      <xdr:row>33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929B30-E4FA-4AA2-883E-6054DAE3C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83820</xdr:colOff>
      <xdr:row>16</xdr:row>
      <xdr:rowOff>30480</xdr:rowOff>
    </xdr:from>
    <xdr:to>
      <xdr:col>17</xdr:col>
      <xdr:colOff>388620</xdr:colOff>
      <xdr:row>38</xdr:row>
      <xdr:rowOff>83820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A7E0E5-1AA8-4DAB-B151-8F1900D47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594360</xdr:colOff>
      <xdr:row>17</xdr:row>
      <xdr:rowOff>160020</xdr:rowOff>
    </xdr:from>
    <xdr:to>
      <xdr:col>26</xdr:col>
      <xdr:colOff>289560</xdr:colOff>
      <xdr:row>40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A8D4186-AF01-45DD-9F0E-C25B4EA08F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83820</xdr:colOff>
      <xdr:row>0</xdr:row>
      <xdr:rowOff>171450</xdr:rowOff>
    </xdr:from>
    <xdr:to>
      <xdr:col>25</xdr:col>
      <xdr:colOff>388620</xdr:colOff>
      <xdr:row>15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90390A-90C0-4BC7-8A09-5394D98780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251460</xdr:colOff>
      <xdr:row>0</xdr:row>
      <xdr:rowOff>76200</xdr:rowOff>
    </xdr:from>
    <xdr:to>
      <xdr:col>29</xdr:col>
      <xdr:colOff>556260</xdr:colOff>
      <xdr:row>24</xdr:row>
      <xdr:rowOff>160020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91FD69E-5C31-45C2-B9CE-D856DE59A9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487680</xdr:colOff>
      <xdr:row>22</xdr:row>
      <xdr:rowOff>137160</xdr:rowOff>
    </xdr:from>
    <xdr:to>
      <xdr:col>20</xdr:col>
      <xdr:colOff>182880</xdr:colOff>
      <xdr:row>47</xdr:row>
      <xdr:rowOff>99060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18AA40F-F67A-4F6C-AE17-3AEE0594C5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114300</xdr:colOff>
      <xdr:row>0</xdr:row>
      <xdr:rowOff>19050</xdr:rowOff>
    </xdr:from>
    <xdr:to>
      <xdr:col>24</xdr:col>
      <xdr:colOff>419100</xdr:colOff>
      <xdr:row>15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816DB0-31D0-4D98-824F-444AB54A10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17</xdr:row>
      <xdr:rowOff>22860</xdr:rowOff>
    </xdr:from>
    <xdr:to>
      <xdr:col>13</xdr:col>
      <xdr:colOff>396240</xdr:colOff>
      <xdr:row>32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50A9B1-BF26-4233-AD76-6D6EE27584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365760</xdr:colOff>
      <xdr:row>19</xdr:row>
      <xdr:rowOff>137160</xdr:rowOff>
    </xdr:from>
    <xdr:to>
      <xdr:col>19</xdr:col>
      <xdr:colOff>373380</xdr:colOff>
      <xdr:row>33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F89E98-75EE-4572-9C8D-16B2914A3B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480060</xdr:colOff>
      <xdr:row>0</xdr:row>
      <xdr:rowOff>0</xdr:rowOff>
    </xdr:from>
    <xdr:to>
      <xdr:col>23</xdr:col>
      <xdr:colOff>175260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0709D2-1473-4D05-9C4C-F80E34A684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152400</xdr:rowOff>
    </xdr:from>
    <xdr:to>
      <xdr:col>3</xdr:col>
      <xdr:colOff>342900</xdr:colOff>
      <xdr:row>48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4F1FBF-E109-4029-B099-E7D8D7AD48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487680</xdr:colOff>
      <xdr:row>32</xdr:row>
      <xdr:rowOff>167640</xdr:rowOff>
    </xdr:from>
    <xdr:to>
      <xdr:col>7</xdr:col>
      <xdr:colOff>68580</xdr:colOff>
      <xdr:row>48</xdr:row>
      <xdr:rowOff>91440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4DAAE4-7E13-4034-8FCE-AD489017AD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251460</xdr:colOff>
      <xdr:row>32</xdr:row>
      <xdr:rowOff>175260</xdr:rowOff>
    </xdr:from>
    <xdr:to>
      <xdr:col>10</xdr:col>
      <xdr:colOff>365760</xdr:colOff>
      <xdr:row>48</xdr:row>
      <xdr:rowOff>121920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B725199-9E7B-4EE6-89BC-9AA59DC4B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396240</xdr:colOff>
      <xdr:row>32</xdr:row>
      <xdr:rowOff>152400</xdr:rowOff>
    </xdr:from>
    <xdr:to>
      <xdr:col>14</xdr:col>
      <xdr:colOff>228600</xdr:colOff>
      <xdr:row>48</xdr:row>
      <xdr:rowOff>121920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1689FCD-DE76-41FF-86C7-B459E1EAFC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533400</xdr:colOff>
      <xdr:row>6</xdr:row>
      <xdr:rowOff>148590</xdr:rowOff>
    </xdr:from>
    <xdr:to>
      <xdr:col>14</xdr:col>
      <xdr:colOff>563880</xdr:colOff>
      <xdr:row>21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58BC6F-B602-4332-9474-AE4EE1BCF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304800</xdr:colOff>
      <xdr:row>1</xdr:row>
      <xdr:rowOff>33020</xdr:rowOff>
    </xdr:from>
    <xdr:to>
      <xdr:col>27</xdr:col>
      <xdr:colOff>558800</xdr:colOff>
      <xdr:row>4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D5DC4B-F555-4F04-A4AE-B989E85471B9}"/>
            </a:ext>
          </a:extLst>
        </xdr:cNvPr>
        <xdr:cNvSpPr txBox="1"/>
      </xdr:nvSpPr>
      <xdr:spPr>
        <a:xfrm>
          <a:off x="14935200" y="236220"/>
          <a:ext cx="2082800" cy="614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400" b="0" i="0" u="none" strike="noStrike">
              <a:solidFill>
                <a:srgbClr val="000000"/>
              </a:solidFill>
              <a:effectLst/>
              <a:latin typeface="MicrosoftSansSerif"/>
            </a:rPr>
            <a:t>MR = exp(-kt</a:t>
          </a:r>
          <a:r>
            <a:rPr lang="en-GB" sz="2400" b="0" i="0" u="none" strike="noStrike" baseline="30000">
              <a:solidFill>
                <a:srgbClr val="000000"/>
              </a:solidFill>
              <a:effectLst/>
              <a:latin typeface="MicrosoftSansSerif"/>
            </a:rPr>
            <a:t>n</a:t>
          </a:r>
          <a:r>
            <a:rPr lang="en-GB" sz="2400" b="0" i="0" u="none" strike="noStrike">
              <a:solidFill>
                <a:srgbClr val="000000"/>
              </a:solidFill>
              <a:effectLst/>
              <a:latin typeface="MicrosoftSansSerif"/>
            </a:rPr>
            <a:t>)</a:t>
          </a:r>
          <a:r>
            <a:rPr lang="en-GB" sz="2400"/>
            <a:t> </a:t>
          </a:r>
        </a:p>
      </xdr:txBody>
    </xdr:sp>
    <xdr:clientData/>
  </xdr:twoCellAnchor>
  <xdr:twoCellAnchor>
    <xdr:from>
      <xdr:col>20</xdr:col>
      <xdr:colOff>64078</xdr:colOff>
      <xdr:row>5</xdr:row>
      <xdr:rowOff>102177</xdr:rowOff>
    </xdr:from>
    <xdr:to>
      <xdr:col>27</xdr:col>
      <xdr:colOff>368878</xdr:colOff>
      <xdr:row>21</xdr:row>
      <xdr:rowOff>2886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1F54396C-D4A0-6A81-7BB4-346B572BA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6350</xdr:colOff>
      <xdr:row>33</xdr:row>
      <xdr:rowOff>31750</xdr:rowOff>
    </xdr:from>
    <xdr:to>
      <xdr:col>32</xdr:col>
      <xdr:colOff>311150</xdr:colOff>
      <xdr:row>48</xdr:row>
      <xdr:rowOff>57150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A0F0F84-31E5-A079-171E-5D2659367A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510540</xdr:colOff>
      <xdr:row>26</xdr:row>
      <xdr:rowOff>114300</xdr:rowOff>
    </xdr:from>
    <xdr:to>
      <xdr:col>12</xdr:col>
      <xdr:colOff>388620</xdr:colOff>
      <xdr:row>28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FF38B10-E2B4-4D06-99EA-B5655A6528DD}"/>
            </a:ext>
          </a:extLst>
        </xdr:cNvPr>
        <xdr:cNvSpPr txBox="1"/>
      </xdr:nvSpPr>
      <xdr:spPr>
        <a:xfrm>
          <a:off x="6606540" y="4899660"/>
          <a:ext cx="10972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MR = a exp(-kt)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0</xdr:col>
      <xdr:colOff>0</xdr:colOff>
      <xdr:row>34</xdr:row>
      <xdr:rowOff>7620</xdr:rowOff>
    </xdr:from>
    <xdr:to>
      <xdr:col>3</xdr:col>
      <xdr:colOff>201930</xdr:colOff>
      <xdr:row>49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649DAB-F096-46DD-BFF1-4BB2FAADA7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243840</xdr:colOff>
      <xdr:row>34</xdr:row>
      <xdr:rowOff>7620</xdr:rowOff>
    </xdr:from>
    <xdr:to>
      <xdr:col>6</xdr:col>
      <xdr:colOff>373380</xdr:colOff>
      <xdr:row>49</xdr:row>
      <xdr:rowOff>137160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0BDE8E-6C4D-4ABE-BE16-F5B065C424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449580</xdr:colOff>
      <xdr:row>33</xdr:row>
      <xdr:rowOff>175260</xdr:rowOff>
    </xdr:from>
    <xdr:to>
      <xdr:col>9</xdr:col>
      <xdr:colOff>563880</xdr:colOff>
      <xdr:row>49</xdr:row>
      <xdr:rowOff>121920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1EA682-C0F3-4CF7-A26D-ACF2AC5B9F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22860</xdr:colOff>
      <xdr:row>34</xdr:row>
      <xdr:rowOff>7620</xdr:rowOff>
    </xdr:from>
    <xdr:to>
      <xdr:col>13</xdr:col>
      <xdr:colOff>0</xdr:colOff>
      <xdr:row>49</xdr:row>
      <xdr:rowOff>160020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65DE9CC-9F18-4969-B156-C33FF3B6C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190500</xdr:colOff>
      <xdr:row>30</xdr:row>
      <xdr:rowOff>38100</xdr:rowOff>
    </xdr:from>
    <xdr:to>
      <xdr:col>21</xdr:col>
      <xdr:colOff>426720</xdr:colOff>
      <xdr:row>31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730F309-17F9-4D6E-84B4-99B259E2424E}"/>
            </a:ext>
          </a:extLst>
        </xdr:cNvPr>
        <xdr:cNvSpPr txBox="1"/>
      </xdr:nvSpPr>
      <xdr:spPr>
        <a:xfrm>
          <a:off x="11163300" y="5554980"/>
          <a:ext cx="2065020" cy="297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MR = a exp(-kt) + (1 - a) exp(-kat)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1</xdr:col>
      <xdr:colOff>137160</xdr:colOff>
      <xdr:row>25</xdr:row>
      <xdr:rowOff>144780</xdr:rowOff>
    </xdr:from>
    <xdr:to>
      <xdr:col>4</xdr:col>
      <xdr:colOff>312420</xdr:colOff>
      <xdr:row>41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1286CF-F7ED-49AE-B7C9-4C60D13A4F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25</xdr:row>
      <xdr:rowOff>160020</xdr:rowOff>
    </xdr:from>
    <xdr:to>
      <xdr:col>7</xdr:col>
      <xdr:colOff>594360</xdr:colOff>
      <xdr:row>40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16EA9-A827-4626-BA7E-1612CFA5FA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</xdr:colOff>
      <xdr:row>25</xdr:row>
      <xdr:rowOff>167640</xdr:rowOff>
    </xdr:from>
    <xdr:to>
      <xdr:col>11</xdr:col>
      <xdr:colOff>114300</xdr:colOff>
      <xdr:row>40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B540CF-43E0-4B4D-A21E-894C1FCE6E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152400</xdr:colOff>
      <xdr:row>25</xdr:row>
      <xdr:rowOff>167640</xdr:rowOff>
    </xdr:from>
    <xdr:to>
      <xdr:col>14</xdr:col>
      <xdr:colOff>441960</xdr:colOff>
      <xdr:row>40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208BA07-CA9B-4E94-AEDC-2E96A14ABB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D8440-C29B-4E7B-92A1-C9D48BD467CA}">
  <dimension ref="A1:W26"/>
  <sheetViews>
    <sheetView workbookViewId="0">
      <selection activeCell="G2" sqref="G2"/>
    </sheetView>
  </sheetViews>
  <sheetFormatPr defaultRowHeight="14.4"/>
  <cols>
    <col min="9" max="9" width="3.21875" customWidth="1"/>
    <col min="14" max="14" width="2.109375" customWidth="1"/>
  </cols>
  <sheetData>
    <row r="1" spans="1:23">
      <c r="A1" t="s">
        <v>24</v>
      </c>
      <c r="B1" t="s">
        <v>25</v>
      </c>
      <c r="H1" t="s">
        <v>26</v>
      </c>
      <c r="M1" t="s">
        <v>37</v>
      </c>
      <c r="N1" t="s">
        <v>38</v>
      </c>
      <c r="R1" t="s">
        <v>27</v>
      </c>
    </row>
    <row r="2" spans="1:23">
      <c r="A2" t="s">
        <v>0</v>
      </c>
      <c r="B2">
        <v>24.66</v>
      </c>
      <c r="C2">
        <v>44.99</v>
      </c>
      <c r="D2" t="s">
        <v>28</v>
      </c>
      <c r="E2">
        <v>0.12</v>
      </c>
      <c r="F2" s="3">
        <f>B2*100/67.43</f>
        <v>36.571259083493992</v>
      </c>
      <c r="G2" s="3">
        <f>F2*(100-33.28)/100</f>
        <v>24.400344060507191</v>
      </c>
      <c r="H2">
        <v>25.8</v>
      </c>
      <c r="I2" t="s">
        <v>28</v>
      </c>
      <c r="J2">
        <v>0.36</v>
      </c>
      <c r="K2" s="3">
        <f>H2*100/47.83</f>
        <v>53.941041187539206</v>
      </c>
      <c r="L2" s="3">
        <f>K2*(100-36.84)/100</f>
        <v>34.069161614049762</v>
      </c>
      <c r="M2">
        <v>27</v>
      </c>
      <c r="N2" t="s">
        <v>28</v>
      </c>
      <c r="O2">
        <v>0.43</v>
      </c>
      <c r="P2">
        <f>M2*100/50.5</f>
        <v>53.465346534653463</v>
      </c>
      <c r="R2">
        <v>15</v>
      </c>
      <c r="T2" t="s">
        <v>29</v>
      </c>
      <c r="U2" t="s">
        <v>30</v>
      </c>
      <c r="V2" t="s">
        <v>31</v>
      </c>
      <c r="W2" t="s">
        <v>32</v>
      </c>
    </row>
    <row r="3" spans="1:23">
      <c r="A3" t="s">
        <v>1</v>
      </c>
      <c r="B3">
        <v>48.05</v>
      </c>
      <c r="D3" t="s">
        <v>28</v>
      </c>
      <c r="E3">
        <v>0.9</v>
      </c>
      <c r="F3" s="3">
        <f t="shared" ref="F3:F19" si="0">B3*100/67.43</f>
        <v>71.259083493993771</v>
      </c>
      <c r="G3" s="3">
        <f t="shared" ref="G3:G19" si="1">F3*(100-33.28)/100</f>
        <v>47.544060507192647</v>
      </c>
      <c r="H3">
        <v>48.92</v>
      </c>
      <c r="I3" t="s">
        <v>28</v>
      </c>
      <c r="J3">
        <v>0.63</v>
      </c>
      <c r="K3" s="3">
        <f t="shared" ref="K3:K19" si="2">H3*100/47.83</f>
        <v>102.27890445327201</v>
      </c>
      <c r="L3" s="3">
        <f t="shared" ref="L3:L19" si="3">K3*(100-36.84)/100</f>
        <v>64.599356052686602</v>
      </c>
      <c r="M3">
        <v>50.59</v>
      </c>
      <c r="N3" t="s">
        <v>28</v>
      </c>
      <c r="O3">
        <v>0.2</v>
      </c>
      <c r="R3" t="s">
        <v>2</v>
      </c>
    </row>
    <row r="4" spans="1:23">
      <c r="A4" t="s">
        <v>3</v>
      </c>
      <c r="B4">
        <v>57.31</v>
      </c>
      <c r="D4" t="s">
        <v>28</v>
      </c>
      <c r="E4">
        <v>3.49</v>
      </c>
      <c r="F4" s="3">
        <f t="shared" si="0"/>
        <v>84.991843393148443</v>
      </c>
      <c r="G4" s="3">
        <f t="shared" si="1"/>
        <v>56.706557911908639</v>
      </c>
      <c r="H4">
        <v>55.04</v>
      </c>
      <c r="I4" t="s">
        <v>28</v>
      </c>
      <c r="J4">
        <v>3.04</v>
      </c>
      <c r="K4" s="3">
        <f t="shared" si="2"/>
        <v>115.07422120008363</v>
      </c>
      <c r="L4" s="3">
        <f t="shared" si="3"/>
        <v>72.680878109972824</v>
      </c>
      <c r="M4">
        <v>61.77</v>
      </c>
      <c r="N4" t="s">
        <v>28</v>
      </c>
      <c r="O4">
        <v>3.99</v>
      </c>
      <c r="R4" t="s">
        <v>2</v>
      </c>
      <c r="T4" t="s">
        <v>33</v>
      </c>
      <c r="U4" t="s">
        <v>34</v>
      </c>
      <c r="V4" t="s">
        <v>35</v>
      </c>
      <c r="W4" t="s">
        <v>36</v>
      </c>
    </row>
    <row r="5" spans="1:23">
      <c r="A5" t="s">
        <v>4</v>
      </c>
      <c r="B5">
        <v>60.72</v>
      </c>
      <c r="D5" t="s">
        <v>28</v>
      </c>
      <c r="E5">
        <v>0.9</v>
      </c>
      <c r="F5" s="3">
        <f t="shared" si="0"/>
        <v>90.048939641109286</v>
      </c>
      <c r="G5" s="3">
        <f t="shared" si="1"/>
        <v>60.080652528548114</v>
      </c>
      <c r="H5">
        <v>64.86</v>
      </c>
      <c r="I5" t="s">
        <v>28</v>
      </c>
      <c r="J5">
        <v>0.79</v>
      </c>
      <c r="K5" s="3">
        <f t="shared" si="2"/>
        <v>135.60526865983692</v>
      </c>
      <c r="L5" s="3">
        <f t="shared" si="3"/>
        <v>85.648287685553001</v>
      </c>
      <c r="M5">
        <v>59.38</v>
      </c>
      <c r="N5" t="s">
        <v>28</v>
      </c>
      <c r="O5">
        <v>0.03</v>
      </c>
      <c r="R5" t="s">
        <v>2</v>
      </c>
    </row>
    <row r="6" spans="1:23">
      <c r="A6" t="s">
        <v>5</v>
      </c>
      <c r="B6">
        <v>96.79</v>
      </c>
      <c r="D6" t="s">
        <v>28</v>
      </c>
      <c r="E6">
        <v>3.2</v>
      </c>
      <c r="F6" s="3">
        <f t="shared" si="0"/>
        <v>143.54145039300013</v>
      </c>
      <c r="G6" s="3">
        <f t="shared" si="1"/>
        <v>95.770855702209687</v>
      </c>
      <c r="H6">
        <v>92.95</v>
      </c>
      <c r="I6" t="s">
        <v>28</v>
      </c>
      <c r="J6">
        <v>3.14</v>
      </c>
      <c r="K6" s="3">
        <f t="shared" si="2"/>
        <v>194.33409993727787</v>
      </c>
      <c r="L6" s="3">
        <f t="shared" si="3"/>
        <v>122.74141752038469</v>
      </c>
      <c r="M6">
        <v>95</v>
      </c>
      <c r="N6" t="s">
        <v>28</v>
      </c>
      <c r="O6">
        <v>3.67</v>
      </c>
      <c r="R6" t="s">
        <v>2</v>
      </c>
      <c r="T6">
        <f>44.99*100/(100-33.28)</f>
        <v>67.431055155875299</v>
      </c>
    </row>
    <row r="7" spans="1:23">
      <c r="A7" t="s">
        <v>6</v>
      </c>
      <c r="B7">
        <v>123.3</v>
      </c>
      <c r="D7" t="s">
        <v>28</v>
      </c>
      <c r="E7">
        <v>4.71</v>
      </c>
      <c r="F7" s="3">
        <f t="shared" si="0"/>
        <v>182.85629541746994</v>
      </c>
      <c r="G7" s="3">
        <f t="shared" si="1"/>
        <v>122.00172030253594</v>
      </c>
      <c r="H7">
        <v>124.7</v>
      </c>
      <c r="I7" t="s">
        <v>28</v>
      </c>
      <c r="J7">
        <v>4.22</v>
      </c>
      <c r="K7" s="3">
        <f t="shared" si="2"/>
        <v>260.71503240643949</v>
      </c>
      <c r="L7" s="3">
        <f t="shared" si="3"/>
        <v>164.66761446790719</v>
      </c>
      <c r="M7">
        <v>122.6</v>
      </c>
      <c r="N7" t="s">
        <v>28</v>
      </c>
      <c r="O7">
        <v>4.0999999999999996</v>
      </c>
      <c r="R7" t="s">
        <v>2</v>
      </c>
    </row>
    <row r="8" spans="1:23">
      <c r="A8" t="s">
        <v>7</v>
      </c>
      <c r="B8">
        <v>41.75</v>
      </c>
      <c r="D8" t="s">
        <v>28</v>
      </c>
      <c r="E8">
        <v>0.57999999999999996</v>
      </c>
      <c r="F8" s="3">
        <f t="shared" si="0"/>
        <v>61.916061100400412</v>
      </c>
      <c r="G8" s="3">
        <f t="shared" si="1"/>
        <v>41.310395966187151</v>
      </c>
      <c r="H8">
        <v>42.98</v>
      </c>
      <c r="I8" t="s">
        <v>28</v>
      </c>
      <c r="J8">
        <v>0.38</v>
      </c>
      <c r="K8" s="3">
        <f t="shared" si="2"/>
        <v>89.859920551954843</v>
      </c>
      <c r="L8" s="3">
        <f t="shared" si="3"/>
        <v>56.755525820614679</v>
      </c>
      <c r="M8">
        <v>42.78</v>
      </c>
      <c r="N8" t="s">
        <v>28</v>
      </c>
      <c r="O8">
        <v>0.45</v>
      </c>
      <c r="R8">
        <v>23</v>
      </c>
    </row>
    <row r="9" spans="1:23">
      <c r="A9" t="s">
        <v>8</v>
      </c>
      <c r="B9">
        <v>117</v>
      </c>
      <c r="D9" t="s">
        <v>28</v>
      </c>
      <c r="E9">
        <v>4.96</v>
      </c>
      <c r="F9" s="3">
        <f t="shared" si="0"/>
        <v>173.51327302387659</v>
      </c>
      <c r="G9" s="3">
        <f t="shared" si="1"/>
        <v>115.76805576153046</v>
      </c>
      <c r="H9">
        <v>117.3</v>
      </c>
      <c r="I9" t="s">
        <v>28</v>
      </c>
      <c r="J9">
        <v>4.46</v>
      </c>
      <c r="K9" s="3">
        <f t="shared" si="2"/>
        <v>245.24357098055614</v>
      </c>
      <c r="L9" s="3">
        <f t="shared" si="3"/>
        <v>154.89583943131925</v>
      </c>
      <c r="M9">
        <v>104.73</v>
      </c>
      <c r="N9" t="s">
        <v>28</v>
      </c>
      <c r="O9">
        <v>4.5599999999999996</v>
      </c>
      <c r="R9" t="s">
        <v>2</v>
      </c>
    </row>
    <row r="10" spans="1:23">
      <c r="A10" t="s">
        <v>9</v>
      </c>
      <c r="B10">
        <v>62.61</v>
      </c>
      <c r="D10" t="s">
        <v>28</v>
      </c>
      <c r="E10">
        <v>1.65</v>
      </c>
      <c r="F10" s="3">
        <f t="shared" si="0"/>
        <v>92.851846359187292</v>
      </c>
      <c r="G10" s="3">
        <f t="shared" si="1"/>
        <v>61.950751890849759</v>
      </c>
      <c r="H10">
        <v>64.63</v>
      </c>
      <c r="I10" t="s">
        <v>28</v>
      </c>
      <c r="J10">
        <v>1.74</v>
      </c>
      <c r="K10" s="3">
        <f t="shared" si="2"/>
        <v>135.12439891281622</v>
      </c>
      <c r="L10" s="3">
        <f t="shared" si="3"/>
        <v>85.344570353334717</v>
      </c>
      <c r="M10">
        <v>61.34</v>
      </c>
      <c r="N10" t="s">
        <v>28</v>
      </c>
      <c r="O10">
        <v>1.64</v>
      </c>
      <c r="R10" t="s">
        <v>2</v>
      </c>
    </row>
    <row r="11" spans="1:23">
      <c r="A11" t="s">
        <v>10</v>
      </c>
      <c r="B11">
        <v>5.18</v>
      </c>
      <c r="D11" t="s">
        <v>28</v>
      </c>
      <c r="E11">
        <v>2.13</v>
      </c>
      <c r="F11" s="3">
        <f t="shared" si="0"/>
        <v>7.6820406347323145</v>
      </c>
      <c r="G11" s="3">
        <f t="shared" si="1"/>
        <v>5.1254575114934005</v>
      </c>
      <c r="H11">
        <v>2.86</v>
      </c>
      <c r="I11" t="s">
        <v>28</v>
      </c>
      <c r="J11">
        <v>2.5299999999999998</v>
      </c>
      <c r="K11" s="3">
        <f t="shared" si="2"/>
        <v>5.9795107673008578</v>
      </c>
      <c r="L11" s="3">
        <f t="shared" si="3"/>
        <v>3.7766590006272218</v>
      </c>
      <c r="M11">
        <v>6.88</v>
      </c>
      <c r="N11" t="s">
        <v>28</v>
      </c>
      <c r="O11">
        <v>2.69</v>
      </c>
      <c r="R11">
        <v>6</v>
      </c>
    </row>
    <row r="12" spans="1:23">
      <c r="A12" t="s">
        <v>11</v>
      </c>
      <c r="B12">
        <v>54.77</v>
      </c>
      <c r="D12" t="s">
        <v>28</v>
      </c>
      <c r="E12">
        <v>3.89</v>
      </c>
      <c r="F12" s="3">
        <f t="shared" si="0"/>
        <v>81.224974047160003</v>
      </c>
      <c r="G12" s="3">
        <f t="shared" si="1"/>
        <v>54.193302684265156</v>
      </c>
      <c r="H12">
        <v>53.8</v>
      </c>
      <c r="I12" t="s">
        <v>28</v>
      </c>
      <c r="J12">
        <v>3.26</v>
      </c>
      <c r="K12" s="3">
        <f t="shared" si="2"/>
        <v>112.48170604223291</v>
      </c>
      <c r="L12" s="3">
        <f t="shared" si="3"/>
        <v>71.043445536274305</v>
      </c>
      <c r="M12">
        <v>53.16</v>
      </c>
      <c r="N12" t="s">
        <v>28</v>
      </c>
      <c r="O12">
        <v>3.29</v>
      </c>
      <c r="R12">
        <v>45</v>
      </c>
    </row>
    <row r="13" spans="1:23">
      <c r="A13" t="s">
        <v>12</v>
      </c>
      <c r="B13">
        <v>52.53</v>
      </c>
      <c r="D13" t="s">
        <v>28</v>
      </c>
      <c r="E13">
        <v>4.46</v>
      </c>
      <c r="F13" s="3">
        <f t="shared" si="0"/>
        <v>77.903010529437921</v>
      </c>
      <c r="G13" s="3">
        <f t="shared" si="1"/>
        <v>51.976888625240981</v>
      </c>
      <c r="H13">
        <v>49.57</v>
      </c>
      <c r="I13" t="s">
        <v>28</v>
      </c>
      <c r="J13">
        <v>4.16</v>
      </c>
      <c r="K13" s="3">
        <f t="shared" si="2"/>
        <v>103.63788417311311</v>
      </c>
      <c r="L13" s="3">
        <f t="shared" si="3"/>
        <v>65.45768764373824</v>
      </c>
      <c r="M13">
        <v>55.19</v>
      </c>
      <c r="N13" t="s">
        <v>28</v>
      </c>
      <c r="O13">
        <v>4.1500000000000004</v>
      </c>
      <c r="R13" t="s">
        <v>2</v>
      </c>
    </row>
    <row r="14" spans="1:23">
      <c r="A14" t="s">
        <v>13</v>
      </c>
      <c r="B14">
        <v>6.99</v>
      </c>
      <c r="D14" t="s">
        <v>28</v>
      </c>
      <c r="E14">
        <v>8.76</v>
      </c>
      <c r="F14" s="3">
        <f t="shared" si="0"/>
        <v>10.366305798605961</v>
      </c>
      <c r="G14" s="3">
        <f t="shared" si="1"/>
        <v>6.9163992288298974</v>
      </c>
      <c r="H14">
        <v>1.39</v>
      </c>
      <c r="I14" t="s">
        <v>28</v>
      </c>
      <c r="J14">
        <v>8.26</v>
      </c>
      <c r="K14" s="3">
        <f t="shared" si="2"/>
        <v>2.9061258624294375</v>
      </c>
      <c r="L14" s="3">
        <f t="shared" si="3"/>
        <v>1.8355090947104327</v>
      </c>
      <c r="M14">
        <v>13.83</v>
      </c>
      <c r="N14" t="s">
        <v>28</v>
      </c>
      <c r="O14">
        <v>8.82</v>
      </c>
      <c r="R14">
        <v>16</v>
      </c>
    </row>
    <row r="15" spans="1:23">
      <c r="A15" t="s">
        <v>14</v>
      </c>
      <c r="B15">
        <v>65.75</v>
      </c>
      <c r="D15" t="s">
        <v>28</v>
      </c>
      <c r="E15">
        <v>0.89</v>
      </c>
      <c r="F15" s="3">
        <f t="shared" si="0"/>
        <v>97.508527361708431</v>
      </c>
      <c r="G15" s="3">
        <f t="shared" si="1"/>
        <v>65.057689455731861</v>
      </c>
      <c r="H15">
        <v>67.06</v>
      </c>
      <c r="I15" t="s">
        <v>28</v>
      </c>
      <c r="J15">
        <v>0.4</v>
      </c>
      <c r="K15" s="3">
        <f t="shared" si="2"/>
        <v>140.20489232699143</v>
      </c>
      <c r="L15" s="3">
        <f t="shared" si="3"/>
        <v>88.553409993727783</v>
      </c>
      <c r="M15">
        <v>63.48</v>
      </c>
      <c r="N15" t="s">
        <v>28</v>
      </c>
      <c r="O15">
        <v>7.0000000000000007E-2</v>
      </c>
      <c r="R15">
        <v>39</v>
      </c>
    </row>
    <row r="16" spans="1:23">
      <c r="A16" t="s">
        <v>15</v>
      </c>
      <c r="B16">
        <v>47.61</v>
      </c>
      <c r="D16" t="s">
        <v>28</v>
      </c>
      <c r="E16">
        <v>1.04</v>
      </c>
      <c r="F16" s="3">
        <f t="shared" si="0"/>
        <v>70.606554945869789</v>
      </c>
      <c r="G16" s="3">
        <f t="shared" si="1"/>
        <v>47.108693459884329</v>
      </c>
      <c r="H16">
        <v>49.17</v>
      </c>
      <c r="I16" t="s">
        <v>28</v>
      </c>
      <c r="J16">
        <v>1.2</v>
      </c>
      <c r="K16" s="3">
        <f t="shared" si="2"/>
        <v>102.8015889609032</v>
      </c>
      <c r="L16" s="3">
        <f t="shared" si="3"/>
        <v>64.929483587706457</v>
      </c>
      <c r="M16">
        <v>46.91</v>
      </c>
      <c r="N16" t="s">
        <v>28</v>
      </c>
      <c r="O16">
        <v>1.81</v>
      </c>
      <c r="R16">
        <v>30</v>
      </c>
    </row>
    <row r="17" spans="1:18">
      <c r="A17" t="s">
        <v>16</v>
      </c>
      <c r="B17">
        <v>92.48</v>
      </c>
      <c r="D17" t="s">
        <v>28</v>
      </c>
      <c r="E17">
        <v>1.84</v>
      </c>
      <c r="F17" s="3">
        <f t="shared" si="0"/>
        <v>137.14963666024025</v>
      </c>
      <c r="G17" s="3">
        <f t="shared" si="1"/>
        <v>91.506237579712291</v>
      </c>
      <c r="H17">
        <v>95.22</v>
      </c>
      <c r="I17" t="s">
        <v>28</v>
      </c>
      <c r="J17">
        <v>1.0900000000000001</v>
      </c>
      <c r="K17" s="3">
        <f t="shared" si="2"/>
        <v>199.08007526656911</v>
      </c>
      <c r="L17" s="3">
        <f t="shared" si="3"/>
        <v>125.73897553836505</v>
      </c>
      <c r="M17">
        <v>90.3</v>
      </c>
      <c r="N17" t="s">
        <v>28</v>
      </c>
      <c r="O17">
        <v>1.52</v>
      </c>
      <c r="R17">
        <v>59</v>
      </c>
    </row>
    <row r="18" spans="1:18">
      <c r="A18" t="s">
        <v>17</v>
      </c>
      <c r="B18">
        <v>33.79</v>
      </c>
      <c r="D18" t="s">
        <v>28</v>
      </c>
      <c r="E18">
        <v>0.62</v>
      </c>
      <c r="F18" s="3">
        <f t="shared" si="0"/>
        <v>50.111226457066586</v>
      </c>
      <c r="G18" s="3">
        <f t="shared" si="1"/>
        <v>33.434210292154823</v>
      </c>
      <c r="H18">
        <v>35.479999999999997</v>
      </c>
      <c r="I18" t="s">
        <v>28</v>
      </c>
      <c r="J18">
        <v>0.83</v>
      </c>
      <c r="K18" s="3">
        <f t="shared" si="2"/>
        <v>74.179385323019019</v>
      </c>
      <c r="L18" s="3">
        <f t="shared" si="3"/>
        <v>46.851699770018811</v>
      </c>
      <c r="M18">
        <v>36.880000000000003</v>
      </c>
      <c r="N18" t="s">
        <v>28</v>
      </c>
      <c r="O18">
        <v>0.52</v>
      </c>
      <c r="R18" t="s">
        <v>2</v>
      </c>
    </row>
    <row r="19" spans="1:18">
      <c r="A19" t="s">
        <v>18</v>
      </c>
      <c r="B19">
        <v>8.66</v>
      </c>
      <c r="D19" t="s">
        <v>28</v>
      </c>
      <c r="E19">
        <v>0.28000000000000003</v>
      </c>
      <c r="F19" s="3">
        <f t="shared" si="0"/>
        <v>12.842948242621977</v>
      </c>
      <c r="G19" s="3">
        <f t="shared" si="1"/>
        <v>8.5688150674773826</v>
      </c>
      <c r="H19">
        <v>8.26</v>
      </c>
      <c r="I19" t="s">
        <v>28</v>
      </c>
      <c r="J19">
        <v>0.14000000000000001</v>
      </c>
      <c r="K19" s="3">
        <f t="shared" si="2"/>
        <v>17.269496132134645</v>
      </c>
      <c r="L19" s="3">
        <f t="shared" si="3"/>
        <v>10.90741375705624</v>
      </c>
      <c r="M19">
        <v>9.3800000000000008</v>
      </c>
      <c r="N19" t="s">
        <v>28</v>
      </c>
      <c r="O19">
        <v>0.32</v>
      </c>
      <c r="R19">
        <v>6</v>
      </c>
    </row>
    <row r="20" spans="1:18">
      <c r="B20" s="3">
        <f t="shared" ref="B20" si="4">SUM(B2:B19)</f>
        <v>999.94999999999982</v>
      </c>
      <c r="C20" s="3"/>
      <c r="D20" s="3"/>
      <c r="E20" s="3"/>
      <c r="F20" s="3">
        <f>SUM(F2:F19)</f>
        <v>1482.9452765831234</v>
      </c>
      <c r="G20" s="3">
        <f>SUM(G2:G19)</f>
        <v>989.42108853625984</v>
      </c>
      <c r="H20" s="3">
        <f t="shared" ref="H20:L20" si="5">SUM(H2:H19)</f>
        <v>999.9899999999999</v>
      </c>
      <c r="I20" s="3"/>
      <c r="J20" s="3"/>
      <c r="K20" s="3">
        <f t="shared" si="5"/>
        <v>2090.71712314447</v>
      </c>
      <c r="L20" s="3">
        <f t="shared" si="5"/>
        <v>1320.4969349780472</v>
      </c>
      <c r="M20">
        <v>384</v>
      </c>
    </row>
    <row r="21" spans="1:18">
      <c r="M21">
        <v>617</v>
      </c>
    </row>
    <row r="22" spans="1:18">
      <c r="A22" t="s">
        <v>19</v>
      </c>
      <c r="B22">
        <v>376</v>
      </c>
      <c r="M22">
        <v>0.62</v>
      </c>
    </row>
    <row r="23" spans="1:18">
      <c r="A23" t="s">
        <v>20</v>
      </c>
      <c r="B23">
        <v>624</v>
      </c>
      <c r="H23">
        <v>621</v>
      </c>
      <c r="M23">
        <v>1001</v>
      </c>
    </row>
    <row r="24" spans="1:18">
      <c r="A24" t="s">
        <v>21</v>
      </c>
      <c r="B24">
        <v>0.6</v>
      </c>
      <c r="H24">
        <v>0.61</v>
      </c>
      <c r="M24">
        <v>0.38</v>
      </c>
    </row>
    <row r="25" spans="1:18">
      <c r="A25" t="s">
        <v>22</v>
      </c>
      <c r="B25">
        <v>1000</v>
      </c>
      <c r="H25">
        <v>1000</v>
      </c>
    </row>
    <row r="26" spans="1:18">
      <c r="A26" t="s">
        <v>23</v>
      </c>
      <c r="B26">
        <v>0.38</v>
      </c>
      <c r="H26">
        <v>0.38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1449F-467C-4BDE-B051-50A1FEAE52F4}">
  <dimension ref="A1:V31"/>
  <sheetViews>
    <sheetView topLeftCell="A14" workbookViewId="0">
      <selection activeCell="O22" sqref="O22"/>
    </sheetView>
  </sheetViews>
  <sheetFormatPr defaultRowHeight="14.4"/>
  <sheetData>
    <row r="1" spans="1:22" ht="15.6">
      <c r="A1" s="18" t="s">
        <v>71</v>
      </c>
      <c r="B1" s="18"/>
      <c r="C1" s="18"/>
      <c r="D1" s="18"/>
      <c r="E1" s="18"/>
      <c r="F1" s="18"/>
      <c r="G1" s="18"/>
      <c r="H1" s="18"/>
    </row>
    <row r="2" spans="1:22">
      <c r="A2" s="18" t="s">
        <v>45</v>
      </c>
      <c r="B2" s="18"/>
      <c r="C2" s="18" t="s">
        <v>46</v>
      </c>
      <c r="D2" s="18"/>
      <c r="E2" s="18" t="s">
        <v>47</v>
      </c>
      <c r="F2" s="18"/>
      <c r="G2" s="18" t="s">
        <v>48</v>
      </c>
      <c r="H2" s="18"/>
      <c r="J2" s="8" t="s">
        <v>45</v>
      </c>
      <c r="K2" s="8" t="s">
        <v>46</v>
      </c>
      <c r="L2" s="8" t="s">
        <v>47</v>
      </c>
      <c r="M2" s="8" t="s">
        <v>48</v>
      </c>
      <c r="O2" s="8" t="s">
        <v>45</v>
      </c>
      <c r="P2" s="8" t="s">
        <v>46</v>
      </c>
      <c r="Q2" s="8" t="s">
        <v>47</v>
      </c>
      <c r="R2" s="8" t="s">
        <v>48</v>
      </c>
      <c r="S2" s="8" t="s">
        <v>45</v>
      </c>
      <c r="T2" s="8" t="s">
        <v>46</v>
      </c>
      <c r="U2" s="8" t="s">
        <v>47</v>
      </c>
      <c r="V2" s="8" t="s">
        <v>48</v>
      </c>
    </row>
    <row r="3" spans="1:22" ht="15.6">
      <c r="A3" t="s">
        <v>72</v>
      </c>
      <c r="B3" t="s">
        <v>50</v>
      </c>
      <c r="C3" t="s">
        <v>72</v>
      </c>
      <c r="D3" t="s">
        <v>50</v>
      </c>
      <c r="E3" t="s">
        <v>72</v>
      </c>
      <c r="F3" t="s">
        <v>50</v>
      </c>
      <c r="G3" t="s">
        <v>72</v>
      </c>
      <c r="H3" t="s">
        <v>50</v>
      </c>
      <c r="J3" t="s">
        <v>51</v>
      </c>
      <c r="K3" t="s">
        <v>51</v>
      </c>
      <c r="L3" t="s">
        <v>51</v>
      </c>
      <c r="M3" t="s">
        <v>51</v>
      </c>
      <c r="O3" t="s">
        <v>78</v>
      </c>
      <c r="P3" t="s">
        <v>78</v>
      </c>
      <c r="Q3" t="s">
        <v>78</v>
      </c>
      <c r="R3" t="s">
        <v>78</v>
      </c>
      <c r="S3" t="s">
        <v>79</v>
      </c>
      <c r="T3" t="s">
        <v>79</v>
      </c>
      <c r="U3" t="s">
        <v>79</v>
      </c>
      <c r="V3" t="s">
        <v>79</v>
      </c>
    </row>
    <row r="4" spans="1:22">
      <c r="A4">
        <v>0</v>
      </c>
      <c r="B4">
        <v>1</v>
      </c>
      <c r="C4">
        <v>0</v>
      </c>
      <c r="D4">
        <v>1</v>
      </c>
      <c r="E4">
        <v>0</v>
      </c>
      <c r="F4">
        <v>1</v>
      </c>
      <c r="G4">
        <v>0</v>
      </c>
      <c r="H4">
        <v>1</v>
      </c>
      <c r="J4">
        <f>$O$29*EXP(-$O$28*A4)</f>
        <v>1.003810924993269</v>
      </c>
      <c r="K4">
        <f>$P$29*EXP(-$P$28*C4)</f>
        <v>1.0796914561020721</v>
      </c>
      <c r="L4">
        <f>$Q$29*EXP(-$Q$28*E4)</f>
        <v>0.85895892484500735</v>
      </c>
      <c r="M4">
        <f>$R$29*EXP(-$R$28*G4)</f>
        <v>55110147.196177334</v>
      </c>
      <c r="O4">
        <f>(B4-J4)^2</f>
        <v>1.4523149304322025E-5</v>
      </c>
      <c r="P4">
        <f>(D4-K4)^2</f>
        <v>6.3507281756684797E-3</v>
      </c>
      <c r="Q4">
        <f>(F4-L4)^2</f>
        <v>1.9892584880876283E-2</v>
      </c>
      <c r="R4">
        <f>(H4-M4)^2</f>
        <v>3037128213764039</v>
      </c>
      <c r="S4">
        <f>(B4-$J$24)^2</f>
        <v>0.15596980708924088</v>
      </c>
      <c r="T4">
        <f>(D4-$K$24)^2</f>
        <v>0.15886920498469734</v>
      </c>
      <c r="U4">
        <f>(F4-$L$24)^2</f>
        <v>0.3083645077289644</v>
      </c>
      <c r="V4">
        <f>(H4-$M$24)^2</f>
        <v>25100224062489.375</v>
      </c>
    </row>
    <row r="5" spans="1:22">
      <c r="A5">
        <v>1</v>
      </c>
      <c r="B5">
        <v>0.84208722400184877</v>
      </c>
      <c r="C5">
        <v>1</v>
      </c>
      <c r="D5">
        <v>0.8719047990821901</v>
      </c>
      <c r="E5">
        <v>1</v>
      </c>
      <c r="F5">
        <v>0.78247024774843776</v>
      </c>
      <c r="G5">
        <v>1</v>
      </c>
      <c r="H5">
        <v>0.80714948566211964</v>
      </c>
      <c r="J5">
        <f t="shared" ref="J5:J7" si="0">$O$29*EXP(-$O$28*A5)</f>
        <v>0.95740926323582543</v>
      </c>
      <c r="K5">
        <f t="shared" ref="K5:K13" si="1">$P$29*EXP(-$P$28*C5)</f>
        <v>0.94007923096258195</v>
      </c>
      <c r="L5">
        <f t="shared" ref="L5:L21" si="2">$Q$29*EXP(-$Q$28*E5)</f>
        <v>0.80267004606255798</v>
      </c>
      <c r="M5">
        <f t="shared" ref="M5:M14" si="3">$R$29*EXP(-$R$28*G5)</f>
        <v>0</v>
      </c>
      <c r="O5">
        <f t="shared" ref="O5:O7" si="4">(B5-J5)^2</f>
        <v>1.3299172733082851E-2</v>
      </c>
      <c r="P5">
        <f t="shared" ref="P5:P13" si="5">(D5-K5)^2</f>
        <v>4.6477531622141884E-3</v>
      </c>
      <c r="Q5">
        <f t="shared" ref="Q5:Q21" si="6">(F5-L5)^2</f>
        <v>4.0803185193113414E-4</v>
      </c>
      <c r="R5">
        <f t="shared" ref="R5:R14" si="7">(H5-M5)^2</f>
        <v>0.65149029220462429</v>
      </c>
      <c r="S5">
        <f t="shared" ref="S5:S7" si="8">(B5-$J$24)^2</f>
        <v>5.6177225802418143E-2</v>
      </c>
      <c r="T5">
        <f t="shared" ref="T5:T13" si="9">(D5-$K$24)^2</f>
        <v>7.3164190380537689E-2</v>
      </c>
      <c r="U5">
        <f t="shared" ref="U5:U14" si="10">(F5-$L$24)^2</f>
        <v>0.11409264396504239</v>
      </c>
      <c r="V5">
        <f t="shared" ref="V5:V13" si="11">(H5-$M$24)^2</f>
        <v>25100225994856.344</v>
      </c>
    </row>
    <row r="6" spans="1:22">
      <c r="A6">
        <v>2</v>
      </c>
      <c r="B6">
        <v>0.85583101299828412</v>
      </c>
      <c r="C6">
        <v>2</v>
      </c>
      <c r="D6">
        <v>0.87300358352871843</v>
      </c>
      <c r="E6">
        <v>2</v>
      </c>
      <c r="F6">
        <v>0.73611508402642223</v>
      </c>
      <c r="G6">
        <v>2</v>
      </c>
      <c r="H6">
        <v>0.69660154192315715</v>
      </c>
      <c r="J6">
        <f t="shared" si="0"/>
        <v>0.91315254148674718</v>
      </c>
      <c r="K6">
        <f t="shared" si="1"/>
        <v>0.81851991649330202</v>
      </c>
      <c r="L6">
        <f t="shared" si="2"/>
        <v>0.75006986272635123</v>
      </c>
      <c r="M6">
        <f t="shared" si="3"/>
        <v>0</v>
      </c>
      <c r="O6">
        <f t="shared" si="4"/>
        <v>3.285757628253682E-3</v>
      </c>
      <c r="P6">
        <f t="shared" si="5"/>
        <v>2.9684699736261203E-3</v>
      </c>
      <c r="Q6">
        <f t="shared" si="6"/>
        <v>1.9473584856399224E-4</v>
      </c>
      <c r="R6">
        <f t="shared" si="7"/>
        <v>0.48525370820972008</v>
      </c>
      <c r="S6">
        <f t="shared" si="8"/>
        <v>6.2881150525044435E-2</v>
      </c>
      <c r="T6">
        <f t="shared" si="9"/>
        <v>7.3759815478384325E-2</v>
      </c>
      <c r="U6">
        <f t="shared" si="10"/>
        <v>8.4926119164698097E-2</v>
      </c>
      <c r="V6">
        <f t="shared" si="11"/>
        <v>25100227102549.535</v>
      </c>
    </row>
    <row r="7" spans="1:22">
      <c r="A7">
        <v>3</v>
      </c>
      <c r="B7">
        <v>0.89411921590304944</v>
      </c>
      <c r="C7">
        <v>3</v>
      </c>
      <c r="D7">
        <v>0.8085873453509933</v>
      </c>
      <c r="E7">
        <v>3</v>
      </c>
      <c r="F7">
        <v>0.67457705383364175</v>
      </c>
      <c r="G7">
        <v>3</v>
      </c>
      <c r="H7">
        <v>0.63196444601167723</v>
      </c>
      <c r="J7">
        <f t="shared" si="0"/>
        <v>0.87094160882201033</v>
      </c>
      <c r="K7">
        <f t="shared" si="1"/>
        <v>0.71267913557689166</v>
      </c>
      <c r="L7">
        <f t="shared" si="2"/>
        <v>0.70091664903922368</v>
      </c>
      <c r="M7">
        <f t="shared" si="3"/>
        <v>0</v>
      </c>
      <c r="O7">
        <f t="shared" si="4"/>
        <v>5.3720147000303428E-4</v>
      </c>
      <c r="P7">
        <f t="shared" si="5"/>
        <v>9.1983847020730859E-3</v>
      </c>
      <c r="Q7">
        <f t="shared" si="6"/>
        <v>6.9377427559391474E-4</v>
      </c>
      <c r="R7">
        <f t="shared" si="7"/>
        <v>0.39937906102284609</v>
      </c>
      <c r="S7">
        <f t="shared" si="8"/>
        <v>8.3549524006464343E-2</v>
      </c>
      <c r="T7">
        <f t="shared" si="9"/>
        <v>4.291996629747967E-2</v>
      </c>
      <c r="U7">
        <f t="shared" si="10"/>
        <v>5.2846116640432893E-2</v>
      </c>
      <c r="V7">
        <f t="shared" si="11"/>
        <v>25100227750214.875</v>
      </c>
    </row>
    <row r="8" spans="1:22">
      <c r="C8">
        <v>4</v>
      </c>
      <c r="D8">
        <v>0.66526042465241864</v>
      </c>
      <c r="E8">
        <v>4</v>
      </c>
      <c r="F8">
        <v>0.58964137477944789</v>
      </c>
      <c r="G8">
        <v>4</v>
      </c>
      <c r="H8">
        <v>0.49811642751536406</v>
      </c>
      <c r="K8">
        <f t="shared" si="1"/>
        <v>0.62052436361306518</v>
      </c>
      <c r="L8">
        <f t="shared" si="2"/>
        <v>0.65498451986146511</v>
      </c>
      <c r="M8">
        <f t="shared" si="3"/>
        <v>0</v>
      </c>
      <c r="P8">
        <f t="shared" si="5"/>
        <v>2.0013151573167586E-3</v>
      </c>
      <c r="Q8">
        <f t="shared" si="6"/>
        <v>4.2697266092095506E-3</v>
      </c>
      <c r="R8">
        <f t="shared" si="7"/>
        <v>0.24811997536066893</v>
      </c>
      <c r="S8">
        <f>(B26-$J$24)^2</f>
        <v>4.1110885080655954E-2</v>
      </c>
      <c r="T8">
        <f t="shared" si="9"/>
        <v>4.0761105477772367E-3</v>
      </c>
      <c r="U8">
        <f t="shared" si="10"/>
        <v>2.1009677268214386E-2</v>
      </c>
      <c r="V8">
        <f t="shared" si="11"/>
        <v>25100229091375.457</v>
      </c>
    </row>
    <row r="9" spans="1:22">
      <c r="A9">
        <v>5</v>
      </c>
      <c r="B9">
        <v>0.77924179723414255</v>
      </c>
      <c r="C9">
        <v>5</v>
      </c>
      <c r="D9">
        <v>0.60194953462483713</v>
      </c>
      <c r="E9">
        <v>5</v>
      </c>
      <c r="F9">
        <v>0.55531138531890867</v>
      </c>
      <c r="G9">
        <v>5</v>
      </c>
      <c r="H9">
        <v>0.42557964286029865</v>
      </c>
      <c r="J9">
        <f>$O$29*EXP(-$O$28*A9)</f>
        <v>0.79228321168920135</v>
      </c>
      <c r="K9">
        <f t="shared" si="1"/>
        <v>0.5402858967180415</v>
      </c>
      <c r="L9">
        <f t="shared" si="2"/>
        <v>0.612062392648554</v>
      </c>
      <c r="M9">
        <f t="shared" si="3"/>
        <v>0</v>
      </c>
      <c r="O9">
        <f>(B9-J9)^2</f>
        <v>1.7007849098861654E-4</v>
      </c>
      <c r="P9">
        <f t="shared" si="5"/>
        <v>3.802404239900403E-3</v>
      </c>
      <c r="Q9">
        <f t="shared" si="6"/>
        <v>3.2206768329294581E-3</v>
      </c>
      <c r="R9">
        <f t="shared" si="7"/>
        <v>0.18111803241709934</v>
      </c>
      <c r="S9">
        <f>(B9-$J$24)^2</f>
        <v>3.0335860019219764E-2</v>
      </c>
      <c r="T9">
        <f t="shared" si="9"/>
        <v>2.8465910045614638E-7</v>
      </c>
      <c r="U9">
        <f t="shared" si="10"/>
        <v>1.2236156949959212E-2</v>
      </c>
      <c r="V9">
        <f t="shared" si="11"/>
        <v>25100229818195.91</v>
      </c>
    </row>
    <row r="10" spans="1:22">
      <c r="A10">
        <v>6</v>
      </c>
      <c r="B10">
        <v>0.74887565034061343</v>
      </c>
      <c r="C10">
        <v>6</v>
      </c>
      <c r="D10">
        <v>0.66656424213610876</v>
      </c>
      <c r="E10">
        <v>6</v>
      </c>
      <c r="F10">
        <v>0.49938671406882423</v>
      </c>
      <c r="G10">
        <v>6</v>
      </c>
      <c r="H10">
        <v>0.31685483154225391</v>
      </c>
      <c r="J10">
        <f>$O$29*EXP(-$O$28*A10)</f>
        <v>0.75565952421025717</v>
      </c>
      <c r="K10">
        <f t="shared" si="1"/>
        <v>0.47042286702934555</v>
      </c>
      <c r="L10">
        <f t="shared" si="2"/>
        <v>0.57195301741468341</v>
      </c>
      <c r="M10">
        <f t="shared" si="3"/>
        <v>0</v>
      </c>
      <c r="O10">
        <f>(B10-J10)^2</f>
        <v>4.6020944679235157E-5</v>
      </c>
      <c r="P10">
        <f t="shared" si="5"/>
        <v>3.8471439028771995E-2</v>
      </c>
      <c r="Q10">
        <f t="shared" si="6"/>
        <v>5.2658683812832523E-3</v>
      </c>
      <c r="R10">
        <f t="shared" si="7"/>
        <v>0.1003969842716701</v>
      </c>
      <c r="S10">
        <f>(B10-$J$24)^2</f>
        <v>2.0680102280011211E-2</v>
      </c>
      <c r="T10">
        <f t="shared" si="9"/>
        <v>4.2442934417706944E-3</v>
      </c>
      <c r="U10">
        <f t="shared" si="10"/>
        <v>2.9912687525971561E-3</v>
      </c>
      <c r="V10">
        <f t="shared" si="11"/>
        <v>25100230907621.348</v>
      </c>
    </row>
    <row r="11" spans="1:22">
      <c r="C11">
        <v>8</v>
      </c>
      <c r="D11">
        <v>0.17383457194399796</v>
      </c>
      <c r="E11">
        <v>8</v>
      </c>
      <c r="F11">
        <v>0.45973661826485396</v>
      </c>
      <c r="G11">
        <v>7</v>
      </c>
      <c r="H11">
        <v>0.1540948684218085</v>
      </c>
      <c r="K11">
        <f t="shared" si="1"/>
        <v>0.35663011285420193</v>
      </c>
      <c r="L11">
        <f t="shared" si="2"/>
        <v>0.49944730632557854</v>
      </c>
      <c r="M11">
        <f t="shared" si="3"/>
        <v>0</v>
      </c>
      <c r="P11">
        <f t="shared" si="5"/>
        <v>3.3414209776654054E-2</v>
      </c>
      <c r="Q11">
        <f t="shared" si="6"/>
        <v>1.5769387462561742E-3</v>
      </c>
      <c r="R11">
        <f t="shared" si="7"/>
        <v>2.3745228473934475E-2</v>
      </c>
      <c r="S11">
        <f>(B27-$J$24)^2</f>
        <v>2.3174344002878246E-2</v>
      </c>
      <c r="T11">
        <f t="shared" si="9"/>
        <v>0.18282587769490002</v>
      </c>
      <c r="U11">
        <f t="shared" si="10"/>
        <v>2.2627370296334105E-4</v>
      </c>
      <c r="V11">
        <f t="shared" si="11"/>
        <v>25100232538480.457</v>
      </c>
    </row>
    <row r="12" spans="1:22">
      <c r="A12">
        <v>10</v>
      </c>
      <c r="B12">
        <v>0.72542054364670383</v>
      </c>
      <c r="C12">
        <v>10</v>
      </c>
      <c r="D12">
        <v>0.13761229117340132</v>
      </c>
      <c r="E12">
        <v>10</v>
      </c>
      <c r="F12">
        <v>0.43198668331810791</v>
      </c>
      <c r="G12">
        <v>8</v>
      </c>
      <c r="H12">
        <v>0.13002007760794732</v>
      </c>
      <c r="J12">
        <f>$O$29*EXP(-$O$28*A12)</f>
        <v>0.62532960331026965</v>
      </c>
      <c r="K12">
        <f t="shared" si="1"/>
        <v>0.27036321214050774</v>
      </c>
      <c r="L12">
        <f t="shared" si="2"/>
        <v>0.43613304624813121</v>
      </c>
      <c r="M12">
        <f t="shared" si="3"/>
        <v>0</v>
      </c>
      <c r="O12">
        <f>(B12-J12)^2</f>
        <v>1.0018196337431626E-2</v>
      </c>
      <c r="P12">
        <f t="shared" si="5"/>
        <v>1.7622807017614935E-2</v>
      </c>
      <c r="Q12">
        <f t="shared" si="6"/>
        <v>1.7192325547471366E-5</v>
      </c>
      <c r="R12">
        <f t="shared" si="7"/>
        <v>1.6905220581176644E-2</v>
      </c>
      <c r="S12">
        <f>(B12-$J$24)^2</f>
        <v>1.4484284497108209E-2</v>
      </c>
      <c r="T12">
        <f t="shared" si="9"/>
        <v>0.21511388040427812</v>
      </c>
      <c r="U12">
        <f t="shared" si="10"/>
        <v>1.6148152450521446E-4</v>
      </c>
      <c r="V12">
        <f t="shared" si="11"/>
        <v>25100232779710.504</v>
      </c>
    </row>
    <row r="13" spans="1:22">
      <c r="A13">
        <v>12</v>
      </c>
      <c r="B13">
        <v>0.657386688720347</v>
      </c>
      <c r="C13">
        <v>12</v>
      </c>
      <c r="D13">
        <v>0.13138949241803621</v>
      </c>
      <c r="E13">
        <v>12</v>
      </c>
      <c r="F13">
        <v>0.43620617795612521</v>
      </c>
      <c r="G13">
        <v>9</v>
      </c>
      <c r="H13">
        <v>0.13679520979314949</v>
      </c>
      <c r="J13">
        <f>$O$29*EXP(-$O$28*A13)</f>
        <v>0.56885345866653236</v>
      </c>
      <c r="K13">
        <f t="shared" si="1"/>
        <v>0.20496380940444178</v>
      </c>
      <c r="L13">
        <f t="shared" si="2"/>
        <v>0.38084504935877972</v>
      </c>
      <c r="M13">
        <f t="shared" si="3"/>
        <v>0</v>
      </c>
      <c r="O13">
        <f>(B13-J13)^2</f>
        <v>7.8381328237616676E-3</v>
      </c>
      <c r="P13">
        <f t="shared" si="5"/>
        <v>5.4131801200160874E-3</v>
      </c>
      <c r="Q13">
        <f t="shared" si="6"/>
        <v>3.0648545595718243E-3</v>
      </c>
      <c r="R13">
        <f t="shared" si="7"/>
        <v>1.8712929422351782E-2</v>
      </c>
      <c r="S13">
        <f>(B13-$J$24)^2</f>
        <v>2.7370494557655747E-3</v>
      </c>
      <c r="T13">
        <f t="shared" si="9"/>
        <v>0.22092491791378085</v>
      </c>
      <c r="U13">
        <f t="shared" si="10"/>
        <v>7.2046881773941604E-5</v>
      </c>
      <c r="V13">
        <f t="shared" si="11"/>
        <v>25100232711823.496</v>
      </c>
    </row>
    <row r="14" spans="1:22">
      <c r="E14">
        <v>14</v>
      </c>
      <c r="F14">
        <v>0.38538208797016077</v>
      </c>
      <c r="G14">
        <v>10</v>
      </c>
      <c r="H14">
        <v>0.12766076616203526</v>
      </c>
      <c r="L14">
        <f t="shared" si="2"/>
        <v>0.33256583711973842</v>
      </c>
      <c r="M14">
        <f t="shared" si="3"/>
        <v>0</v>
      </c>
      <c r="Q14">
        <f t="shared" si="6"/>
        <v>2.7895563538947398E-3</v>
      </c>
      <c r="R14">
        <f t="shared" si="7"/>
        <v>1.6297271217077847E-2</v>
      </c>
      <c r="S14">
        <f>(B28-$J$24)^2</f>
        <v>2.8441159836985852E-3</v>
      </c>
      <c r="U14">
        <f t="shared" si="10"/>
        <v>3.5179291738776032E-3</v>
      </c>
    </row>
    <row r="15" spans="1:22">
      <c r="A15">
        <v>16</v>
      </c>
      <c r="B15">
        <v>0.53930532137147458</v>
      </c>
      <c r="E15">
        <v>16</v>
      </c>
      <c r="F15">
        <v>0.36056106220175366</v>
      </c>
      <c r="J15">
        <f>$O$29*EXP(-$O$28*A15)</f>
        <v>0.47074230688931362</v>
      </c>
      <c r="L15">
        <f t="shared" si="2"/>
        <v>0.29040691537245189</v>
      </c>
      <c r="O15">
        <f>(B15-J15)^2</f>
        <v>4.7008869548810133E-3</v>
      </c>
      <c r="Q15">
        <f t="shared" si="6"/>
        <v>4.9216043173472314E-3</v>
      </c>
      <c r="S15">
        <f>(B15-$J$24)^2</f>
        <v>4.3249759383384235E-3</v>
      </c>
      <c r="U15">
        <f>(F15-$L$24)^2</f>
        <v>7.0783884793421525E-3</v>
      </c>
    </row>
    <row r="16" spans="1:22">
      <c r="A16">
        <v>18</v>
      </c>
      <c r="B16">
        <v>0.50581451079406126</v>
      </c>
      <c r="E16">
        <v>18</v>
      </c>
      <c r="F16">
        <v>0.31944179712752446</v>
      </c>
      <c r="J16">
        <f>$O$29*EXP(-$O$28*A16)</f>
        <v>0.42822759069313121</v>
      </c>
      <c r="L16">
        <f t="shared" si="2"/>
        <v>0.2535924231621472</v>
      </c>
      <c r="O16">
        <f>(B16-J16)^2</f>
        <v>6.0197301707481032E-3</v>
      </c>
      <c r="Q16">
        <f t="shared" si="6"/>
        <v>4.3361400516321053E-3</v>
      </c>
      <c r="S16">
        <f>(B16-$J$24)^2</f>
        <v>9.851626454896031E-3</v>
      </c>
      <c r="U16">
        <f>(F16-$L$24)^2</f>
        <v>1.5688169790099248E-2</v>
      </c>
    </row>
    <row r="17" spans="1:22">
      <c r="E17">
        <v>20</v>
      </c>
      <c r="F17">
        <v>0.23230066061049878</v>
      </c>
      <c r="L17">
        <f t="shared" si="2"/>
        <v>0.22144485437880149</v>
      </c>
      <c r="Q17">
        <f t="shared" si="6"/>
        <v>1.1784852894015784E-4</v>
      </c>
      <c r="S17">
        <f>(B29-$J$24)^2</f>
        <v>4.0099612682696552E-2</v>
      </c>
      <c r="U17">
        <f>(F17-$L$24)^2</f>
        <v>4.5111024671570542E-2</v>
      </c>
    </row>
    <row r="18" spans="1:22">
      <c r="A18">
        <v>22</v>
      </c>
      <c r="B18">
        <v>0.40515242573112892</v>
      </c>
      <c r="E18">
        <v>22</v>
      </c>
      <c r="F18">
        <v>0.15070119437459695</v>
      </c>
      <c r="J18">
        <f>$O$29*EXP(-$O$28*A18)</f>
        <v>0.35437042852666989</v>
      </c>
      <c r="L18">
        <f t="shared" si="2"/>
        <v>0.19337258944638802</v>
      </c>
      <c r="O18">
        <f>(B18-J18)^2</f>
        <v>2.5788112400736848E-3</v>
      </c>
      <c r="Q18">
        <f t="shared" si="6"/>
        <v>1.8208479573728756E-3</v>
      </c>
      <c r="S18">
        <f>(B18-$J$24)^2</f>
        <v>3.9966984772343915E-2</v>
      </c>
      <c r="U18">
        <f t="shared" ref="U18:U21" si="12">(F18-$L$24)^2</f>
        <v>8.6431899948870808E-2</v>
      </c>
    </row>
    <row r="19" spans="1:22">
      <c r="E19">
        <v>24</v>
      </c>
      <c r="F19">
        <v>0.15110482263125347</v>
      </c>
      <c r="L19">
        <f t="shared" si="2"/>
        <v>0.16885900760302738</v>
      </c>
      <c r="Q19">
        <f t="shared" si="6"/>
        <v>3.1521108401196283E-4</v>
      </c>
      <c r="S19">
        <f>(B30-$J$24)^2</f>
        <v>0.12534003021809981</v>
      </c>
      <c r="U19">
        <f t="shared" si="12"/>
        <v>8.6194735078692714E-2</v>
      </c>
    </row>
    <row r="20" spans="1:22">
      <c r="A20">
        <v>26</v>
      </c>
      <c r="B20">
        <v>0.16550448692936906</v>
      </c>
      <c r="E20">
        <v>26</v>
      </c>
      <c r="F20">
        <v>0.13179349913915536</v>
      </c>
      <c r="L20">
        <f t="shared" si="2"/>
        <v>0.1474529794026703</v>
      </c>
      <c r="O20">
        <f>(B20-J20)^2</f>
        <v>2.7391735193753694E-2</v>
      </c>
      <c r="Q20">
        <f t="shared" si="6"/>
        <v>2.452193221234138E-4</v>
      </c>
      <c r="S20">
        <f>(B20-$J$24)^2</f>
        <v>0.19321772654227784</v>
      </c>
      <c r="U20">
        <f t="shared" si="12"/>
        <v>9.7906862001268496E-2</v>
      </c>
    </row>
    <row r="21" spans="1:22">
      <c r="E21">
        <v>28</v>
      </c>
      <c r="F21">
        <v>0.12964168263055892</v>
      </c>
      <c r="J21">
        <f>$O$29*EXP(-$O$28*A31)</f>
        <v>0.26676676129664945</v>
      </c>
      <c r="L21">
        <f t="shared" si="2"/>
        <v>0.12876056446949349</v>
      </c>
      <c r="Q21">
        <f t="shared" si="6"/>
        <v>7.7636921375931635E-7</v>
      </c>
      <c r="S21">
        <f>(B31-$J$24)^2</f>
        <v>0.22481232437714394</v>
      </c>
      <c r="U21">
        <f t="shared" si="12"/>
        <v>9.9258102195048617E-2</v>
      </c>
    </row>
    <row r="22" spans="1:22">
      <c r="A22">
        <v>30</v>
      </c>
      <c r="B22">
        <v>0.12918285933370885</v>
      </c>
      <c r="J22">
        <f>$O$29*EXP(-$O$28*A22)</f>
        <v>0.24267393390230069</v>
      </c>
      <c r="O22">
        <f>(B22-J22)^2</f>
        <v>1.2880224006733674E-2</v>
      </c>
      <c r="S22">
        <f>(B22-$J$24)^2</f>
        <v>0.22646844751444806</v>
      </c>
    </row>
    <row r="23" spans="1:22">
      <c r="A23">
        <v>32</v>
      </c>
      <c r="B23">
        <v>0.13792761311581958</v>
      </c>
      <c r="J23">
        <f>$O$29*EXP(-$O$28*A23)</f>
        <v>0.22075703100856239</v>
      </c>
      <c r="O23">
        <f>(B23-J23)^2</f>
        <v>6.8607124684506235E-3</v>
      </c>
      <c r="S23">
        <f>(B23-$J$24)^2</f>
        <v>0.21822188874948811</v>
      </c>
    </row>
    <row r="24" spans="1:22">
      <c r="I24" t="s">
        <v>82</v>
      </c>
      <c r="J24">
        <f>AVERAGE(J4:J23)</f>
        <v>0.60506987062362427</v>
      </c>
      <c r="K24">
        <f>AVERAGE(K4:K13)</f>
        <v>0.60141600008944496</v>
      </c>
      <c r="L24">
        <f>AVERAGE(L4:L21)</f>
        <v>0.44469422141583614</v>
      </c>
      <c r="M24">
        <f>AVERAGE(M4:M14)</f>
        <v>5010013.3814706663</v>
      </c>
      <c r="N24" t="s">
        <v>53</v>
      </c>
      <c r="O24">
        <f>SUM(O4:O23)</f>
        <v>9.5641183612145825E-2</v>
      </c>
      <c r="P24">
        <f>SUM(P4:P13)</f>
        <v>0.12389069135385609</v>
      </c>
      <c r="Q24">
        <f>SUM(Q4:Q21)</f>
        <v>5.3151588296299297E-2</v>
      </c>
      <c r="R24">
        <f>SUM(R4:R14)</f>
        <v>3037128213764040.5</v>
      </c>
      <c r="S24">
        <f>SUM(S4:S23)</f>
        <v>1.5762479659922382</v>
      </c>
      <c r="T24">
        <f>SUM(T4:T13)</f>
        <v>0.97589854180270652</v>
      </c>
      <c r="U24">
        <f>SUM(U4:U21)</f>
        <v>1.0381134039179212</v>
      </c>
      <c r="V24">
        <f>SUM(V4:V13)</f>
        <v>251002292757317.31</v>
      </c>
    </row>
    <row r="25" spans="1:22">
      <c r="N25" t="s">
        <v>57</v>
      </c>
      <c r="O25">
        <f>(O24/20)^0.5</f>
        <v>6.9152434379472799E-2</v>
      </c>
      <c r="P25">
        <f>(P24/10)^0.5</f>
        <v>0.11130619540432424</v>
      </c>
      <c r="Q25">
        <f>(Q24/18)^0.5</f>
        <v>5.4340279871022676E-2</v>
      </c>
      <c r="R25">
        <f>(R24/11)^0.5</f>
        <v>16616334.279486557</v>
      </c>
    </row>
    <row r="26" spans="1:22">
      <c r="A26">
        <v>4</v>
      </c>
      <c r="B26">
        <v>0.80782806424512987</v>
      </c>
      <c r="N26" t="s">
        <v>74</v>
      </c>
      <c r="O26">
        <f>O24/(20-2)</f>
        <v>5.3133990895636567E-3</v>
      </c>
      <c r="P26">
        <f>P24/(10-2)</f>
        <v>1.5486336419232012E-2</v>
      </c>
      <c r="Q26">
        <f>Q24/(18-2)</f>
        <v>3.3219742685187061E-3</v>
      </c>
      <c r="R26">
        <f>R24/(11-2)</f>
        <v>337458690418226.75</v>
      </c>
    </row>
    <row r="27" spans="1:22">
      <c r="A27">
        <v>8</v>
      </c>
      <c r="B27">
        <v>0.7573010895075255</v>
      </c>
      <c r="N27" t="s">
        <v>59</v>
      </c>
      <c r="O27">
        <f>1-(O24/S24)</f>
        <v>0.9393235165560132</v>
      </c>
      <c r="P27">
        <f>1-(P24/T24)</f>
        <v>0.87304961935387071</v>
      </c>
      <c r="Q27">
        <f>1-(Q24/U24)</f>
        <v>0.94879982466684176</v>
      </c>
      <c r="R27">
        <f>1-(R24/V24)</f>
        <v>-11.10000187807249</v>
      </c>
    </row>
    <row r="28" spans="1:22">
      <c r="A28">
        <v>14</v>
      </c>
      <c r="B28">
        <v>0.65840012454856434</v>
      </c>
      <c r="N28" t="s">
        <v>52</v>
      </c>
      <c r="O28">
        <v>4.7328008477243617E-2</v>
      </c>
      <c r="P28">
        <v>0.13846643053700999</v>
      </c>
      <c r="Q28">
        <v>6.7777375468629233E-2</v>
      </c>
      <c r="R28">
        <v>3042166.0624556225</v>
      </c>
    </row>
    <row r="29" spans="1:22">
      <c r="A29">
        <v>20</v>
      </c>
      <c r="B29">
        <v>0.40482099376610842</v>
      </c>
      <c r="N29" t="s">
        <v>81</v>
      </c>
      <c r="O29">
        <v>1.003810924993269</v>
      </c>
      <c r="P29">
        <v>1.0796914561020721</v>
      </c>
      <c r="Q29">
        <v>0.85895892484500735</v>
      </c>
      <c r="R29">
        <v>55110147.196177334</v>
      </c>
    </row>
    <row r="30" spans="1:22">
      <c r="A30">
        <v>24</v>
      </c>
      <c r="B30">
        <v>0.25103593126455687</v>
      </c>
    </row>
    <row r="31" spans="1:22">
      <c r="A31">
        <v>28</v>
      </c>
      <c r="B31">
        <v>0.13092609034474734</v>
      </c>
    </row>
  </sheetData>
  <mergeCells count="5">
    <mergeCell ref="A1:H1"/>
    <mergeCell ref="A2:B2"/>
    <mergeCell ref="C2:D2"/>
    <mergeCell ref="E2:F2"/>
    <mergeCell ref="G2:H2"/>
  </mergeCells>
  <phoneticPr fontId="8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841E3-8292-4687-8777-F63D0423DF6C}">
  <dimension ref="A1:Z29"/>
  <sheetViews>
    <sheetView topLeftCell="E16" workbookViewId="0">
      <selection activeCell="S33" sqref="S33"/>
    </sheetView>
  </sheetViews>
  <sheetFormatPr defaultRowHeight="14.4"/>
  <sheetData>
    <row r="1" spans="1:26" ht="15.6">
      <c r="A1" s="6" t="s">
        <v>69</v>
      </c>
      <c r="E1" s="18" t="s">
        <v>71</v>
      </c>
      <c r="F1" s="18"/>
      <c r="G1" s="18"/>
      <c r="H1" s="18"/>
      <c r="I1" s="18"/>
      <c r="J1" s="18"/>
      <c r="K1" s="18"/>
      <c r="L1" s="18"/>
    </row>
    <row r="2" spans="1:26">
      <c r="E2" s="18" t="s">
        <v>45</v>
      </c>
      <c r="F2" s="18"/>
      <c r="G2" s="18" t="s">
        <v>46</v>
      </c>
      <c r="H2" s="18"/>
      <c r="I2" s="18" t="s">
        <v>47</v>
      </c>
      <c r="J2" s="18"/>
      <c r="K2" s="18" t="s">
        <v>48</v>
      </c>
      <c r="L2" s="18"/>
      <c r="N2" s="8" t="s">
        <v>45</v>
      </c>
      <c r="O2" s="8" t="s">
        <v>46</v>
      </c>
      <c r="P2" s="8" t="s">
        <v>47</v>
      </c>
      <c r="Q2" s="8" t="s">
        <v>48</v>
      </c>
      <c r="S2" t="s">
        <v>45</v>
      </c>
      <c r="T2" t="s">
        <v>46</v>
      </c>
      <c r="U2" t="s">
        <v>47</v>
      </c>
      <c r="V2" t="s">
        <v>48</v>
      </c>
      <c r="W2" t="s">
        <v>45</v>
      </c>
      <c r="X2" t="s">
        <v>46</v>
      </c>
      <c r="Y2" t="s">
        <v>47</v>
      </c>
      <c r="Z2" t="s">
        <v>48</v>
      </c>
    </row>
    <row r="3" spans="1:26" ht="15.6">
      <c r="E3" t="s">
        <v>72</v>
      </c>
      <c r="F3" t="s">
        <v>50</v>
      </c>
      <c r="G3" t="s">
        <v>72</v>
      </c>
      <c r="H3" t="s">
        <v>50</v>
      </c>
      <c r="I3" t="s">
        <v>72</v>
      </c>
      <c r="J3" t="s">
        <v>50</v>
      </c>
      <c r="K3" t="s">
        <v>72</v>
      </c>
      <c r="L3" t="s">
        <v>50</v>
      </c>
      <c r="N3" t="s">
        <v>51</v>
      </c>
      <c r="O3" t="s">
        <v>51</v>
      </c>
      <c r="P3" t="s">
        <v>51</v>
      </c>
      <c r="Q3" t="s">
        <v>51</v>
      </c>
      <c r="S3" t="s">
        <v>78</v>
      </c>
      <c r="T3" t="s">
        <v>78</v>
      </c>
      <c r="U3" t="s">
        <v>78</v>
      </c>
      <c r="V3" t="s">
        <v>78</v>
      </c>
      <c r="W3" t="s">
        <v>80</v>
      </c>
      <c r="X3" t="s">
        <v>80</v>
      </c>
      <c r="Y3" t="s">
        <v>80</v>
      </c>
      <c r="Z3" t="s">
        <v>80</v>
      </c>
    </row>
    <row r="4" spans="1:26">
      <c r="E4">
        <v>0</v>
      </c>
      <c r="F4">
        <v>1</v>
      </c>
      <c r="G4">
        <v>0</v>
      </c>
      <c r="H4">
        <v>1</v>
      </c>
      <c r="I4">
        <v>0</v>
      </c>
      <c r="J4">
        <v>1</v>
      </c>
      <c r="K4">
        <v>0</v>
      </c>
      <c r="L4">
        <v>1</v>
      </c>
      <c r="N4">
        <f>($S$29*EXP(-$S$28*E4))+((1-$S$29)*EXP(-$S$28*$S$29*E4))</f>
        <v>1</v>
      </c>
      <c r="O4">
        <f>($T$29*EXP(-$T$28*G4))+((1-$T$29)*EXP(-$T$28*$T$29*G4))</f>
        <v>1</v>
      </c>
      <c r="P4">
        <f>($U$29*EXP(-$U$28*I4))+((1-$U$29)*EXP(-$U$28*$U$29*I4))</f>
        <v>1</v>
      </c>
      <c r="Q4">
        <f>($V$29*EXP(-$V$28*K4))+((1-$V$29)*EXP(-$V$28*$V$29*K4))</f>
        <v>1</v>
      </c>
      <c r="S4">
        <f>(F4-N4)^2</f>
        <v>0</v>
      </c>
      <c r="T4">
        <f t="shared" ref="T4:T13" si="0">(H4-O4)^2</f>
        <v>0</v>
      </c>
      <c r="U4">
        <f>(J4-P4)^2</f>
        <v>0</v>
      </c>
      <c r="V4">
        <f>(L4-Q4)^2</f>
        <v>0</v>
      </c>
      <c r="W4">
        <f>(S4-$N$25)^2</f>
        <v>0.33038049036745593</v>
      </c>
      <c r="X4">
        <f>(H4-$O$25)^2</f>
        <v>0.15714307538709363</v>
      </c>
      <c r="Y4">
        <f>(J4-$P$25)^2</f>
        <v>0.2967531845225504</v>
      </c>
      <c r="Z4">
        <f>(L4-$Q$25)^2</f>
        <v>0.30034845120897252</v>
      </c>
    </row>
    <row r="5" spans="1:26">
      <c r="E5">
        <v>1</v>
      </c>
      <c r="F5">
        <v>0.84208722400184877</v>
      </c>
      <c r="G5">
        <v>1</v>
      </c>
      <c r="H5">
        <v>0.8719047990821901</v>
      </c>
      <c r="I5">
        <v>1</v>
      </c>
      <c r="J5">
        <v>0.78247024774843776</v>
      </c>
      <c r="K5">
        <v>1</v>
      </c>
      <c r="L5">
        <v>0.80714948566211964</v>
      </c>
      <c r="N5">
        <f t="shared" ref="N5:N23" si="1">($S$29*EXP(-$S$28*E5))+((1-$S$29)*EXP(-$S$28*$S$29*E5))</f>
        <v>0.95401308798057793</v>
      </c>
      <c r="O5">
        <f t="shared" ref="O5:O13" si="2">($T$29*EXP(-$T$28*G5))+((1-$T$29)*EXP(-$T$28*$T$29*G5))</f>
        <v>0.97140987516403543</v>
      </c>
      <c r="P5">
        <f t="shared" ref="P5:P21" si="3">($U$29*EXP(-$U$28*I5))+((1-$U$29)*EXP(-$U$28*$U$29*I5))</f>
        <v>0.88743798131693941</v>
      </c>
      <c r="Q5">
        <f t="shared" ref="Q5:Q14" si="4">($V$29*EXP(-$V$28*K5))+((1-$V$29)*EXP(-$V$28*$V$29*K5))</f>
        <v>0.86266421620670786</v>
      </c>
      <c r="S5">
        <f t="shared" ref="S5:S23" si="5">(F5-N5)^2</f>
        <v>1.2527399027384983E-2</v>
      </c>
      <c r="T5">
        <f t="shared" si="0"/>
        <v>9.9012601660538289E-3</v>
      </c>
      <c r="U5">
        <f t="shared" ref="U5:U21" si="6">(J5-P5)^2</f>
        <v>1.1018225090507946E-2</v>
      </c>
      <c r="V5">
        <f t="shared" ref="V5:V14" si="7">(L5-Q5)^2</f>
        <v>3.0818853074382362E-3</v>
      </c>
      <c r="W5">
        <f t="shared" ref="W5:W23" si="8">(S5-$N$25)^2</f>
        <v>0.3161362452754089</v>
      </c>
      <c r="X5">
        <f t="shared" ref="X5:X13" si="9">(H5-$O$25)^2</f>
        <v>7.1994311900126284E-2</v>
      </c>
      <c r="Y5">
        <f t="shared" ref="Y5:Y21" si="10">(J5-$P$25)^2</f>
        <v>0.10707346417297663</v>
      </c>
      <c r="Z5">
        <f t="shared" ref="Z5:Z14" si="11">(L5-$Q$25)^2</f>
        <v>0.12615996581790168</v>
      </c>
    </row>
    <row r="6" spans="1:26">
      <c r="E6">
        <v>2</v>
      </c>
      <c r="F6">
        <v>0.85583101299828412</v>
      </c>
      <c r="G6">
        <v>2</v>
      </c>
      <c r="H6">
        <v>0.87300358352871843</v>
      </c>
      <c r="I6">
        <v>2</v>
      </c>
      <c r="J6">
        <v>0.73611508402642223</v>
      </c>
      <c r="K6">
        <v>2</v>
      </c>
      <c r="L6">
        <v>0.69660154192315715</v>
      </c>
      <c r="N6">
        <f t="shared" si="1"/>
        <v>0.91014097204193412</v>
      </c>
      <c r="O6">
        <f t="shared" si="2"/>
        <v>0.88791915757701223</v>
      </c>
      <c r="P6">
        <f t="shared" si="3"/>
        <v>0.79877060584390991</v>
      </c>
      <c r="Q6">
        <f t="shared" si="4"/>
        <v>0.7201569904626377</v>
      </c>
      <c r="S6">
        <f t="shared" si="5"/>
        <v>2.9495716513229394E-3</v>
      </c>
      <c r="T6">
        <f t="shared" si="0"/>
        <v>2.224743491901355E-4</v>
      </c>
      <c r="U6">
        <f t="shared" si="6"/>
        <v>3.9257144142216746E-3</v>
      </c>
      <c r="V6">
        <f t="shared" si="7"/>
        <v>5.5485915589611643E-4</v>
      </c>
      <c r="W6">
        <f t="shared" si="8"/>
        <v>0.32699843743191448</v>
      </c>
      <c r="X6">
        <f t="shared" si="9"/>
        <v>7.2585165546181163E-2</v>
      </c>
      <c r="Y6">
        <f t="shared" si="10"/>
        <v>7.8885516131001074E-2</v>
      </c>
      <c r="Z6">
        <f t="shared" si="11"/>
        <v>5.9849756160247597E-2</v>
      </c>
    </row>
    <row r="7" spans="1:26">
      <c r="E7">
        <v>3</v>
      </c>
      <c r="F7">
        <v>0.89411921590304944</v>
      </c>
      <c r="G7">
        <v>3</v>
      </c>
      <c r="H7">
        <v>0.8085873453509933</v>
      </c>
      <c r="I7">
        <v>3</v>
      </c>
      <c r="J7">
        <v>0.67457705383364175</v>
      </c>
      <c r="K7">
        <v>3</v>
      </c>
      <c r="L7">
        <v>0.63196444601167723</v>
      </c>
      <c r="N7">
        <f t="shared" si="1"/>
        <v>0.86828639924242268</v>
      </c>
      <c r="O7">
        <f t="shared" si="2"/>
        <v>0.78210812664936413</v>
      </c>
      <c r="P7">
        <f t="shared" si="3"/>
        <v>0.72652626855163338</v>
      </c>
      <c r="Q7">
        <f t="shared" si="4"/>
        <v>0.58794188000620151</v>
      </c>
      <c r="S7">
        <f t="shared" si="5"/>
        <v>6.6733441662155529E-4</v>
      </c>
      <c r="T7">
        <f t="shared" si="0"/>
        <v>7.0114902304870799E-4</v>
      </c>
      <c r="U7">
        <f t="shared" si="6"/>
        <v>2.6987209098159985E-3</v>
      </c>
      <c r="V7">
        <f t="shared" si="7"/>
        <v>1.9379863177064662E-3</v>
      </c>
      <c r="W7">
        <f t="shared" si="8"/>
        <v>0.3296137849494285</v>
      </c>
      <c r="X7">
        <f t="shared" si="9"/>
        <v>4.2025042726568339E-2</v>
      </c>
      <c r="Y7">
        <f t="shared" si="10"/>
        <v>4.8104606982040866E-2</v>
      </c>
      <c r="Z7">
        <f t="shared" si="11"/>
        <v>3.2401800811033145E-2</v>
      </c>
    </row>
    <row r="8" spans="1:26">
      <c r="E8">
        <v>4</v>
      </c>
      <c r="F8">
        <v>0.80782806424512987</v>
      </c>
      <c r="G8">
        <v>4</v>
      </c>
      <c r="H8">
        <v>0.66526042465241864</v>
      </c>
      <c r="I8">
        <v>4</v>
      </c>
      <c r="J8">
        <v>0.58964137477944789</v>
      </c>
      <c r="K8">
        <v>4</v>
      </c>
      <c r="L8">
        <v>0.49811642751536406</v>
      </c>
      <c r="N8">
        <f t="shared" si="1"/>
        <v>0.82835658900289311</v>
      </c>
      <c r="O8">
        <f t="shared" si="2"/>
        <v>0.67231169599757812</v>
      </c>
      <c r="P8">
        <f t="shared" si="3"/>
        <v>0.6658415961441011</v>
      </c>
      <c r="Q8">
        <f t="shared" si="4"/>
        <v>0.47245227120469308</v>
      </c>
      <c r="S8">
        <f t="shared" si="5"/>
        <v>4.2142032873009803E-4</v>
      </c>
      <c r="T8">
        <f t="shared" si="0"/>
        <v>4.9720427583067211E-5</v>
      </c>
      <c r="U8">
        <f t="shared" si="6"/>
        <v>5.8064737360221516E-3</v>
      </c>
      <c r="V8">
        <f t="shared" si="7"/>
        <v>6.586489191385532E-4</v>
      </c>
      <c r="W8">
        <f t="shared" si="8"/>
        <v>0.32989621381996637</v>
      </c>
      <c r="X8">
        <f t="shared" si="9"/>
        <v>3.8035815645715764E-3</v>
      </c>
      <c r="Y8">
        <f t="shared" si="10"/>
        <v>1.8061195070088364E-2</v>
      </c>
      <c r="Z8">
        <f t="shared" si="11"/>
        <v>2.1304671430867443E-3</v>
      </c>
    </row>
    <row r="9" spans="1:26">
      <c r="E9">
        <v>5</v>
      </c>
      <c r="F9">
        <v>0.77924179723414255</v>
      </c>
      <c r="G9">
        <v>5</v>
      </c>
      <c r="H9">
        <v>0.60194953462483713</v>
      </c>
      <c r="I9">
        <v>5</v>
      </c>
      <c r="J9">
        <v>0.55531138531890867</v>
      </c>
      <c r="K9">
        <v>5</v>
      </c>
      <c r="L9">
        <v>0.42557964286029865</v>
      </c>
      <c r="N9">
        <f t="shared" si="1"/>
        <v>0.79026302743654675</v>
      </c>
      <c r="O9">
        <f t="shared" si="2"/>
        <v>0.56824077868484113</v>
      </c>
      <c r="P9">
        <f t="shared" si="3"/>
        <v>0.61353002539092849</v>
      </c>
      <c r="Q9">
        <f t="shared" si="4"/>
        <v>0.37525121998902744</v>
      </c>
      <c r="S9">
        <f t="shared" si="5"/>
        <v>1.2146751517438646E-4</v>
      </c>
      <c r="T9">
        <f t="shared" si="0"/>
        <v>1.1362802270222158E-3</v>
      </c>
      <c r="U9">
        <f t="shared" si="6"/>
        <v>3.3894100518353921E-3</v>
      </c>
      <c r="V9">
        <f t="shared" si="7"/>
        <v>2.5329501487094948E-3</v>
      </c>
      <c r="W9">
        <f t="shared" si="8"/>
        <v>0.33024086914105061</v>
      </c>
      <c r="X9">
        <f t="shared" si="9"/>
        <v>2.6820826294056416E-6</v>
      </c>
      <c r="Y9">
        <f t="shared" si="10"/>
        <v>1.001239508725447E-2</v>
      </c>
      <c r="Z9">
        <f t="shared" si="11"/>
        <v>6.9589389911202414E-4</v>
      </c>
    </row>
    <row r="10" spans="1:26">
      <c r="E10">
        <v>6</v>
      </c>
      <c r="F10">
        <v>0.74887565034061343</v>
      </c>
      <c r="G10">
        <v>6</v>
      </c>
      <c r="H10">
        <v>0.66656424213610876</v>
      </c>
      <c r="I10">
        <v>6</v>
      </c>
      <c r="J10">
        <v>0.49938671406882423</v>
      </c>
      <c r="K10">
        <v>6</v>
      </c>
      <c r="L10">
        <v>0.31685483154225391</v>
      </c>
      <c r="N10">
        <f t="shared" si="1"/>
        <v>0.7539212711369303</v>
      </c>
      <c r="O10">
        <f t="shared" si="2"/>
        <v>0.47448375397314102</v>
      </c>
      <c r="P10">
        <f t="shared" si="3"/>
        <v>0.56748444226108297</v>
      </c>
      <c r="Q10">
        <f t="shared" si="4"/>
        <v>0.29544563389382522</v>
      </c>
      <c r="S10">
        <f t="shared" si="5"/>
        <v>2.5458289220225327E-5</v>
      </c>
      <c r="T10">
        <f t="shared" si="0"/>
        <v>3.6894913932923989E-2</v>
      </c>
      <c r="U10">
        <f t="shared" si="6"/>
        <v>4.6373005849467495E-3</v>
      </c>
      <c r="V10">
        <f t="shared" si="7"/>
        <v>4.5835374394948458E-4</v>
      </c>
      <c r="W10">
        <f t="shared" si="8"/>
        <v>0.33035122481071327</v>
      </c>
      <c r="X10">
        <f t="shared" si="9"/>
        <v>3.9661026544793145E-3</v>
      </c>
      <c r="Y10">
        <f t="shared" si="10"/>
        <v>1.9480999265804417E-3</v>
      </c>
      <c r="Z10">
        <f t="shared" si="11"/>
        <v>1.8253256260966209E-2</v>
      </c>
    </row>
    <row r="11" spans="1:26">
      <c r="E11">
        <v>8</v>
      </c>
      <c r="F11">
        <v>0.7573010895075255</v>
      </c>
      <c r="G11">
        <v>8</v>
      </c>
      <c r="H11">
        <v>0.17383457194399796</v>
      </c>
      <c r="I11">
        <v>8</v>
      </c>
      <c r="J11">
        <v>0.45973661826485396</v>
      </c>
      <c r="K11">
        <v>7</v>
      </c>
      <c r="L11">
        <v>0.1540948684218085</v>
      </c>
      <c r="N11">
        <f t="shared" si="1"/>
        <v>0.68617463858910099</v>
      </c>
      <c r="O11">
        <f t="shared" si="2"/>
        <v>0.32279110374832082</v>
      </c>
      <c r="P11">
        <f t="shared" si="3"/>
        <v>0.48899805419716691</v>
      </c>
      <c r="Q11">
        <f t="shared" si="4"/>
        <v>0.23105421258723158</v>
      </c>
      <c r="S11">
        <f t="shared" si="5"/>
        <v>5.058972020251051E-3</v>
      </c>
      <c r="T11">
        <f t="shared" si="0"/>
        <v>2.2188048367172249E-2</v>
      </c>
      <c r="U11">
        <f t="shared" si="6"/>
        <v>8.5623163282085555E-4</v>
      </c>
      <c r="V11">
        <f t="shared" si="7"/>
        <v>5.9227406543720393E-3</v>
      </c>
      <c r="W11">
        <f t="shared" si="8"/>
        <v>0.32459041738758249</v>
      </c>
      <c r="X11">
        <f t="shared" si="9"/>
        <v>0.18468735668098304</v>
      </c>
      <c r="Y11">
        <f t="shared" si="10"/>
        <v>2.0134866820904274E-5</v>
      </c>
      <c r="Z11">
        <f t="shared" si="11"/>
        <v>8.8723305282096918E-2</v>
      </c>
    </row>
    <row r="12" spans="1:26">
      <c r="E12">
        <v>10</v>
      </c>
      <c r="F12">
        <v>0.72542054364670383</v>
      </c>
      <c r="G12">
        <v>10</v>
      </c>
      <c r="H12">
        <v>0.13761229117340132</v>
      </c>
      <c r="I12">
        <v>10</v>
      </c>
      <c r="J12">
        <v>0.43198668331810791</v>
      </c>
      <c r="K12">
        <v>8</v>
      </c>
      <c r="L12">
        <v>0.13002007760794732</v>
      </c>
      <c r="N12">
        <f t="shared" si="1"/>
        <v>0.62451565259659536</v>
      </c>
      <c r="O12">
        <f t="shared" si="2"/>
        <v>0.21506979528528292</v>
      </c>
      <c r="P12">
        <f t="shared" si="3"/>
        <v>0.4236082448110608</v>
      </c>
      <c r="Q12">
        <f t="shared" si="4"/>
        <v>0.1797554014222183</v>
      </c>
      <c r="S12">
        <f t="shared" si="5"/>
        <v>1.0181797037834261E-2</v>
      </c>
      <c r="T12">
        <f t="shared" si="0"/>
        <v>5.9996649432421546E-3</v>
      </c>
      <c r="U12">
        <f t="shared" si="6"/>
        <v>7.0198231816369887E-5</v>
      </c>
      <c r="V12">
        <f t="shared" si="7"/>
        <v>2.4736024349103903E-3</v>
      </c>
      <c r="W12">
        <f t="shared" si="8"/>
        <v>0.31877942321338987</v>
      </c>
      <c r="X12">
        <f t="shared" si="9"/>
        <v>0.21713265399625994</v>
      </c>
      <c r="Y12">
        <f t="shared" si="10"/>
        <v>5.4115534017384513E-4</v>
      </c>
      <c r="Z12">
        <f t="shared" si="11"/>
        <v>0.10364495552237041</v>
      </c>
    </row>
    <row r="13" spans="1:26">
      <c r="E13">
        <v>12</v>
      </c>
      <c r="F13">
        <v>0.657386688720347</v>
      </c>
      <c r="G13">
        <v>12</v>
      </c>
      <c r="H13">
        <v>0.13138949241803621</v>
      </c>
      <c r="I13">
        <v>12</v>
      </c>
      <c r="J13">
        <v>0.43620617795612521</v>
      </c>
      <c r="K13">
        <v>9</v>
      </c>
      <c r="L13">
        <v>0.13679520979314949</v>
      </c>
      <c r="N13">
        <f t="shared" si="1"/>
        <v>0.56839728315584681</v>
      </c>
      <c r="O13">
        <f t="shared" si="2"/>
        <v>0.14153812431919907</v>
      </c>
      <c r="P13">
        <f t="shared" si="3"/>
        <v>0.36789278627409217</v>
      </c>
      <c r="Q13">
        <f t="shared" si="4"/>
        <v>0.13927355753974113</v>
      </c>
      <c r="S13">
        <f t="shared" si="5"/>
        <v>7.919114302723098E-3</v>
      </c>
      <c r="T13">
        <f t="shared" si="0"/>
        <v>1.0299472946530044E-4</v>
      </c>
      <c r="U13">
        <f t="shared" si="6"/>
        <v>4.6667194831028613E-3</v>
      </c>
      <c r="V13">
        <f t="shared" si="7"/>
        <v>6.1422075530358668E-6</v>
      </c>
      <c r="W13">
        <f t="shared" si="8"/>
        <v>0.32133958939127666</v>
      </c>
      <c r="X13">
        <f t="shared" si="9"/>
        <v>0.22297071389797515</v>
      </c>
      <c r="Y13">
        <f t="shared" si="10"/>
        <v>3.6264541319620911E-4</v>
      </c>
      <c r="Z13">
        <f t="shared" si="11"/>
        <v>9.9328494414971019E-2</v>
      </c>
    </row>
    <row r="14" spans="1:26">
      <c r="E14">
        <v>14</v>
      </c>
      <c r="F14">
        <v>0.65840012454856434</v>
      </c>
      <c r="I14">
        <v>14</v>
      </c>
      <c r="J14">
        <v>0.38538208797016077</v>
      </c>
      <c r="K14">
        <v>10</v>
      </c>
      <c r="L14">
        <v>0.12766076616203526</v>
      </c>
      <c r="N14">
        <f t="shared" si="1"/>
        <v>0.51732165584789502</v>
      </c>
      <c r="P14">
        <f t="shared" si="3"/>
        <v>0.31988941948196437</v>
      </c>
      <c r="Q14">
        <f t="shared" si="4"/>
        <v>0.10755849879915387</v>
      </c>
      <c r="S14">
        <f t="shared" si="5"/>
        <v>1.9903134330925731E-2</v>
      </c>
      <c r="U14">
        <f t="shared" si="6"/>
        <v>4.2892896257047943E-3</v>
      </c>
      <c r="V14">
        <f t="shared" si="7"/>
        <v>4.041011531287661E-4</v>
      </c>
      <c r="W14">
        <f t="shared" si="8"/>
        <v>0.30789648570071415</v>
      </c>
      <c r="Y14">
        <f t="shared" si="10"/>
        <v>4.8814453531321718E-3</v>
      </c>
      <c r="Z14">
        <f t="shared" si="11"/>
        <v>0.10516963233609598</v>
      </c>
    </row>
    <row r="15" spans="1:26">
      <c r="E15">
        <v>16</v>
      </c>
      <c r="F15">
        <v>0.53930532137147458</v>
      </c>
      <c r="I15">
        <v>16</v>
      </c>
      <c r="J15">
        <v>0.36056106220175366</v>
      </c>
      <c r="N15">
        <f t="shared" si="1"/>
        <v>0.47083563476530571</v>
      </c>
      <c r="P15">
        <f t="shared" si="3"/>
        <v>0.2783077834433807</v>
      </c>
      <c r="S15">
        <f t="shared" si="5"/>
        <v>4.6880979839469808E-3</v>
      </c>
      <c r="U15">
        <f t="shared" si="6"/>
        <v>6.7656018665026088E-3</v>
      </c>
      <c r="W15">
        <f t="shared" si="8"/>
        <v>0.3250131498566658</v>
      </c>
      <c r="Y15">
        <f t="shared" si="10"/>
        <v>8.9658868212203653E-3</v>
      </c>
    </row>
    <row r="16" spans="1:26">
      <c r="E16">
        <v>18</v>
      </c>
      <c r="F16">
        <v>0.50581451079406126</v>
      </c>
      <c r="G16">
        <v>11</v>
      </c>
      <c r="I16">
        <v>18</v>
      </c>
      <c r="J16">
        <v>0.31944179712752446</v>
      </c>
      <c r="K16">
        <v>12</v>
      </c>
      <c r="N16">
        <f t="shared" si="1"/>
        <v>0.4285268023529904</v>
      </c>
      <c r="P16">
        <f t="shared" si="3"/>
        <v>0.2421962928466925</v>
      </c>
      <c r="S16">
        <f t="shared" si="5"/>
        <v>5.9733898760719753E-3</v>
      </c>
      <c r="U16">
        <f t="shared" si="6"/>
        <v>5.9668679316000287E-3</v>
      </c>
      <c r="W16">
        <f t="shared" si="8"/>
        <v>0.32354931395570941</v>
      </c>
      <c r="Y16">
        <f t="shared" si="10"/>
        <v>1.8443712895321349E-2</v>
      </c>
    </row>
    <row r="17" spans="5:26">
      <c r="E17">
        <v>20</v>
      </c>
      <c r="F17">
        <v>0.40482099376610842</v>
      </c>
      <c r="I17">
        <v>20</v>
      </c>
      <c r="J17">
        <v>0.23230066061049878</v>
      </c>
      <c r="N17">
        <f t="shared" si="1"/>
        <v>0.39001980049662172</v>
      </c>
      <c r="P17">
        <f t="shared" si="3"/>
        <v>0.21079714582923162</v>
      </c>
      <c r="S17">
        <f t="shared" si="5"/>
        <v>2.1907532220069841E-4</v>
      </c>
      <c r="U17">
        <f t="shared" si="6"/>
        <v>4.6240114794817539E-4</v>
      </c>
      <c r="W17">
        <f t="shared" si="8"/>
        <v>0.33012869491645885</v>
      </c>
      <c r="Y17">
        <f t="shared" si="10"/>
        <v>4.9706153360068214E-2</v>
      </c>
    </row>
    <row r="18" spans="5:26">
      <c r="E18">
        <v>22</v>
      </c>
      <c r="F18">
        <v>0.40515242573112892</v>
      </c>
      <c r="I18">
        <v>22</v>
      </c>
      <c r="J18">
        <v>0.15070119437459695</v>
      </c>
      <c r="N18">
        <f t="shared" si="1"/>
        <v>0.35497300039729196</v>
      </c>
      <c r="P18">
        <f t="shared" si="3"/>
        <v>0.18347967987110575</v>
      </c>
      <c r="S18">
        <f t="shared" si="5"/>
        <v>2.5179747268341181E-3</v>
      </c>
      <c r="U18">
        <f t="shared" si="6"/>
        <v>1.074429111444838E-3</v>
      </c>
      <c r="W18">
        <f t="shared" si="8"/>
        <v>0.3274922305551824</v>
      </c>
      <c r="Y18">
        <f t="shared" si="10"/>
        <v>9.2749627259446563E-2</v>
      </c>
    </row>
    <row r="19" spans="5:26">
      <c r="E19">
        <v>24</v>
      </c>
      <c r="F19">
        <v>0.25103593126455687</v>
      </c>
      <c r="I19">
        <v>24</v>
      </c>
      <c r="J19">
        <v>0.15110482263125347</v>
      </c>
      <c r="N19">
        <f t="shared" si="1"/>
        <v>0.32307547168799844</v>
      </c>
      <c r="P19">
        <f t="shared" si="3"/>
        <v>0.15970683415146006</v>
      </c>
      <c r="S19">
        <f t="shared" si="5"/>
        <v>5.1896953844206726E-3</v>
      </c>
      <c r="U19">
        <f t="shared" si="6"/>
        <v>7.3994602193766935E-5</v>
      </c>
      <c r="W19">
        <f t="shared" si="8"/>
        <v>0.32444148085738772</v>
      </c>
      <c r="Y19">
        <f t="shared" si="10"/>
        <v>9.2503941629135833E-2</v>
      </c>
    </row>
    <row r="20" spans="5:26">
      <c r="E20">
        <v>26</v>
      </c>
      <c r="F20">
        <v>0.16550448692936906</v>
      </c>
      <c r="I20">
        <v>26</v>
      </c>
      <c r="J20">
        <v>0.13179349913915536</v>
      </c>
      <c r="N20">
        <f t="shared" si="1"/>
        <v>0.29404422390237883</v>
      </c>
      <c r="P20">
        <f t="shared" si="3"/>
        <v>0.13901601159000657</v>
      </c>
      <c r="S20">
        <f t="shared" si="5"/>
        <v>1.6522463981090536E-2</v>
      </c>
      <c r="U20">
        <f t="shared" si="6"/>
        <v>5.2164686102700665E-5</v>
      </c>
      <c r="W20">
        <f t="shared" si="8"/>
        <v>0.31165967582049148</v>
      </c>
      <c r="Y20">
        <f t="shared" si="10"/>
        <v>0.10462373861099634</v>
      </c>
    </row>
    <row r="21" spans="5:26">
      <c r="E21">
        <v>28</v>
      </c>
      <c r="F21">
        <v>0.13092609034474734</v>
      </c>
      <c r="I21">
        <v>28</v>
      </c>
      <c r="J21">
        <v>0.12964168263055892</v>
      </c>
      <c r="N21">
        <f t="shared" si="1"/>
        <v>0.2676216958223841</v>
      </c>
      <c r="P21">
        <f t="shared" si="3"/>
        <v>0.12100655135454409</v>
      </c>
      <c r="S21">
        <f t="shared" si="5"/>
        <v>1.8685688556897718E-2</v>
      </c>
      <c r="U21">
        <f t="shared" si="6"/>
        <v>7.4565492154009442E-5</v>
      </c>
      <c r="W21">
        <f t="shared" si="8"/>
        <v>0.30924905074623588</v>
      </c>
      <c r="Y21">
        <f t="shared" si="10"/>
        <v>0.10602040454496398</v>
      </c>
    </row>
    <row r="22" spans="5:26">
      <c r="E22">
        <v>30</v>
      </c>
      <c r="F22">
        <v>0.12918285933370885</v>
      </c>
      <c r="N22">
        <f t="shared" si="1"/>
        <v>0.24357347043073294</v>
      </c>
      <c r="S22">
        <f t="shared" si="5"/>
        <v>1.3085211907150609E-2</v>
      </c>
      <c r="W22">
        <f t="shared" si="8"/>
        <v>0.3155092847528953</v>
      </c>
    </row>
    <row r="23" spans="5:26">
      <c r="E23">
        <v>32</v>
      </c>
      <c r="F23">
        <v>0.13792761311581958</v>
      </c>
      <c r="I23">
        <v>18</v>
      </c>
      <c r="N23">
        <f t="shared" si="1"/>
        <v>0.22168619519551772</v>
      </c>
      <c r="S23">
        <f t="shared" si="5"/>
        <v>7.0155000720015298E-3</v>
      </c>
      <c r="W23">
        <f t="shared" si="8"/>
        <v>0.3223648663078359</v>
      </c>
    </row>
    <row r="24" spans="5:26">
      <c r="R24" t="s">
        <v>53</v>
      </c>
      <c r="S24">
        <f>SUM(S4:S23)</f>
        <v>0.13367276673080314</v>
      </c>
      <c r="T24">
        <f>SUM(T4:T13)</f>
        <v>7.7196506165701645E-2</v>
      </c>
      <c r="U24">
        <f>SUM(U4:U21)</f>
        <v>5.5828308598740932E-2</v>
      </c>
      <c r="V24">
        <f>SUM(V4:V14)</f>
        <v>1.8031270042802583E-2</v>
      </c>
      <c r="W24">
        <f>SUM(W4:W23)</f>
        <v>6.4556309292577643</v>
      </c>
      <c r="X24">
        <f>SUM(X4:X13)</f>
        <v>0.9763106864368678</v>
      </c>
      <c r="Y24">
        <f>SUM(Y4:Y21)</f>
        <v>1.039657307986968</v>
      </c>
      <c r="Z24">
        <f>SUM(Z4:Z14)</f>
        <v>0.93670597885685436</v>
      </c>
    </row>
    <row r="25" spans="5:26">
      <c r="E25">
        <v>20</v>
      </c>
      <c r="N25">
        <f>AVERAGE(N4:N23)</f>
        <v>0.57478734360409844</v>
      </c>
      <c r="O25">
        <f>AVERAGE(O4:O13)</f>
        <v>0.6035872411398775</v>
      </c>
      <c r="P25">
        <f>AVERAGE(P4:P21)</f>
        <v>0.4552494290755168</v>
      </c>
      <c r="Q25">
        <f>AVERAGE(Q4:Q14)</f>
        <v>0.45195944382831249</v>
      </c>
      <c r="R25" t="s">
        <v>57</v>
      </c>
      <c r="S25">
        <f>(S24/20)^0.5</f>
        <v>8.1753521860163048E-2</v>
      </c>
      <c r="T25">
        <f>(T24/11)^0.5</f>
        <v>8.3772693623172745E-2</v>
      </c>
      <c r="U25">
        <f>(U24/18)^0.5</f>
        <v>5.5691765099788779E-2</v>
      </c>
      <c r="V25">
        <f>(V24/12)^0.5</f>
        <v>3.8763460073891948E-2</v>
      </c>
    </row>
    <row r="26" spans="5:26">
      <c r="R26" t="s">
        <v>74</v>
      </c>
      <c r="S26">
        <f>S24/(20-2)</f>
        <v>7.4262648183779523E-3</v>
      </c>
      <c r="T26">
        <f>T24/(11-2)</f>
        <v>8.5773895739668492E-3</v>
      </c>
      <c r="U26">
        <f>U24/(18-2)</f>
        <v>3.4892692874213082E-3</v>
      </c>
      <c r="V26">
        <f>V24/(12-2)</f>
        <v>1.8031270042802583E-3</v>
      </c>
    </row>
    <row r="27" spans="5:26">
      <c r="R27" t="s">
        <v>59</v>
      </c>
      <c r="S27">
        <f>1-(S24/W24)</f>
        <v>0.97929361696856299</v>
      </c>
      <c r="T27">
        <f>1-(T24/X24)</f>
        <v>0.92093038902663549</v>
      </c>
      <c r="U27">
        <f>1-(U24/Y24)</f>
        <v>0.94630123967787205</v>
      </c>
      <c r="V27">
        <f>1-(V24/Z24)</f>
        <v>0.98075034167625608</v>
      </c>
    </row>
    <row r="28" spans="5:26">
      <c r="R28" t="s">
        <v>65</v>
      </c>
      <c r="S28">
        <v>4.7077959121624192E-2</v>
      </c>
      <c r="T28">
        <v>0.21923679954572692</v>
      </c>
      <c r="U28">
        <v>0.44474862205744103</v>
      </c>
      <c r="V28">
        <v>0.27198734540174313</v>
      </c>
    </row>
    <row r="29" spans="5:26">
      <c r="R29" t="s">
        <v>81</v>
      </c>
      <c r="S29">
        <v>0.99877584574199074</v>
      </c>
      <c r="T29">
        <v>2.0334749128217764</v>
      </c>
      <c r="U29">
        <v>0.15597439911451833</v>
      </c>
      <c r="V29">
        <v>1.7324689082772811</v>
      </c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89D9-6C9D-47D1-92DF-88F5954815DC}">
  <dimension ref="A1:Z29"/>
  <sheetViews>
    <sheetView topLeftCell="I2" workbookViewId="0">
      <selection activeCell="T28" sqref="T28"/>
    </sheetView>
  </sheetViews>
  <sheetFormatPr defaultRowHeight="14.4"/>
  <sheetData>
    <row r="1" spans="1:26" ht="15.6">
      <c r="A1" s="7" t="s">
        <v>68</v>
      </c>
      <c r="E1" s="18" t="s">
        <v>71</v>
      </c>
      <c r="F1" s="18"/>
      <c r="G1" s="18"/>
      <c r="H1" s="18"/>
      <c r="I1" s="18"/>
      <c r="J1" s="18"/>
      <c r="K1" s="18"/>
      <c r="L1" s="18"/>
    </row>
    <row r="2" spans="1:26">
      <c r="E2" s="18" t="s">
        <v>45</v>
      </c>
      <c r="F2" s="18"/>
      <c r="G2" s="18" t="s">
        <v>46</v>
      </c>
      <c r="H2" s="18"/>
      <c r="I2" s="18" t="s">
        <v>47</v>
      </c>
      <c r="J2" s="18"/>
      <c r="K2" s="18" t="s">
        <v>48</v>
      </c>
      <c r="L2" s="18"/>
      <c r="N2" s="8" t="s">
        <v>45</v>
      </c>
      <c r="O2" s="8" t="s">
        <v>46</v>
      </c>
      <c r="P2" s="8" t="s">
        <v>47</v>
      </c>
      <c r="Q2" s="8" t="s">
        <v>48</v>
      </c>
      <c r="S2" t="s">
        <v>45</v>
      </c>
      <c r="T2" t="s">
        <v>46</v>
      </c>
      <c r="U2" t="s">
        <v>47</v>
      </c>
      <c r="V2" t="s">
        <v>48</v>
      </c>
      <c r="W2" t="s">
        <v>45</v>
      </c>
      <c r="X2" t="s">
        <v>46</v>
      </c>
      <c r="Y2" t="s">
        <v>47</v>
      </c>
      <c r="Z2" t="s">
        <v>48</v>
      </c>
    </row>
    <row r="3" spans="1:26" ht="15.6">
      <c r="E3" t="s">
        <v>72</v>
      </c>
      <c r="F3" t="s">
        <v>50</v>
      </c>
      <c r="G3" t="s">
        <v>72</v>
      </c>
      <c r="H3" t="s">
        <v>50</v>
      </c>
      <c r="I3" t="s">
        <v>72</v>
      </c>
      <c r="J3" t="s">
        <v>50</v>
      </c>
      <c r="K3" t="s">
        <v>72</v>
      </c>
      <c r="L3" t="s">
        <v>50</v>
      </c>
      <c r="N3" t="s">
        <v>51</v>
      </c>
      <c r="O3" t="s">
        <v>51</v>
      </c>
      <c r="P3" t="s">
        <v>51</v>
      </c>
      <c r="Q3" t="s">
        <v>51</v>
      </c>
      <c r="S3" t="s">
        <v>78</v>
      </c>
      <c r="T3" t="s">
        <v>78</v>
      </c>
      <c r="U3" t="s">
        <v>78</v>
      </c>
      <c r="V3" t="s">
        <v>78</v>
      </c>
      <c r="W3" t="s">
        <v>80</v>
      </c>
      <c r="X3" t="s">
        <v>80</v>
      </c>
      <c r="Y3" t="s">
        <v>80</v>
      </c>
      <c r="Z3" t="s">
        <v>80</v>
      </c>
    </row>
    <row r="4" spans="1:26">
      <c r="E4">
        <v>0</v>
      </c>
      <c r="F4">
        <v>1</v>
      </c>
      <c r="G4">
        <v>0</v>
      </c>
      <c r="H4">
        <v>1</v>
      </c>
      <c r="I4">
        <v>0</v>
      </c>
      <c r="J4">
        <v>1</v>
      </c>
      <c r="K4">
        <v>0</v>
      </c>
      <c r="L4">
        <v>1</v>
      </c>
      <c r="N4">
        <f>EXP(-$S$28*E4/(1+$S$29)*E4)</f>
        <v>1</v>
      </c>
      <c r="O4">
        <f>EXP(-$T$28*G4/(1+$T$29)*G4)</f>
        <v>1</v>
      </c>
      <c r="S4">
        <f>(F4-N4)^2</f>
        <v>0</v>
      </c>
      <c r="T4">
        <f>(H4-O4)^2</f>
        <v>0</v>
      </c>
      <c r="W4">
        <f>(F4-$N$24)^2</f>
        <v>0.15011351910045714</v>
      </c>
      <c r="X4">
        <f>(H4-$O$24)^2</f>
        <v>0.15383741740753573</v>
      </c>
    </row>
    <row r="5" spans="1:26">
      <c r="E5">
        <v>1</v>
      </c>
      <c r="F5">
        <v>0.84208722400184877</v>
      </c>
      <c r="G5">
        <v>1</v>
      </c>
      <c r="H5">
        <v>0.8719047990821901</v>
      </c>
      <c r="I5">
        <v>1</v>
      </c>
      <c r="J5">
        <v>0.78247024774843776</v>
      </c>
      <c r="K5">
        <v>1</v>
      </c>
      <c r="L5">
        <v>0.80714948566211964</v>
      </c>
      <c r="N5">
        <f t="shared" ref="N5:N23" si="0">EXP(-$S$28*E5/(1+$S$29)*E5)</f>
        <v>0.99759565086332092</v>
      </c>
      <c r="O5">
        <f t="shared" ref="O5:O13" si="1">EXP(-$T$28*G5/(1+$T$29)*G5)</f>
        <v>0.98070568106162026</v>
      </c>
      <c r="S5">
        <f t="shared" ref="S5:S23" si="2">(F5-N5)^2</f>
        <v>2.4182870824929831E-2</v>
      </c>
      <c r="T5">
        <f t="shared" ref="T5:T13" si="3">(H5-O5)^2</f>
        <v>1.1837631919501891E-2</v>
      </c>
      <c r="W5">
        <f t="shared" ref="W5:W23" si="4">(F5-$N$24)^2</f>
        <v>5.2684977325586933E-2</v>
      </c>
      <c r="X5">
        <f t="shared" ref="X5:X13" si="5">(H5-$O$24)^2</f>
        <v>6.9762508157030195E-2</v>
      </c>
    </row>
    <row r="6" spans="1:26">
      <c r="E6">
        <v>2</v>
      </c>
      <c r="F6">
        <v>0.85583101299828412</v>
      </c>
      <c r="G6">
        <v>2</v>
      </c>
      <c r="H6">
        <v>0.87300358352871843</v>
      </c>
      <c r="I6">
        <v>2</v>
      </c>
      <c r="J6">
        <v>0.73611508402642223</v>
      </c>
      <c r="K6">
        <v>2</v>
      </c>
      <c r="L6">
        <v>0.69660154192315715</v>
      </c>
      <c r="N6">
        <f t="shared" si="0"/>
        <v>0.99041723325817144</v>
      </c>
      <c r="O6">
        <f t="shared" si="1"/>
        <v>0.9250277564499525</v>
      </c>
      <c r="S6">
        <f t="shared" si="2"/>
        <v>1.8113450683842902E-2</v>
      </c>
      <c r="T6">
        <f t="shared" si="3"/>
        <v>2.7065145681384639E-3</v>
      </c>
      <c r="W6">
        <f t="shared" si="4"/>
        <v>5.9183150106825705E-2</v>
      </c>
      <c r="X6">
        <f t="shared" si="5"/>
        <v>7.0344150417143939E-2</v>
      </c>
    </row>
    <row r="7" spans="1:26">
      <c r="E7">
        <v>3</v>
      </c>
      <c r="F7">
        <v>0.89411921590304944</v>
      </c>
      <c r="G7">
        <v>3</v>
      </c>
      <c r="H7">
        <v>0.8085873453509933</v>
      </c>
      <c r="I7">
        <v>3</v>
      </c>
      <c r="J7">
        <v>0.67457705383364175</v>
      </c>
      <c r="K7">
        <v>3</v>
      </c>
      <c r="L7">
        <v>0.63196444601167723</v>
      </c>
      <c r="N7">
        <f t="shared" si="0"/>
        <v>0.97856780664199472</v>
      </c>
      <c r="O7">
        <f t="shared" si="1"/>
        <v>0.83916665779399036</v>
      </c>
      <c r="S7">
        <f t="shared" si="2"/>
        <v>7.1315644777938756E-3</v>
      </c>
      <c r="T7">
        <f t="shared" si="3"/>
        <v>9.350943494864344E-4</v>
      </c>
      <c r="W7">
        <f t="shared" si="4"/>
        <v>7.9278328519408511E-2</v>
      </c>
      <c r="X7">
        <f t="shared" si="5"/>
        <v>4.0324045098330902E-2</v>
      </c>
    </row>
    <row r="8" spans="1:26">
      <c r="E8">
        <v>4</v>
      </c>
      <c r="F8">
        <v>0.80782806424512987</v>
      </c>
      <c r="G8">
        <v>4</v>
      </c>
      <c r="H8">
        <v>0.66526042465241864</v>
      </c>
      <c r="I8">
        <v>4</v>
      </c>
      <c r="J8">
        <v>0.58964137477944789</v>
      </c>
      <c r="K8">
        <v>4</v>
      </c>
      <c r="L8">
        <v>0.49811642751536406</v>
      </c>
      <c r="N8">
        <f t="shared" si="0"/>
        <v>0.96221639805631032</v>
      </c>
      <c r="O8">
        <f t="shared" si="1"/>
        <v>0.73218201629644053</v>
      </c>
      <c r="S8">
        <f t="shared" si="2"/>
        <v>2.3835757616992484E-2</v>
      </c>
      <c r="T8">
        <f t="shared" si="3"/>
        <v>4.4784994281692209E-3</v>
      </c>
      <c r="W8">
        <f t="shared" si="4"/>
        <v>3.8131514721502349E-2</v>
      </c>
      <c r="X8">
        <f t="shared" si="5"/>
        <v>3.3041295046957919E-3</v>
      </c>
    </row>
    <row r="9" spans="1:26">
      <c r="E9">
        <v>5</v>
      </c>
      <c r="F9">
        <v>0.77924179723414255</v>
      </c>
      <c r="G9">
        <v>5</v>
      </c>
      <c r="H9">
        <v>0.60194953462483713</v>
      </c>
      <c r="I9">
        <v>5</v>
      </c>
      <c r="J9">
        <v>0.55531138531890867</v>
      </c>
      <c r="K9">
        <v>5</v>
      </c>
      <c r="L9">
        <v>0.42557964286029865</v>
      </c>
      <c r="N9">
        <f t="shared" si="0"/>
        <v>0.94159399016092404</v>
      </c>
      <c r="O9">
        <f t="shared" si="1"/>
        <v>0.61442273551234905</v>
      </c>
      <c r="S9">
        <f t="shared" si="2"/>
        <v>2.6358234548134879E-2</v>
      </c>
      <c r="T9">
        <f t="shared" si="3"/>
        <v>1.5558074038022802E-4</v>
      </c>
      <c r="W9">
        <f t="shared" si="4"/>
        <v>2.7784441510611737E-2</v>
      </c>
      <c r="X9">
        <f t="shared" si="5"/>
        <v>3.398111243658697E-5</v>
      </c>
    </row>
    <row r="10" spans="1:26">
      <c r="E10">
        <v>6</v>
      </c>
      <c r="F10">
        <v>0.74887565034061343</v>
      </c>
      <c r="G10">
        <v>6</v>
      </c>
      <c r="H10">
        <v>0.66656424213610876</v>
      </c>
      <c r="I10">
        <v>6</v>
      </c>
      <c r="J10">
        <v>0.49938671406882423</v>
      </c>
      <c r="K10">
        <v>6</v>
      </c>
      <c r="L10">
        <v>0.31685483154225391</v>
      </c>
      <c r="N10">
        <f t="shared" si="0"/>
        <v>0.91698809247149748</v>
      </c>
      <c r="O10">
        <f t="shared" si="1"/>
        <v>0.4958985970830988</v>
      </c>
      <c r="S10">
        <f t="shared" si="2"/>
        <v>2.826179319920984E-2</v>
      </c>
      <c r="T10">
        <f t="shared" si="3"/>
        <v>2.9126762401359984E-2</v>
      </c>
      <c r="W10">
        <f t="shared" si="4"/>
        <v>1.8583281384726737E-2</v>
      </c>
      <c r="X10">
        <f t="shared" si="5"/>
        <v>3.4557203652241168E-3</v>
      </c>
    </row>
    <row r="11" spans="1:26">
      <c r="E11">
        <v>8</v>
      </c>
      <c r="F11">
        <v>0.7573010895075255</v>
      </c>
      <c r="G11">
        <v>8</v>
      </c>
      <c r="H11">
        <v>0.17383457194399796</v>
      </c>
      <c r="I11">
        <v>8</v>
      </c>
      <c r="J11">
        <v>0.45973661826485396</v>
      </c>
      <c r="K11">
        <v>7</v>
      </c>
      <c r="L11">
        <v>0.1540948684218085</v>
      </c>
      <c r="N11">
        <f t="shared" si="0"/>
        <v>0.85721747415611227</v>
      </c>
      <c r="O11">
        <f t="shared" si="1"/>
        <v>0.28739302953820434</v>
      </c>
      <c r="S11">
        <f t="shared" si="2"/>
        <v>9.9832839212443455E-3</v>
      </c>
      <c r="T11">
        <f t="shared" si="3"/>
        <v>1.2895523291175168E-2</v>
      </c>
      <c r="W11">
        <f t="shared" si="4"/>
        <v>2.0951389734469073E-2</v>
      </c>
      <c r="X11">
        <f t="shared" si="5"/>
        <v>0.18830765095084209</v>
      </c>
    </row>
    <row r="12" spans="1:26">
      <c r="E12">
        <v>10</v>
      </c>
      <c r="F12">
        <v>0.72542054364670383</v>
      </c>
      <c r="G12">
        <v>10</v>
      </c>
      <c r="H12">
        <v>0.13761229117340132</v>
      </c>
      <c r="I12">
        <v>10</v>
      </c>
      <c r="J12">
        <v>0.43198668331810791</v>
      </c>
      <c r="K12">
        <v>8</v>
      </c>
      <c r="L12">
        <v>0.13002007760794732</v>
      </c>
      <c r="N12">
        <f t="shared" si="0"/>
        <v>0.78605821645964857</v>
      </c>
      <c r="O12">
        <f t="shared" si="1"/>
        <v>0.14251780015945709</v>
      </c>
      <c r="S12">
        <f t="shared" si="2"/>
        <v>3.6769273641697382E-3</v>
      </c>
      <c r="T12">
        <f t="shared" si="3"/>
        <v>2.4064018412273884E-5</v>
      </c>
      <c r="W12">
        <f t="shared" si="4"/>
        <v>1.2738599212169242E-2</v>
      </c>
      <c r="X12">
        <f t="shared" si="5"/>
        <v>0.22105660874193006</v>
      </c>
    </row>
    <row r="13" spans="1:26">
      <c r="E13">
        <v>12</v>
      </c>
      <c r="F13">
        <v>0.657386688720347</v>
      </c>
      <c r="G13">
        <v>12</v>
      </c>
      <c r="H13">
        <v>0.13138949241803621</v>
      </c>
      <c r="I13">
        <v>12</v>
      </c>
      <c r="J13">
        <v>0.43620617795612521</v>
      </c>
      <c r="K13">
        <v>9</v>
      </c>
      <c r="L13">
        <v>0.13679520979314949</v>
      </c>
      <c r="N13">
        <f t="shared" si="0"/>
        <v>0.70705758368346017</v>
      </c>
      <c r="O13">
        <f t="shared" si="1"/>
        <v>6.0474393099795978E-2</v>
      </c>
      <c r="S13">
        <f t="shared" si="2"/>
        <v>2.467197806436621E-3</v>
      </c>
      <c r="T13">
        <f t="shared" si="3"/>
        <v>5.028951311315877E-3</v>
      </c>
      <c r="W13">
        <f t="shared" si="4"/>
        <v>2.0098677097564474E-3</v>
      </c>
      <c r="X13">
        <f t="shared" si="5"/>
        <v>0.22694683592827591</v>
      </c>
    </row>
    <row r="14" spans="1:26">
      <c r="E14">
        <v>14</v>
      </c>
      <c r="F14">
        <v>0.65840012454856434</v>
      </c>
      <c r="I14">
        <v>14</v>
      </c>
      <c r="J14">
        <v>0.38538208797016077</v>
      </c>
      <c r="K14">
        <v>10</v>
      </c>
      <c r="L14">
        <v>0.12766076616203526</v>
      </c>
      <c r="N14">
        <f t="shared" si="0"/>
        <v>0.62386588087836659</v>
      </c>
      <c r="S14">
        <f t="shared" si="2"/>
        <v>1.1926139858725933E-3</v>
      </c>
      <c r="W14">
        <f t="shared" si="4"/>
        <v>2.1017625561988978E-3</v>
      </c>
    </row>
    <row r="15" spans="1:26">
      <c r="E15">
        <v>16</v>
      </c>
      <c r="F15">
        <v>0.53930532137147458</v>
      </c>
      <c r="I15">
        <v>16</v>
      </c>
      <c r="J15">
        <v>0.36056106220175366</v>
      </c>
      <c r="N15">
        <f t="shared" si="0"/>
        <v>0.53996307481387329</v>
      </c>
      <c r="S15">
        <f t="shared" si="2"/>
        <v>4.3263959098735564E-7</v>
      </c>
      <c r="W15">
        <f t="shared" si="4"/>
        <v>5.3655360122905945E-3</v>
      </c>
    </row>
    <row r="16" spans="1:26">
      <c r="E16">
        <v>18</v>
      </c>
      <c r="F16">
        <v>0.50581451079406126</v>
      </c>
      <c r="I16">
        <v>18</v>
      </c>
      <c r="J16">
        <v>0.31944179712752446</v>
      </c>
      <c r="N16">
        <f t="shared" si="0"/>
        <v>0.4584302482970124</v>
      </c>
      <c r="S16">
        <f t="shared" si="2"/>
        <v>2.2452683323892306E-3</v>
      </c>
      <c r="W16">
        <f t="shared" si="4"/>
        <v>1.1393562044488869E-2</v>
      </c>
    </row>
    <row r="17" spans="5:24">
      <c r="E17">
        <v>20</v>
      </c>
      <c r="F17">
        <v>0.40482099376610842</v>
      </c>
      <c r="I17">
        <v>20</v>
      </c>
      <c r="J17">
        <v>0.23230066061049878</v>
      </c>
      <c r="N17">
        <f t="shared" si="0"/>
        <v>0.38178498695618868</v>
      </c>
      <c r="S17">
        <f t="shared" si="2"/>
        <v>5.3065760974666865E-4</v>
      </c>
      <c r="W17">
        <f t="shared" si="4"/>
        <v>4.3153475747416056E-2</v>
      </c>
    </row>
    <row r="18" spans="5:24">
      <c r="E18">
        <v>22</v>
      </c>
      <c r="F18">
        <v>0.40515242573112892</v>
      </c>
      <c r="I18">
        <v>22</v>
      </c>
      <c r="J18">
        <v>0.15070119437459695</v>
      </c>
      <c r="N18">
        <f t="shared" si="0"/>
        <v>0.31188953599633973</v>
      </c>
      <c r="S18">
        <f t="shared" si="2"/>
        <v>8.6979666016834475E-3</v>
      </c>
      <c r="W18">
        <f t="shared" si="4"/>
        <v>4.3015886121610829E-2</v>
      </c>
    </row>
    <row r="19" spans="5:24">
      <c r="E19">
        <v>24</v>
      </c>
      <c r="F19">
        <v>0.25103593126455687</v>
      </c>
      <c r="I19">
        <v>24</v>
      </c>
      <c r="J19">
        <v>0.15110482263125347</v>
      </c>
      <c r="N19">
        <f t="shared" si="0"/>
        <v>0.24993043148474509</v>
      </c>
      <c r="S19">
        <f t="shared" si="2"/>
        <v>1.2221297631638951E-6</v>
      </c>
      <c r="W19">
        <f t="shared" si="4"/>
        <v>0.13069613869522351</v>
      </c>
    </row>
    <row r="20" spans="5:24">
      <c r="E20">
        <v>26</v>
      </c>
      <c r="F20">
        <v>0.16550448692936906</v>
      </c>
      <c r="I20">
        <v>26</v>
      </c>
      <c r="J20">
        <v>0.13179349913915536</v>
      </c>
      <c r="N20">
        <f t="shared" si="0"/>
        <v>0.19645986921188913</v>
      </c>
      <c r="S20">
        <f t="shared" si="2"/>
        <v>9.5823569225695726E-4</v>
      </c>
      <c r="W20">
        <f t="shared" si="4"/>
        <v>0.19985428691852536</v>
      </c>
    </row>
    <row r="21" spans="5:24">
      <c r="E21">
        <v>28</v>
      </c>
      <c r="F21">
        <v>0.13092609034474734</v>
      </c>
      <c r="I21">
        <v>28</v>
      </c>
      <c r="J21">
        <v>0.12964168263055892</v>
      </c>
      <c r="N21">
        <f t="shared" si="0"/>
        <v>0.15148336336771417</v>
      </c>
      <c r="S21">
        <f t="shared" si="2"/>
        <v>4.2260147414080012E-4</v>
      </c>
      <c r="W21">
        <f t="shared" si="4"/>
        <v>0.23196654201873501</v>
      </c>
    </row>
    <row r="22" spans="5:24">
      <c r="E22">
        <v>30</v>
      </c>
      <c r="F22">
        <v>0.12918285933370885</v>
      </c>
      <c r="N22">
        <f t="shared" si="0"/>
        <v>0.11457566976253114</v>
      </c>
      <c r="S22">
        <f t="shared" si="2"/>
        <v>2.1336998716832282E-4</v>
      </c>
      <c r="W22">
        <f t="shared" si="4"/>
        <v>0.23364876226542441</v>
      </c>
    </row>
    <row r="23" spans="5:24">
      <c r="E23">
        <v>32</v>
      </c>
      <c r="F23">
        <v>0.13792761311581958</v>
      </c>
      <c r="N23">
        <f t="shared" si="0"/>
        <v>8.5007304835384254E-2</v>
      </c>
      <c r="S23">
        <f t="shared" si="2"/>
        <v>2.8005590284963119E-3</v>
      </c>
      <c r="W23">
        <f t="shared" si="4"/>
        <v>0.22527128981515601</v>
      </c>
    </row>
    <row r="24" spans="5:24">
      <c r="M24" t="s">
        <v>84</v>
      </c>
      <c r="N24">
        <f>AVERAGE(N4:N23)</f>
        <v>0.61255514056777427</v>
      </c>
      <c r="O24">
        <f>AVERAGE(O4:O13)</f>
        <v>0.60777886669949088</v>
      </c>
      <c r="R24" t="s">
        <v>53</v>
      </c>
      <c r="S24">
        <f>SUM(S4:S23)</f>
        <v>0.16107400792386298</v>
      </c>
      <c r="T24">
        <f>SUM(T4:T13)</f>
        <v>6.7188622027939543E-2</v>
      </c>
      <c r="W24">
        <f>SUM(W4:W23)</f>
        <v>1.5879263115205837</v>
      </c>
      <c r="X24">
        <f>SUM(X4:X13)</f>
        <v>0.97737304768344535</v>
      </c>
    </row>
    <row r="25" spans="5:24">
      <c r="R25" t="s">
        <v>57</v>
      </c>
      <c r="S25">
        <f>(S24/(20))^0.5</f>
        <v>8.9742411357134524E-2</v>
      </c>
      <c r="T25">
        <f>(T24/10)^0.5</f>
        <v>8.1968665981544162E-2</v>
      </c>
    </row>
    <row r="26" spans="5:24">
      <c r="R26" t="s">
        <v>74</v>
      </c>
      <c r="S26">
        <f>S24/(20-2)</f>
        <v>8.9485559957701646E-3</v>
      </c>
      <c r="T26">
        <f>(T24/(10-2))</f>
        <v>8.3985777534924429E-3</v>
      </c>
    </row>
    <row r="27" spans="5:24">
      <c r="R27" t="s">
        <v>59</v>
      </c>
      <c r="S27">
        <f>1-(S24/W24)</f>
        <v>0.89856329808552637</v>
      </c>
      <c r="T27">
        <f>1-(T24/X24)</f>
        <v>0.93125590869608188</v>
      </c>
    </row>
    <row r="28" spans="5:24">
      <c r="R28" t="s">
        <v>65</v>
      </c>
      <c r="S28">
        <v>4.7914928951333282E-3</v>
      </c>
      <c r="T28">
        <v>4.1504869883376629E-2</v>
      </c>
      <c r="U28">
        <v>4.7914928951333282E-3</v>
      </c>
      <c r="V28">
        <v>4.7914928951333282E-3</v>
      </c>
    </row>
    <row r="29" spans="5:24">
      <c r="R29" t="s">
        <v>85</v>
      </c>
      <c r="S29">
        <v>0.99044735233492698</v>
      </c>
      <c r="T29">
        <v>1.1303247734878314</v>
      </c>
      <c r="U29">
        <v>0.99044735233492698</v>
      </c>
      <c r="V29">
        <v>0.99044735233492698</v>
      </c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7EACF-4C6C-4EB6-B567-82478454B07B}">
  <dimension ref="A1:X30"/>
  <sheetViews>
    <sheetView workbookViewId="0">
      <selection activeCell="Q30" sqref="Q30"/>
    </sheetView>
  </sheetViews>
  <sheetFormatPr defaultRowHeight="14.4"/>
  <sheetData>
    <row r="1" spans="1:24" ht="16.2">
      <c r="A1" s="7" t="s">
        <v>67</v>
      </c>
      <c r="C1" s="18" t="s">
        <v>71</v>
      </c>
      <c r="D1" s="18"/>
      <c r="E1" s="18"/>
      <c r="F1" s="18"/>
      <c r="G1" s="18"/>
      <c r="H1" s="18"/>
      <c r="I1" s="18"/>
      <c r="J1" s="18"/>
    </row>
    <row r="2" spans="1:24">
      <c r="C2" s="18" t="s">
        <v>45</v>
      </c>
      <c r="D2" s="18"/>
      <c r="E2" s="18" t="s">
        <v>46</v>
      </c>
      <c r="F2" s="18"/>
      <c r="G2" s="18" t="s">
        <v>47</v>
      </c>
      <c r="H2" s="18"/>
      <c r="I2" s="18" t="s">
        <v>48</v>
      </c>
      <c r="J2" s="18"/>
      <c r="L2" s="8" t="s">
        <v>45</v>
      </c>
      <c r="M2" s="8" t="s">
        <v>46</v>
      </c>
      <c r="N2" s="8" t="s">
        <v>47</v>
      </c>
      <c r="O2" s="8" t="s">
        <v>48</v>
      </c>
      <c r="Q2" t="s">
        <v>45</v>
      </c>
      <c r="R2" t="s">
        <v>46</v>
      </c>
      <c r="S2" t="s">
        <v>47</v>
      </c>
      <c r="T2" t="s">
        <v>48</v>
      </c>
      <c r="U2" t="s">
        <v>45</v>
      </c>
      <c r="V2" t="s">
        <v>46</v>
      </c>
      <c r="W2" t="s">
        <v>47</v>
      </c>
      <c r="X2" t="s">
        <v>48</v>
      </c>
    </row>
    <row r="3" spans="1:24" ht="15.6">
      <c r="C3" t="s">
        <v>72</v>
      </c>
      <c r="D3" t="s">
        <v>50</v>
      </c>
      <c r="E3" t="s">
        <v>72</v>
      </c>
      <c r="F3" t="s">
        <v>50</v>
      </c>
      <c r="G3" t="s">
        <v>72</v>
      </c>
      <c r="H3" t="s">
        <v>50</v>
      </c>
      <c r="I3" t="s">
        <v>72</v>
      </c>
      <c r="J3" t="s">
        <v>50</v>
      </c>
      <c r="L3" t="s">
        <v>51</v>
      </c>
      <c r="M3" t="s">
        <v>51</v>
      </c>
      <c r="N3" t="s">
        <v>51</v>
      </c>
      <c r="O3" t="s">
        <v>51</v>
      </c>
      <c r="Q3" t="s">
        <v>78</v>
      </c>
      <c r="R3" t="s">
        <v>78</v>
      </c>
      <c r="S3" t="s">
        <v>78</v>
      </c>
      <c r="T3" t="s">
        <v>78</v>
      </c>
      <c r="U3" t="s">
        <v>80</v>
      </c>
      <c r="V3" t="s">
        <v>80</v>
      </c>
      <c r="W3" t="s">
        <v>80</v>
      </c>
      <c r="X3" t="s">
        <v>80</v>
      </c>
    </row>
    <row r="4" spans="1:24">
      <c r="C4">
        <v>0</v>
      </c>
      <c r="D4">
        <v>1</v>
      </c>
      <c r="E4">
        <v>0</v>
      </c>
      <c r="F4">
        <v>1</v>
      </c>
      <c r="G4">
        <v>0</v>
      </c>
      <c r="H4">
        <v>1</v>
      </c>
      <c r="I4">
        <v>0</v>
      </c>
      <c r="J4">
        <v>1</v>
      </c>
      <c r="L4">
        <f>1+$Q$29*C4+$Q$30*C4^2</f>
        <v>1</v>
      </c>
    </row>
    <row r="5" spans="1:24">
      <c r="C5">
        <v>1</v>
      </c>
      <c r="D5">
        <v>0.84208722400184877</v>
      </c>
      <c r="E5">
        <v>1</v>
      </c>
      <c r="F5">
        <v>0.8719047990821901</v>
      </c>
      <c r="G5">
        <v>1</v>
      </c>
      <c r="H5">
        <v>0.78247024774843776</v>
      </c>
      <c r="I5">
        <v>1</v>
      </c>
      <c r="J5">
        <v>0.80714948566211964</v>
      </c>
      <c r="L5">
        <f t="shared" ref="L5:L23" si="0">1+$Q$29*C5+$Q$30*C5^2</f>
        <v>-1</v>
      </c>
    </row>
    <row r="6" spans="1:24">
      <c r="C6">
        <v>2</v>
      </c>
      <c r="D6">
        <v>0.85583101299828412</v>
      </c>
      <c r="E6">
        <v>2</v>
      </c>
      <c r="F6">
        <v>0.87300358352871843</v>
      </c>
      <c r="G6">
        <v>2</v>
      </c>
      <c r="H6">
        <v>0.73611508402642223</v>
      </c>
      <c r="I6">
        <v>2</v>
      </c>
      <c r="J6">
        <v>0.69660154192315715</v>
      </c>
      <c r="L6">
        <f t="shared" si="0"/>
        <v>-3</v>
      </c>
    </row>
    <row r="7" spans="1:24">
      <c r="C7">
        <v>3</v>
      </c>
      <c r="D7">
        <v>0.89411921590304944</v>
      </c>
      <c r="E7">
        <v>3</v>
      </c>
      <c r="F7">
        <v>0.8085873453509933</v>
      </c>
      <c r="G7">
        <v>3</v>
      </c>
      <c r="H7">
        <v>0.67457705383364175</v>
      </c>
      <c r="I7">
        <v>3</v>
      </c>
      <c r="J7">
        <v>0.63196444601167723</v>
      </c>
      <c r="L7">
        <f t="shared" si="0"/>
        <v>-5</v>
      </c>
    </row>
    <row r="8" spans="1:24">
      <c r="C8">
        <v>4</v>
      </c>
      <c r="D8">
        <v>0.80782806424512987</v>
      </c>
      <c r="E8">
        <v>4</v>
      </c>
      <c r="F8">
        <v>0.66526042465241864</v>
      </c>
      <c r="G8">
        <v>4</v>
      </c>
      <c r="H8">
        <v>0.58964137477944789</v>
      </c>
      <c r="I8">
        <v>4</v>
      </c>
      <c r="J8">
        <v>0.49811642751536406</v>
      </c>
      <c r="L8">
        <f t="shared" si="0"/>
        <v>-7</v>
      </c>
    </row>
    <row r="9" spans="1:24">
      <c r="C9">
        <v>5</v>
      </c>
      <c r="D9">
        <v>0.77924179723414255</v>
      </c>
      <c r="E9">
        <v>5</v>
      </c>
      <c r="F9">
        <v>0.60194953462483713</v>
      </c>
      <c r="G9">
        <v>5</v>
      </c>
      <c r="H9">
        <v>0.55531138531890867</v>
      </c>
      <c r="I9">
        <v>5</v>
      </c>
      <c r="J9">
        <v>0.42557964286029865</v>
      </c>
      <c r="L9">
        <f t="shared" si="0"/>
        <v>-9</v>
      </c>
    </row>
    <row r="10" spans="1:24">
      <c r="C10">
        <v>6</v>
      </c>
      <c r="D10">
        <v>0.74887565034061343</v>
      </c>
      <c r="E10">
        <v>6</v>
      </c>
      <c r="F10">
        <v>0.66656424213610876</v>
      </c>
      <c r="G10">
        <v>6</v>
      </c>
      <c r="H10">
        <v>0.49938671406882423</v>
      </c>
      <c r="I10">
        <v>6</v>
      </c>
      <c r="J10">
        <v>0.31685483154225391</v>
      </c>
      <c r="L10">
        <f t="shared" si="0"/>
        <v>-11</v>
      </c>
    </row>
    <row r="11" spans="1:24">
      <c r="C11">
        <v>8</v>
      </c>
      <c r="D11">
        <v>0.7573010895075255</v>
      </c>
      <c r="E11">
        <v>8</v>
      </c>
      <c r="F11">
        <v>0.17383457194399796</v>
      </c>
      <c r="G11">
        <v>8</v>
      </c>
      <c r="H11">
        <v>0.45973661826485396</v>
      </c>
      <c r="I11">
        <v>7</v>
      </c>
      <c r="J11">
        <v>0.1540948684218085</v>
      </c>
      <c r="L11">
        <f t="shared" si="0"/>
        <v>-15</v>
      </c>
    </row>
    <row r="12" spans="1:24">
      <c r="C12">
        <v>10</v>
      </c>
      <c r="D12">
        <v>0.72542054364670383</v>
      </c>
      <c r="E12">
        <v>10</v>
      </c>
      <c r="F12">
        <v>0.13761229117340132</v>
      </c>
      <c r="G12">
        <v>10</v>
      </c>
      <c r="H12">
        <v>0.43198668331810791</v>
      </c>
      <c r="I12">
        <v>8</v>
      </c>
      <c r="J12">
        <v>0.13002007760794732</v>
      </c>
      <c r="L12">
        <f t="shared" si="0"/>
        <v>-19</v>
      </c>
    </row>
    <row r="13" spans="1:24">
      <c r="C13">
        <v>12</v>
      </c>
      <c r="D13">
        <v>0.657386688720347</v>
      </c>
      <c r="E13">
        <v>12</v>
      </c>
      <c r="F13">
        <v>0.13138949241803621</v>
      </c>
      <c r="G13">
        <v>12</v>
      </c>
      <c r="H13">
        <v>0.43620617795612521</v>
      </c>
      <c r="I13">
        <v>9</v>
      </c>
      <c r="J13">
        <v>0.13679520979314949</v>
      </c>
      <c r="L13">
        <f t="shared" si="0"/>
        <v>-23</v>
      </c>
    </row>
    <row r="14" spans="1:24">
      <c r="C14">
        <v>14</v>
      </c>
      <c r="D14">
        <v>0.65840012454856434</v>
      </c>
      <c r="G14">
        <v>14</v>
      </c>
      <c r="H14">
        <v>0.38538208797016077</v>
      </c>
      <c r="I14">
        <v>10</v>
      </c>
      <c r="J14">
        <v>0.12766076616203526</v>
      </c>
      <c r="L14">
        <f t="shared" si="0"/>
        <v>-27</v>
      </c>
    </row>
    <row r="15" spans="1:24">
      <c r="C15">
        <v>16</v>
      </c>
      <c r="D15">
        <v>0.53930532137147458</v>
      </c>
      <c r="G15">
        <v>16</v>
      </c>
      <c r="H15">
        <v>0.36056106220175366</v>
      </c>
      <c r="L15">
        <f t="shared" si="0"/>
        <v>-31</v>
      </c>
    </row>
    <row r="16" spans="1:24">
      <c r="C16">
        <v>18</v>
      </c>
      <c r="D16">
        <v>0.50581451079406126</v>
      </c>
      <c r="G16">
        <v>18</v>
      </c>
      <c r="H16">
        <v>0.31944179712752446</v>
      </c>
      <c r="L16">
        <f t="shared" si="0"/>
        <v>-35</v>
      </c>
    </row>
    <row r="17" spans="3:17">
      <c r="C17">
        <v>20</v>
      </c>
      <c r="D17">
        <v>0.40482099376610842</v>
      </c>
      <c r="G17">
        <v>20</v>
      </c>
      <c r="H17">
        <v>0.23230066061049878</v>
      </c>
      <c r="L17">
        <f t="shared" si="0"/>
        <v>-39</v>
      </c>
    </row>
    <row r="18" spans="3:17">
      <c r="C18">
        <v>22</v>
      </c>
      <c r="D18">
        <v>0.40515242573112892</v>
      </c>
      <c r="G18">
        <v>22</v>
      </c>
      <c r="H18">
        <v>0.15070119437459695</v>
      </c>
      <c r="L18">
        <f t="shared" si="0"/>
        <v>-43</v>
      </c>
    </row>
    <row r="19" spans="3:17">
      <c r="C19">
        <v>24</v>
      </c>
      <c r="D19">
        <v>0.25103593126455687</v>
      </c>
      <c r="G19">
        <v>24</v>
      </c>
      <c r="H19">
        <v>0.15110482263125347</v>
      </c>
      <c r="L19">
        <f t="shared" si="0"/>
        <v>-47</v>
      </c>
    </row>
    <row r="20" spans="3:17">
      <c r="C20">
        <v>26</v>
      </c>
      <c r="D20">
        <v>0.16550448692936906</v>
      </c>
      <c r="G20">
        <v>26</v>
      </c>
      <c r="H20">
        <v>0.13179349913915536</v>
      </c>
      <c r="L20">
        <f t="shared" si="0"/>
        <v>-51</v>
      </c>
    </row>
    <row r="21" spans="3:17">
      <c r="C21">
        <v>28</v>
      </c>
      <c r="D21">
        <v>0.13092609034474734</v>
      </c>
      <c r="G21">
        <v>28</v>
      </c>
      <c r="H21">
        <v>0.12964168263055892</v>
      </c>
      <c r="L21">
        <f t="shared" si="0"/>
        <v>-55</v>
      </c>
    </row>
    <row r="22" spans="3:17">
      <c r="C22">
        <v>30</v>
      </c>
      <c r="D22">
        <v>0.12918285933370885</v>
      </c>
      <c r="L22">
        <f t="shared" si="0"/>
        <v>-59</v>
      </c>
    </row>
    <row r="23" spans="3:17">
      <c r="C23">
        <v>32</v>
      </c>
      <c r="D23">
        <v>0.13792761311581958</v>
      </c>
      <c r="L23">
        <f t="shared" si="0"/>
        <v>-63</v>
      </c>
    </row>
    <row r="25" spans="3:17">
      <c r="P25" t="s">
        <v>53</v>
      </c>
    </row>
    <row r="26" spans="3:17">
      <c r="P26" t="s">
        <v>57</v>
      </c>
    </row>
    <row r="27" spans="3:17">
      <c r="P27" t="s">
        <v>74</v>
      </c>
    </row>
    <row r="28" spans="3:17">
      <c r="P28" t="s">
        <v>59</v>
      </c>
    </row>
    <row r="29" spans="3:17">
      <c r="P29" t="s">
        <v>81</v>
      </c>
      <c r="Q29">
        <v>-2</v>
      </c>
    </row>
    <row r="30" spans="3:17">
      <c r="P30" t="s">
        <v>83</v>
      </c>
    </row>
  </sheetData>
  <mergeCells count="5">
    <mergeCell ref="C1:J1"/>
    <mergeCell ref="C2:D2"/>
    <mergeCell ref="E2:F2"/>
    <mergeCell ref="G2:H2"/>
    <mergeCell ref="I2:J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3AD93-7195-4517-BDE3-A3D5ADF9D096}">
  <dimension ref="A1:Y30"/>
  <sheetViews>
    <sheetView workbookViewId="0">
      <selection activeCell="E29" sqref="E29"/>
    </sheetView>
  </sheetViews>
  <sheetFormatPr defaultRowHeight="14.4"/>
  <sheetData>
    <row r="1" spans="1:25" ht="15.6">
      <c r="A1" s="7" t="s">
        <v>66</v>
      </c>
      <c r="D1" s="18" t="s">
        <v>71</v>
      </c>
      <c r="E1" s="18"/>
      <c r="F1" s="18"/>
      <c r="G1" s="18"/>
      <c r="H1" s="18"/>
      <c r="I1" s="18"/>
      <c r="J1" s="18"/>
      <c r="K1" s="18"/>
    </row>
    <row r="2" spans="1:25">
      <c r="D2" s="18" t="s">
        <v>45</v>
      </c>
      <c r="E2" s="18"/>
      <c r="F2" s="18" t="s">
        <v>46</v>
      </c>
      <c r="G2" s="18"/>
      <c r="H2" s="18" t="s">
        <v>47</v>
      </c>
      <c r="I2" s="18"/>
      <c r="J2" s="18" t="s">
        <v>48</v>
      </c>
      <c r="K2" s="18"/>
      <c r="M2" s="8" t="s">
        <v>45</v>
      </c>
      <c r="N2" s="8" t="s">
        <v>46</v>
      </c>
      <c r="O2" s="8" t="s">
        <v>47</v>
      </c>
      <c r="P2" s="8" t="s">
        <v>48</v>
      </c>
      <c r="R2" t="s">
        <v>45</v>
      </c>
      <c r="S2" t="s">
        <v>46</v>
      </c>
      <c r="T2" t="s">
        <v>47</v>
      </c>
      <c r="U2" t="s">
        <v>48</v>
      </c>
      <c r="V2" t="s">
        <v>45</v>
      </c>
      <c r="W2" t="s">
        <v>46</v>
      </c>
      <c r="X2" t="s">
        <v>47</v>
      </c>
      <c r="Y2" t="s">
        <v>48</v>
      </c>
    </row>
    <row r="3" spans="1:25" ht="15.6">
      <c r="D3" t="s">
        <v>72</v>
      </c>
      <c r="E3" t="s">
        <v>50</v>
      </c>
      <c r="F3" t="s">
        <v>72</v>
      </c>
      <c r="G3" t="s">
        <v>50</v>
      </c>
      <c r="H3" t="s">
        <v>72</v>
      </c>
      <c r="I3" t="s">
        <v>50</v>
      </c>
      <c r="J3" t="s">
        <v>72</v>
      </c>
      <c r="K3" t="s">
        <v>50</v>
      </c>
      <c r="M3" t="s">
        <v>51</v>
      </c>
      <c r="N3" t="s">
        <v>51</v>
      </c>
      <c r="O3" t="s">
        <v>51</v>
      </c>
      <c r="P3" t="s">
        <v>51</v>
      </c>
      <c r="R3" t="s">
        <v>78</v>
      </c>
      <c r="S3" t="s">
        <v>78</v>
      </c>
      <c r="T3" t="s">
        <v>78</v>
      </c>
      <c r="U3" t="s">
        <v>78</v>
      </c>
      <c r="V3" t="s">
        <v>80</v>
      </c>
      <c r="W3" t="s">
        <v>80</v>
      </c>
      <c r="X3" t="s">
        <v>80</v>
      </c>
      <c r="Y3" t="s">
        <v>80</v>
      </c>
    </row>
    <row r="4" spans="1:25">
      <c r="D4">
        <v>0</v>
      </c>
      <c r="E4">
        <v>1</v>
      </c>
      <c r="F4">
        <v>0</v>
      </c>
      <c r="G4">
        <v>1</v>
      </c>
      <c r="H4">
        <v>0</v>
      </c>
      <c r="I4">
        <v>1</v>
      </c>
      <c r="J4">
        <v>0</v>
      </c>
      <c r="K4">
        <v>1</v>
      </c>
    </row>
    <row r="5" spans="1:25">
      <c r="D5">
        <v>1</v>
      </c>
      <c r="E5">
        <v>0.84208722400184877</v>
      </c>
      <c r="F5">
        <v>1</v>
      </c>
      <c r="G5">
        <v>0.8719047990821901</v>
      </c>
      <c r="H5">
        <v>1</v>
      </c>
      <c r="I5">
        <v>0.78247024774843776</v>
      </c>
      <c r="J5">
        <v>1</v>
      </c>
      <c r="K5">
        <v>0.80714948566211964</v>
      </c>
    </row>
    <row r="6" spans="1:25">
      <c r="D6">
        <v>2</v>
      </c>
      <c r="E6">
        <v>0.85583101299828412</v>
      </c>
      <c r="F6">
        <v>2</v>
      </c>
      <c r="G6">
        <v>0.87300358352871843</v>
      </c>
      <c r="H6">
        <v>2</v>
      </c>
      <c r="I6">
        <v>0.73611508402642223</v>
      </c>
      <c r="J6">
        <v>2</v>
      </c>
      <c r="K6">
        <v>0.69660154192315715</v>
      </c>
    </row>
    <row r="7" spans="1:25">
      <c r="D7">
        <v>3</v>
      </c>
      <c r="E7">
        <v>0.89411921590304944</v>
      </c>
      <c r="F7">
        <v>3</v>
      </c>
      <c r="G7">
        <v>0.8085873453509933</v>
      </c>
      <c r="H7">
        <v>3</v>
      </c>
      <c r="I7">
        <v>0.67457705383364175</v>
      </c>
      <c r="J7">
        <v>3</v>
      </c>
      <c r="K7">
        <v>0.63196444601167723</v>
      </c>
    </row>
    <row r="8" spans="1:25">
      <c r="D8">
        <v>4</v>
      </c>
      <c r="E8">
        <v>0.80782806424512987</v>
      </c>
      <c r="F8">
        <v>4</v>
      </c>
      <c r="G8">
        <v>0.66526042465241864</v>
      </c>
      <c r="H8">
        <v>4</v>
      </c>
      <c r="I8">
        <v>0.58964137477944789</v>
      </c>
      <c r="J8">
        <v>4</v>
      </c>
      <c r="K8">
        <v>0.49811642751536406</v>
      </c>
    </row>
    <row r="9" spans="1:25">
      <c r="D9">
        <v>5</v>
      </c>
      <c r="E9">
        <v>0.77924179723414255</v>
      </c>
      <c r="F9">
        <v>5</v>
      </c>
      <c r="G9">
        <v>0.60194953462483713</v>
      </c>
      <c r="H9">
        <v>5</v>
      </c>
      <c r="I9">
        <v>0.55531138531890867</v>
      </c>
      <c r="J9">
        <v>5</v>
      </c>
      <c r="K9">
        <v>0.42557964286029865</v>
      </c>
    </row>
    <row r="10" spans="1:25">
      <c r="D10">
        <v>6</v>
      </c>
      <c r="E10">
        <v>0.74887565034061343</v>
      </c>
      <c r="F10">
        <v>6</v>
      </c>
      <c r="G10">
        <v>0.66656424213610876</v>
      </c>
      <c r="H10">
        <v>6</v>
      </c>
      <c r="I10">
        <v>0.49938671406882423</v>
      </c>
      <c r="J10">
        <v>6</v>
      </c>
      <c r="K10">
        <v>0.31685483154225391</v>
      </c>
    </row>
    <row r="11" spans="1:25">
      <c r="D11">
        <v>8</v>
      </c>
      <c r="E11">
        <v>0.7573010895075255</v>
      </c>
      <c r="F11">
        <v>8</v>
      </c>
      <c r="G11">
        <v>0.17383457194399796</v>
      </c>
      <c r="H11">
        <v>8</v>
      </c>
      <c r="I11">
        <v>0.45973661826485396</v>
      </c>
      <c r="J11">
        <v>7</v>
      </c>
      <c r="K11">
        <v>0.1540948684218085</v>
      </c>
    </row>
    <row r="12" spans="1:25">
      <c r="D12">
        <v>10</v>
      </c>
      <c r="E12">
        <v>0.72542054364670383</v>
      </c>
      <c r="F12">
        <v>10</v>
      </c>
      <c r="G12">
        <v>0.13761229117340132</v>
      </c>
      <c r="H12">
        <v>10</v>
      </c>
      <c r="I12">
        <v>0.43198668331810791</v>
      </c>
      <c r="J12">
        <v>8</v>
      </c>
      <c r="K12">
        <v>0.13002007760794732</v>
      </c>
    </row>
    <row r="13" spans="1:25">
      <c r="D13">
        <v>12</v>
      </c>
      <c r="E13">
        <v>0.657386688720347</v>
      </c>
      <c r="F13">
        <v>12</v>
      </c>
      <c r="G13">
        <v>0.13138949241803621</v>
      </c>
      <c r="H13">
        <v>12</v>
      </c>
      <c r="I13">
        <v>0.43620617795612521</v>
      </c>
      <c r="J13">
        <v>9</v>
      </c>
      <c r="K13">
        <v>0.13679520979314949</v>
      </c>
    </row>
    <row r="14" spans="1:25">
      <c r="D14">
        <v>14</v>
      </c>
      <c r="E14">
        <v>0.65840012454856434</v>
      </c>
      <c r="H14">
        <v>14</v>
      </c>
      <c r="I14">
        <v>0.38538208797016077</v>
      </c>
      <c r="J14">
        <v>10</v>
      </c>
      <c r="K14">
        <v>0.12766076616203526</v>
      </c>
    </row>
    <row r="15" spans="1:25">
      <c r="D15">
        <v>16</v>
      </c>
      <c r="E15">
        <v>0.53930532137147458</v>
      </c>
      <c r="H15">
        <v>16</v>
      </c>
      <c r="I15">
        <v>0.36056106220175366</v>
      </c>
    </row>
    <row r="16" spans="1:25">
      <c r="D16">
        <v>18</v>
      </c>
      <c r="E16">
        <v>0.50581451079406126</v>
      </c>
      <c r="H16">
        <v>18</v>
      </c>
      <c r="I16">
        <v>0.31944179712752446</v>
      </c>
    </row>
    <row r="17" spans="4:17">
      <c r="D17">
        <v>20</v>
      </c>
      <c r="E17">
        <v>0.40482099376610842</v>
      </c>
      <c r="H17">
        <v>20</v>
      </c>
      <c r="I17">
        <v>0.23230066061049878</v>
      </c>
    </row>
    <row r="18" spans="4:17">
      <c r="D18">
        <v>22</v>
      </c>
      <c r="E18">
        <v>0.40515242573112892</v>
      </c>
      <c r="H18">
        <v>22</v>
      </c>
      <c r="I18">
        <v>0.15070119437459695</v>
      </c>
    </row>
    <row r="19" spans="4:17">
      <c r="D19">
        <v>24</v>
      </c>
      <c r="E19">
        <v>0.25103593126455687</v>
      </c>
      <c r="H19">
        <v>24</v>
      </c>
      <c r="I19">
        <v>0.15110482263125347</v>
      </c>
    </row>
    <row r="20" spans="4:17">
      <c r="D20">
        <v>26</v>
      </c>
      <c r="E20">
        <v>0.16550448692936906</v>
      </c>
      <c r="H20">
        <v>26</v>
      </c>
      <c r="I20">
        <v>0.13179349913915536</v>
      </c>
    </row>
    <row r="21" spans="4:17">
      <c r="D21">
        <v>28</v>
      </c>
      <c r="E21">
        <v>0.13092609034474734</v>
      </c>
      <c r="H21">
        <v>28</v>
      </c>
      <c r="I21">
        <v>0.12964168263055892</v>
      </c>
    </row>
    <row r="22" spans="4:17">
      <c r="D22">
        <v>30</v>
      </c>
      <c r="E22">
        <v>0.12918285933370885</v>
      </c>
    </row>
    <row r="23" spans="4:17">
      <c r="D23">
        <v>32</v>
      </c>
      <c r="E23">
        <v>0.13792761311581958</v>
      </c>
    </row>
    <row r="24" spans="4:17">
      <c r="Q24" t="s">
        <v>53</v>
      </c>
    </row>
    <row r="26" spans="4:17">
      <c r="Q26" t="s">
        <v>57</v>
      </c>
    </row>
    <row r="28" spans="4:17">
      <c r="Q28" t="s">
        <v>74</v>
      </c>
    </row>
    <row r="30" spans="4:17">
      <c r="Q30" t="s">
        <v>59</v>
      </c>
    </row>
  </sheetData>
  <mergeCells count="5">
    <mergeCell ref="D1:K1"/>
    <mergeCell ref="D2:E2"/>
    <mergeCell ref="F2:G2"/>
    <mergeCell ref="H2:I2"/>
    <mergeCell ref="J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D5E03-AF60-40F0-B60C-1664C56EE047}">
  <dimension ref="A1"/>
  <sheetViews>
    <sheetView workbookViewId="0">
      <selection activeCell="I29" sqref="I29"/>
    </sheetView>
  </sheetViews>
  <sheetFormatPr defaultRowHeight="14.4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3BE1-BECE-4170-BCE1-D1B03479C071}">
  <dimension ref="A1:AP82"/>
  <sheetViews>
    <sheetView topLeftCell="S12" zoomScale="85" zoomScaleNormal="60" workbookViewId="0">
      <selection activeCell="R29" sqref="R29"/>
    </sheetView>
  </sheetViews>
  <sheetFormatPr defaultRowHeight="14.4"/>
  <cols>
    <col min="5" max="5" width="9" bestFit="1" customWidth="1"/>
    <col min="6" max="6" width="12" bestFit="1" customWidth="1"/>
    <col min="7" max="7" width="13" bestFit="1" customWidth="1"/>
    <col min="8" max="8" width="12.44140625" bestFit="1" customWidth="1"/>
    <col min="9" max="9" width="13" bestFit="1" customWidth="1"/>
    <col min="10" max="13" width="9" bestFit="1" customWidth="1"/>
    <col min="15" max="15" width="14.5546875" bestFit="1" customWidth="1"/>
    <col min="16" max="23" width="14.77734375" bestFit="1" customWidth="1"/>
    <col min="24" max="25" width="9.109375" bestFit="1" customWidth="1"/>
    <col min="26" max="27" width="14.77734375" bestFit="1" customWidth="1"/>
    <col min="28" max="28" width="13" bestFit="1" customWidth="1"/>
    <col min="30" max="30" width="9.109375" bestFit="1" customWidth="1"/>
  </cols>
  <sheetData>
    <row r="1" spans="1:31" ht="16.2">
      <c r="T1" t="s">
        <v>128</v>
      </c>
    </row>
    <row r="2" spans="1:31">
      <c r="A2" t="s">
        <v>129</v>
      </c>
    </row>
    <row r="3" spans="1:31">
      <c r="A3" t="s">
        <v>45</v>
      </c>
      <c r="C3" t="s">
        <v>46</v>
      </c>
      <c r="E3" t="s">
        <v>47</v>
      </c>
      <c r="G3" t="s">
        <v>48</v>
      </c>
      <c r="J3" t="s">
        <v>45</v>
      </c>
      <c r="K3" t="s">
        <v>46</v>
      </c>
      <c r="L3" t="s">
        <v>47</v>
      </c>
      <c r="M3" t="s">
        <v>48</v>
      </c>
      <c r="O3" t="s">
        <v>45</v>
      </c>
      <c r="Q3" t="s">
        <v>46</v>
      </c>
      <c r="S3" t="s">
        <v>47</v>
      </c>
      <c r="U3" t="s">
        <v>48</v>
      </c>
    </row>
    <row r="4" spans="1:31">
      <c r="A4" t="s">
        <v>72</v>
      </c>
      <c r="B4" t="s">
        <v>130</v>
      </c>
      <c r="C4" t="s">
        <v>72</v>
      </c>
      <c r="D4" t="s">
        <v>130</v>
      </c>
      <c r="E4" t="s">
        <v>72</v>
      </c>
      <c r="F4" t="s">
        <v>130</v>
      </c>
      <c r="G4" t="s">
        <v>72</v>
      </c>
      <c r="H4" t="s">
        <v>130</v>
      </c>
      <c r="J4" t="s">
        <v>55</v>
      </c>
      <c r="K4" t="s">
        <v>55</v>
      </c>
      <c r="L4" t="s">
        <v>55</v>
      </c>
      <c r="M4" t="s">
        <v>55</v>
      </c>
      <c r="O4" t="s">
        <v>54</v>
      </c>
      <c r="P4">
        <f>SUM(P5:P18)</f>
        <v>1.2980936445765878</v>
      </c>
      <c r="Q4" t="s">
        <v>54</v>
      </c>
      <c r="R4">
        <f>SUM(R5:R11)</f>
        <v>2.6072109691302443</v>
      </c>
      <c r="S4" t="s">
        <v>54</v>
      </c>
      <c r="T4">
        <f>SUM(T5:T17)</f>
        <v>0.84727062050386859</v>
      </c>
      <c r="U4" t="s">
        <v>54</v>
      </c>
      <c r="V4">
        <f>SUM(V5:V12)</f>
        <v>0.79811508217982441</v>
      </c>
    </row>
    <row r="5" spans="1:31">
      <c r="A5">
        <v>0</v>
      </c>
      <c r="B5">
        <v>1</v>
      </c>
      <c r="C5">
        <v>0</v>
      </c>
      <c r="D5">
        <v>1</v>
      </c>
      <c r="E5">
        <v>0</v>
      </c>
      <c r="F5">
        <v>1</v>
      </c>
      <c r="G5">
        <v>0</v>
      </c>
      <c r="H5">
        <v>1</v>
      </c>
      <c r="J5" s="2">
        <f>P$33*(A5)^4+P$34*(A5)^3+P$35*(A5)^2+P$36*(A5)+$P$37</f>
        <v>1</v>
      </c>
      <c r="K5" s="2">
        <f>$R$33*(C5)^4+$R$34*(C5)^3+$R$35*(C5)^2+$R$36*(C5)+$R$37</f>
        <v>1.0081575395967519</v>
      </c>
      <c r="L5" s="2">
        <f>$T$33*((E5)^4)+$T$34*((E5)^3)+$T$35*((E5)^2)+$T$36*(E5)+$T$37</f>
        <v>0.96732012164794956</v>
      </c>
      <c r="M5" s="2">
        <f>$V$33*(G5)^4+$V$34*(G5)^3+$V$35*(G5)^2+$V$36*(G5)+$V$37</f>
        <v>0.99287187317089942</v>
      </c>
      <c r="O5">
        <f>(B5-J5)^2</f>
        <v>0</v>
      </c>
      <c r="P5">
        <f>(B5-$J$19)^2</f>
        <v>0.19076977998400024</v>
      </c>
      <c r="Q5">
        <f>(D5-K5)^2</f>
        <v>6.6545452272575437E-5</v>
      </c>
      <c r="R5">
        <f>(Q5-$K$19)^2</f>
        <v>0.37399434565252043</v>
      </c>
      <c r="S5">
        <f>(F5-L5)^2</f>
        <v>1.0679744491048149E-3</v>
      </c>
      <c r="T5">
        <f>(F5-$L$19)^2</f>
        <v>0.30744897852171482</v>
      </c>
      <c r="U5">
        <f>(H5-M5)^2</f>
        <v>5.0810192091743468E-5</v>
      </c>
      <c r="V5">
        <f>(H5-$M$19)^2</f>
        <v>0.28391953895735322</v>
      </c>
      <c r="AD5">
        <f>(8/(PI()^2))*EXP(-((PI()/(2*$P$39))^(2))*0.0000001*(A5))</f>
        <v>0.8105694691387022</v>
      </c>
      <c r="AE5">
        <f>(8/(PI()^2))*EXP(-((PI()/(2*$P$39))^(2))*0.00000001*(A5))</f>
        <v>0.8105694691387022</v>
      </c>
    </row>
    <row r="6" spans="1:31">
      <c r="A6">
        <v>1</v>
      </c>
      <c r="B6">
        <v>0.84208722400184877</v>
      </c>
      <c r="C6">
        <v>1</v>
      </c>
      <c r="D6">
        <v>0.8719047990821901</v>
      </c>
      <c r="E6">
        <v>1</v>
      </c>
      <c r="F6">
        <v>0.78247024774843776</v>
      </c>
      <c r="G6">
        <v>1</v>
      </c>
      <c r="H6">
        <v>0.80714948566211964</v>
      </c>
      <c r="J6" s="2">
        <f t="shared" ref="J6:J18" si="0">P$33*(A6)^4+P$34*(A6)^3+P$35*(A6)^2+P$36*(A6)+$P$37</f>
        <v>0.92810800000000004</v>
      </c>
      <c r="K6" s="2">
        <f t="shared" ref="K6:K11" si="1">$R$33*(C6)^4+$R$34*(C6)^3+$R$35*(C6)^2+$R$36*(C6)+$R$37</f>
        <v>0.86200897596706794</v>
      </c>
      <c r="L6" s="2">
        <f>$T$33*((E6)^4)+$T$34*((E6)^3)+$T$35*((E6)^2)+$T$36*(E6)+$T$37</f>
        <v>0.83677653994891621</v>
      </c>
      <c r="M6" s="2">
        <f t="shared" ref="M6:M12" si="2">$V$33*(G6)^4+$V$34*(G6)^3+$V$35*(G6)^2+$V$36*(G6)+$V$37</f>
        <v>0.82179485724700141</v>
      </c>
      <c r="O6">
        <f t="shared" ref="O6:O18" si="3">(B6-J6)^2</f>
        <v>7.3995739033241191E-3</v>
      </c>
      <c r="P6">
        <f t="shared" ref="P6:P18" si="4">(B6-$J$19)^2</f>
        <v>7.7762466810913422E-2</v>
      </c>
      <c r="Q6">
        <f t="shared" ref="Q6:Q11" si="5">(D6-K6)^2</f>
        <v>9.7927315125786047E-5</v>
      </c>
      <c r="R6">
        <f t="shared" ref="R6:R11" si="6">(Q6-$K$19)^2</f>
        <v>0.37395596343248783</v>
      </c>
      <c r="S6">
        <f t="shared" ref="S6:S25" si="7">(F6-L6)^2</f>
        <v>2.9491733725637462E-3</v>
      </c>
      <c r="T6">
        <f t="shared" ref="T6:T17" si="8">(F6-$L$19)^2</f>
        <v>0.11353602131169166</v>
      </c>
      <c r="U6">
        <f t="shared" ref="U6:U23" si="9">(H6-M6)^2</f>
        <v>2.1448690885926243E-4</v>
      </c>
      <c r="V6">
        <f t="shared" ref="V6:V12" si="10">(H6-$M$19)^2</f>
        <v>0.11559353523882375</v>
      </c>
      <c r="AD6">
        <f>(8/(PI()^2))*EXP(-((PI()/(2*$P$39))^(2))*0.0000001*(A6))</f>
        <v>0.79304623685119524</v>
      </c>
      <c r="AE6">
        <f t="shared" ref="AE6:AE23" si="11">(8/(PI()^2))*EXP(-((PI()/(2*$P$39))^(2))*0.00000001*(A6))</f>
        <v>0.80879986167779583</v>
      </c>
    </row>
    <row r="7" spans="1:31">
      <c r="A7">
        <v>2</v>
      </c>
      <c r="B7">
        <v>0.85583101299828412</v>
      </c>
      <c r="C7">
        <v>3</v>
      </c>
      <c r="D7">
        <v>0.8085873453509933</v>
      </c>
      <c r="E7">
        <v>3</v>
      </c>
      <c r="F7">
        <v>0.67457705383364175</v>
      </c>
      <c r="G7">
        <v>2</v>
      </c>
      <c r="H7">
        <v>0.69660154192315715</v>
      </c>
      <c r="J7" s="2">
        <f t="shared" si="0"/>
        <v>0.87232799999999999</v>
      </c>
      <c r="K7" s="2">
        <f t="shared" si="1"/>
        <v>0.76529959979728401</v>
      </c>
      <c r="L7" s="2">
        <f t="shared" ref="L7:L17" si="12">$T$33*((E7)^4)+$T$34*((E7)^3)+$T$35*((E7)^2)+$T$36*(E7)+$T$37</f>
        <v>0.65085674911350611</v>
      </c>
      <c r="M7" s="2">
        <f t="shared" si="2"/>
        <v>0.69388375320393947</v>
      </c>
      <c r="O7">
        <f t="shared" si="3"/>
        <v>2.7215058013478231E-4</v>
      </c>
      <c r="P7">
        <f t="shared" si="4"/>
        <v>8.5616523215674187E-2</v>
      </c>
      <c r="Q7">
        <f t="shared" si="5"/>
        <v>1.8738289151226783E-3</v>
      </c>
      <c r="R7">
        <f t="shared" si="6"/>
        <v>0.37178712073537334</v>
      </c>
      <c r="S7">
        <f t="shared" si="7"/>
        <v>5.6265285601608925E-4</v>
      </c>
      <c r="T7">
        <f t="shared" si="8"/>
        <v>5.2467509058658761E-2</v>
      </c>
      <c r="U7">
        <f t="shared" si="9"/>
        <v>7.3863755223069004E-6</v>
      </c>
      <c r="V7">
        <f t="shared" si="10"/>
        <v>5.2643883349614846E-2</v>
      </c>
      <c r="AD7">
        <f t="shared" ref="AD7:AD18" si="13">(8/(PI()^2))*EXP(-((PI()/(2*$P$39))^(2))*0.0000001*(A7))</f>
        <v>0.77590182918204986</v>
      </c>
      <c r="AE7">
        <f t="shared" si="11"/>
        <v>0.80703411756319698</v>
      </c>
    </row>
    <row r="8" spans="1:31">
      <c r="A8">
        <v>4</v>
      </c>
      <c r="B8">
        <v>0.80782806424512987</v>
      </c>
      <c r="C8">
        <v>4</v>
      </c>
      <c r="D8">
        <v>0.66526042465241864</v>
      </c>
      <c r="E8">
        <v>4</v>
      </c>
      <c r="F8">
        <v>0.58964137477944789</v>
      </c>
      <c r="G8">
        <v>4</v>
      </c>
      <c r="H8">
        <v>0.49811642751536406</v>
      </c>
      <c r="J8" s="2">
        <f t="shared" si="0"/>
        <v>0.79844800000000005</v>
      </c>
      <c r="K8" s="2">
        <f t="shared" si="1"/>
        <v>0.74092722583791137</v>
      </c>
      <c r="L8" s="2">
        <f t="shared" si="12"/>
        <v>0.58796331849131578</v>
      </c>
      <c r="M8" s="2">
        <f t="shared" si="2"/>
        <v>0.48936448177270131</v>
      </c>
      <c r="O8">
        <f t="shared" si="3"/>
        <v>8.7985605242762991E-5</v>
      </c>
      <c r="P8">
        <f t="shared" si="4"/>
        <v>5.9829191428721791E-2</v>
      </c>
      <c r="Q8">
        <f t="shared" si="5"/>
        <v>5.7254648016448854E-3</v>
      </c>
      <c r="R8">
        <f t="shared" si="6"/>
        <v>0.36710493603713978</v>
      </c>
      <c r="S8">
        <f t="shared" si="7"/>
        <v>2.8158729061397238E-6</v>
      </c>
      <c r="T8">
        <f t="shared" si="8"/>
        <v>2.0771206709338835E-2</v>
      </c>
      <c r="U8">
        <f t="shared" si="9"/>
        <v>7.6596554282512598E-5</v>
      </c>
      <c r="V8">
        <f t="shared" si="10"/>
        <v>9.5836276435604844E-4</v>
      </c>
      <c r="AD8">
        <f t="shared" si="13"/>
        <v>0.74271690638404053</v>
      </c>
      <c r="AE8">
        <f t="shared" si="11"/>
        <v>0.80351418565403554</v>
      </c>
    </row>
    <row r="9" spans="1:31">
      <c r="A9">
        <v>5</v>
      </c>
      <c r="B9">
        <v>0.77924179723414255</v>
      </c>
      <c r="C9">
        <v>6</v>
      </c>
      <c r="D9">
        <v>0.66656424213610876</v>
      </c>
      <c r="E9">
        <v>6</v>
      </c>
      <c r="F9">
        <v>0.49938671406882423</v>
      </c>
      <c r="G9">
        <v>6</v>
      </c>
      <c r="H9">
        <v>0.31685483154225391</v>
      </c>
      <c r="J9" s="2">
        <f t="shared" si="0"/>
        <v>0.77550000000000008</v>
      </c>
      <c r="K9" s="2">
        <f t="shared" si="1"/>
        <v>0.6290669694338058</v>
      </c>
      <c r="L9" s="2">
        <f t="shared" si="12"/>
        <v>0.50557809627098282</v>
      </c>
      <c r="M9" s="2">
        <f t="shared" si="2"/>
        <v>0.29312011968019602</v>
      </c>
      <c r="O9">
        <f t="shared" si="3"/>
        <v>1.4001046541436272E-5</v>
      </c>
      <c r="P9">
        <f t="shared" si="4"/>
        <v>4.666196059551337E-2</v>
      </c>
      <c r="Q9">
        <f t="shared" si="5"/>
        <v>1.406045460110875E-3</v>
      </c>
      <c r="R9">
        <f t="shared" si="6"/>
        <v>0.37235779538738467</v>
      </c>
      <c r="S9">
        <f t="shared" si="7"/>
        <v>3.8333213573206159E-5</v>
      </c>
      <c r="T9">
        <f t="shared" si="8"/>
        <v>2.901711107535346E-3</v>
      </c>
      <c r="U9">
        <f t="shared" si="9"/>
        <v>5.633365471749115E-4</v>
      </c>
      <c r="V9">
        <f t="shared" si="10"/>
        <v>2.2591340890423403E-2</v>
      </c>
      <c r="AD9">
        <f t="shared" si="13"/>
        <v>0.72666053938534836</v>
      </c>
      <c r="AE9">
        <f t="shared" si="11"/>
        <v>0.80175998104602275</v>
      </c>
    </row>
    <row r="10" spans="1:31">
      <c r="A10">
        <v>8</v>
      </c>
      <c r="B10">
        <v>0.7573010895075255</v>
      </c>
      <c r="C10">
        <v>10</v>
      </c>
      <c r="D10">
        <v>0.13761229117340132</v>
      </c>
      <c r="E10">
        <v>8</v>
      </c>
      <c r="F10">
        <v>0.45973661826485396</v>
      </c>
      <c r="G10">
        <v>7</v>
      </c>
      <c r="H10">
        <v>0.1540948684218085</v>
      </c>
      <c r="J10" s="2">
        <f t="shared" si="0"/>
        <v>0.737568</v>
      </c>
      <c r="K10" s="2">
        <f t="shared" si="1"/>
        <v>0.14780529817928301</v>
      </c>
      <c r="L10" s="2">
        <f t="shared" si="12"/>
        <v>0.4619605257784819</v>
      </c>
      <c r="M10" s="2">
        <f t="shared" si="2"/>
        <v>0.20187602435239693</v>
      </c>
      <c r="O10">
        <f t="shared" si="3"/>
        <v>3.8939482151201309E-4</v>
      </c>
      <c r="P10">
        <f t="shared" si="4"/>
        <v>3.7664364070996111E-2</v>
      </c>
      <c r="Q10">
        <f t="shared" si="5"/>
        <v>1.0389739182195318E-4</v>
      </c>
      <c r="R10">
        <f t="shared" si="6"/>
        <v>0.37394866183281966</v>
      </c>
      <c r="S10">
        <f t="shared" si="7"/>
        <v>4.9457646291708191E-6</v>
      </c>
      <c r="T10">
        <f t="shared" si="8"/>
        <v>2.0213551937503816E-4</v>
      </c>
      <c r="U10">
        <f t="shared" si="9"/>
        <v>2.2830388620632062E-3</v>
      </c>
      <c r="V10">
        <f t="shared" si="10"/>
        <v>9.8009145970660988E-2</v>
      </c>
      <c r="AD10">
        <f t="shared" si="13"/>
        <v>0.68054426428721881</v>
      </c>
      <c r="AE10">
        <f t="shared" si="11"/>
        <v>0.79652031211255592</v>
      </c>
    </row>
    <row r="11" spans="1:31">
      <c r="A11">
        <v>10</v>
      </c>
      <c r="B11">
        <v>0.72542054364670383</v>
      </c>
      <c r="C11">
        <v>12</v>
      </c>
      <c r="D11">
        <v>0.13138949241803621</v>
      </c>
      <c r="E11">
        <v>12</v>
      </c>
      <c r="F11">
        <v>0.43620617795612521</v>
      </c>
      <c r="G11">
        <v>9</v>
      </c>
      <c r="H11">
        <v>0.13679520979314949</v>
      </c>
      <c r="J11" s="2">
        <f t="shared" si="0"/>
        <v>0.72100000000000009</v>
      </c>
      <c r="K11" s="2">
        <f t="shared" si="1"/>
        <v>0.12805560716549591</v>
      </c>
      <c r="L11" s="2">
        <f t="shared" si="12"/>
        <v>0.41913550473315697</v>
      </c>
      <c r="M11" s="2">
        <f t="shared" si="2"/>
        <v>0.1021151959975366</v>
      </c>
      <c r="O11">
        <f t="shared" si="3"/>
        <v>1.9541206132412844E-5</v>
      </c>
      <c r="P11">
        <f t="shared" si="4"/>
        <v>2.6306421214588014E-2</v>
      </c>
      <c r="Q11">
        <f t="shared" si="5"/>
        <v>1.1114790877105719E-5</v>
      </c>
      <c r="R11">
        <f t="shared" si="6"/>
        <v>0.37406214605251836</v>
      </c>
      <c r="S11">
        <f t="shared" si="7"/>
        <v>2.9140788428536475E-4</v>
      </c>
      <c r="T11">
        <f t="shared" si="8"/>
        <v>8.6732027663632082E-5</v>
      </c>
      <c r="U11">
        <f t="shared" si="9"/>
        <v>1.2027033568639005E-3</v>
      </c>
      <c r="V11">
        <f t="shared" si="10"/>
        <v>0.10914022912046285</v>
      </c>
      <c r="AD11">
        <f t="shared" si="13"/>
        <v>0.65143773557235918</v>
      </c>
      <c r="AE11">
        <f t="shared" si="11"/>
        <v>0.79304623685119524</v>
      </c>
    </row>
    <row r="12" spans="1:31">
      <c r="A12">
        <v>14</v>
      </c>
      <c r="B12">
        <v>0.65840012454856434</v>
      </c>
      <c r="E12">
        <v>14</v>
      </c>
      <c r="F12">
        <v>0.38538208797016077</v>
      </c>
      <c r="G12">
        <v>10</v>
      </c>
      <c r="H12">
        <v>0.12766076616203526</v>
      </c>
      <c r="J12" s="2">
        <f t="shared" si="0"/>
        <v>0.66472799999999976</v>
      </c>
      <c r="L12" s="2">
        <f t="shared" si="12"/>
        <v>0.39497770667869381</v>
      </c>
      <c r="M12" s="2">
        <f t="shared" si="2"/>
        <v>0.14224563694948444</v>
      </c>
      <c r="O12">
        <f t="shared" si="3"/>
        <v>4.0042007728879115E-5</v>
      </c>
      <c r="P12">
        <f t="shared" si="4"/>
        <v>9.0577332910874945E-3</v>
      </c>
      <c r="S12">
        <f t="shared" si="7"/>
        <v>9.2075898399549255E-5</v>
      </c>
      <c r="T12">
        <f t="shared" si="8"/>
        <v>3.6164699707902084E-3</v>
      </c>
      <c r="U12">
        <f t="shared" si="9"/>
        <v>2.1271845588658874E-4</v>
      </c>
      <c r="V12">
        <f t="shared" si="10"/>
        <v>0.11525904588812932</v>
      </c>
      <c r="AD12">
        <f t="shared" si="13"/>
        <v>0.59690604949658554</v>
      </c>
      <c r="AE12">
        <f t="shared" si="11"/>
        <v>0.78614347745738467</v>
      </c>
    </row>
    <row r="13" spans="1:31">
      <c r="A13">
        <v>20</v>
      </c>
      <c r="B13">
        <v>0.40482099376610842</v>
      </c>
      <c r="E13">
        <v>18</v>
      </c>
      <c r="F13">
        <v>0.31944179712752446</v>
      </c>
      <c r="J13" s="2">
        <f t="shared" si="0"/>
        <v>0.46200000000000019</v>
      </c>
      <c r="L13" s="2">
        <f t="shared" si="12"/>
        <v>0.31178387711288347</v>
      </c>
      <c r="O13">
        <f t="shared" si="3"/>
        <v>3.2694387538954339E-3</v>
      </c>
      <c r="P13">
        <f t="shared" si="4"/>
        <v>2.5092779623984082E-2</v>
      </c>
      <c r="S13">
        <f t="shared" si="7"/>
        <v>5.8643738950639144E-5</v>
      </c>
      <c r="T13">
        <f t="shared" si="8"/>
        <v>1.589550675077547E-2</v>
      </c>
      <c r="AD13">
        <f t="shared" si="13"/>
        <v>0.52354688831121743</v>
      </c>
      <c r="AE13">
        <f t="shared" si="11"/>
        <v>0.77590182918204986</v>
      </c>
    </row>
    <row r="14" spans="1:31">
      <c r="A14">
        <v>22</v>
      </c>
      <c r="B14">
        <v>0.40515242573112892</v>
      </c>
      <c r="E14">
        <v>20</v>
      </c>
      <c r="F14">
        <v>0.23230066061049878</v>
      </c>
      <c r="J14" s="2">
        <f t="shared" si="0"/>
        <v>0.36824800000000013</v>
      </c>
      <c r="L14" s="2">
        <f t="shared" si="12"/>
        <v>0.25418806638854774</v>
      </c>
      <c r="O14">
        <f t="shared" si="3"/>
        <v>1.3619366385444005E-3</v>
      </c>
      <c r="P14">
        <f t="shared" si="4"/>
        <v>2.498788718043329E-2</v>
      </c>
      <c r="S14">
        <f t="shared" si="7"/>
        <v>4.7905853169297088E-4</v>
      </c>
      <c r="T14">
        <f t="shared" si="8"/>
        <v>4.5462137482154344E-2</v>
      </c>
      <c r="AD14">
        <f t="shared" si="13"/>
        <v>0.50115505674657068</v>
      </c>
      <c r="AE14">
        <f t="shared" si="11"/>
        <v>0.77251768277797817</v>
      </c>
    </row>
    <row r="15" spans="1:31">
      <c r="A15">
        <v>26</v>
      </c>
      <c r="B15">
        <v>0.16550448692936906</v>
      </c>
      <c r="E15">
        <v>24</v>
      </c>
      <c r="F15">
        <v>0.15110482263125347</v>
      </c>
      <c r="J15" s="2">
        <f t="shared" si="0"/>
        <v>0.18640799999999969</v>
      </c>
      <c r="L15" s="2">
        <f t="shared" si="12"/>
        <v>0.14358741538536279</v>
      </c>
      <c r="O15">
        <f t="shared" si="3"/>
        <v>4.369568586940254E-4</v>
      </c>
      <c r="P15">
        <f t="shared" si="4"/>
        <v>0.15818399284924414</v>
      </c>
      <c r="S15">
        <f t="shared" si="7"/>
        <v>5.6511411700569586E-5</v>
      </c>
      <c r="T15">
        <f t="shared" si="8"/>
        <v>8.6679814475908598E-2</v>
      </c>
      <c r="AD15">
        <f t="shared" si="13"/>
        <v>0.45920349524272391</v>
      </c>
      <c r="AE15">
        <f t="shared" si="11"/>
        <v>0.76579360611776559</v>
      </c>
    </row>
    <row r="16" spans="1:31">
      <c r="A16">
        <v>28</v>
      </c>
      <c r="B16">
        <v>0.13092609034474734</v>
      </c>
      <c r="E16">
        <v>26</v>
      </c>
      <c r="F16">
        <v>0.13179349913915536</v>
      </c>
      <c r="J16" s="2">
        <f t="shared" si="0"/>
        <v>0.12404799999999838</v>
      </c>
      <c r="L16" s="2">
        <f t="shared" si="12"/>
        <v>0.11841336418217374</v>
      </c>
      <c r="O16">
        <f t="shared" si="3"/>
        <v>4.7308126790528795E-5</v>
      </c>
      <c r="P16">
        <f t="shared" si="4"/>
        <v>0.18688494109157799</v>
      </c>
      <c r="S16">
        <f t="shared" si="7"/>
        <v>1.7902801146704156E-4</v>
      </c>
      <c r="T16">
        <f t="shared" si="8"/>
        <v>9.8423803525361439E-2</v>
      </c>
      <c r="AD16">
        <f t="shared" si="13"/>
        <v>0.43956359755841207</v>
      </c>
      <c r="AE16">
        <f t="shared" si="11"/>
        <v>0.76245354738747928</v>
      </c>
    </row>
    <row r="17" spans="1:31">
      <c r="A17">
        <v>30</v>
      </c>
      <c r="B17">
        <v>0.12918285933370885</v>
      </c>
      <c r="E17">
        <v>28</v>
      </c>
      <c r="F17">
        <v>0.12964168263055892</v>
      </c>
      <c r="J17" s="2">
        <f t="shared" si="0"/>
        <v>0.10299999999999843</v>
      </c>
      <c r="L17" s="2">
        <f t="shared" si="12"/>
        <v>0.13920806864187896</v>
      </c>
      <c r="O17">
        <f t="shared" si="3"/>
        <v>6.8554212288886697E-4</v>
      </c>
      <c r="P17">
        <f t="shared" si="4"/>
        <v>0.18839518413602022</v>
      </c>
      <c r="S17">
        <f t="shared" si="7"/>
        <v>9.1515741317579717E-5</v>
      </c>
      <c r="T17">
        <f t="shared" si="8"/>
        <v>9.9778594042900612E-2</v>
      </c>
      <c r="AD17">
        <f t="shared" si="13"/>
        <v>0.42076368821270455</v>
      </c>
      <c r="AE17">
        <f t="shared" si="11"/>
        <v>0.7591280565410623</v>
      </c>
    </row>
    <row r="18" spans="1:31">
      <c r="A18">
        <v>32</v>
      </c>
      <c r="B18">
        <v>0.13792761311581958</v>
      </c>
      <c r="J18" s="2">
        <f t="shared" si="0"/>
        <v>0.14380799999999905</v>
      </c>
      <c r="O18">
        <f t="shared" si="3"/>
        <v>3.4578949907629904E-5</v>
      </c>
      <c r="P18">
        <f t="shared" si="4"/>
        <v>0.18088041908383332</v>
      </c>
      <c r="AD18">
        <f t="shared" si="13"/>
        <v>0.4027678413357047</v>
      </c>
      <c r="AE18">
        <f t="shared" si="11"/>
        <v>0.75581707003973952</v>
      </c>
    </row>
    <row r="19" spans="1:31">
      <c r="A19">
        <v>3</v>
      </c>
      <c r="B19">
        <v>0.89411921590304944</v>
      </c>
      <c r="I19" t="s">
        <v>127</v>
      </c>
      <c r="J19">
        <f>AVERAGE(J5:J18)</f>
        <v>0.56322799999999973</v>
      </c>
      <c r="K19">
        <f>AVERAGE(K5:K11)</f>
        <v>0.6116173165682286</v>
      </c>
      <c r="L19">
        <f>AVERAGE(L5:L17)</f>
        <v>0.44551918110568078</v>
      </c>
      <c r="M19">
        <f>AVERAGE(M5:M12)</f>
        <v>0.46715899279676942</v>
      </c>
      <c r="AD19">
        <f t="shared" ref="AD19:AD24" si="14">(8/(PI()^2))*EXP(-((PI()/(2*$P$39))^(2))*0.0000001*(A19))</f>
        <v>0.7591280565410623</v>
      </c>
      <c r="AE19">
        <f t="shared" si="11"/>
        <v>0.80527222836058088</v>
      </c>
    </row>
    <row r="20" spans="1:31">
      <c r="A20">
        <v>6</v>
      </c>
      <c r="B20">
        <v>0.74887565034061343</v>
      </c>
      <c r="AD20">
        <f t="shared" si="14"/>
        <v>0.71095128569319432</v>
      </c>
      <c r="AE20">
        <f t="shared" si="11"/>
        <v>0.80000960615733763</v>
      </c>
    </row>
    <row r="21" spans="1:31">
      <c r="A21">
        <v>12</v>
      </c>
      <c r="B21">
        <v>0.657386688720347</v>
      </c>
      <c r="C21">
        <v>2</v>
      </c>
      <c r="D21">
        <v>0.87300358352871843</v>
      </c>
      <c r="E21">
        <v>2</v>
      </c>
      <c r="F21">
        <v>0.73611508402642223</v>
      </c>
      <c r="G21">
        <v>3</v>
      </c>
      <c r="H21">
        <v>0.63196444601167723</v>
      </c>
      <c r="J21" s="2">
        <f t="shared" ref="J21:J26" si="15">P$33*(A19)^4+P$34*(A19)^3+P$35*(A19)^2+P$36*(A19)+$P$37</f>
        <v>0.82994800000000002</v>
      </c>
      <c r="K21" s="2">
        <f t="shared" ref="K21" si="16">$R$33*(C21)^4+$R$34*(C21)^3+$R$35*(C21)^2+$R$36*(C21)+$R$37</f>
        <v>0.79499045108849709</v>
      </c>
      <c r="L21" s="2">
        <f t="shared" ref="L21" si="17">$T$33*((E21)^4)+$T$34*((E21)^3)+$T$35*((E21)^2)+$T$36*(E21)+$T$37</f>
        <v>0.73258743631057177</v>
      </c>
      <c r="M21" s="2">
        <f t="shared" ref="M21" si="18">$V$33*(G21)^4+$V$34*(G21)^3+$V$35*(G21)^2+$V$36*(G21)+$V$37</f>
        <v>0.58783496982535155</v>
      </c>
      <c r="O21">
        <f t="shared" ref="O21:O26" si="19">(B19-J21)^2</f>
        <v>4.1179449504757824E-3</v>
      </c>
      <c r="P21">
        <f t="shared" ref="P21:P26" si="20">(B19-$AL$18)^2</f>
        <v>0.79944917224708389</v>
      </c>
      <c r="Q21">
        <f t="shared" ref="Q21:Q23" si="21">(D21-K21)^2</f>
        <v>6.0860488331355156E-3</v>
      </c>
      <c r="R21">
        <f t="shared" ref="R21:R23" si="22">(Q21-$AM$18)^2</f>
        <v>3.7039990399310173E-5</v>
      </c>
      <c r="S21">
        <f t="shared" si="7"/>
        <v>1.2444298407144948E-5</v>
      </c>
      <c r="T21">
        <f t="shared" ref="T21:T25" si="23">(F21-$AN$18)^2</f>
        <v>0.5418654169312267</v>
      </c>
      <c r="U21">
        <f t="shared" si="9"/>
        <v>1.9474106684794852E-3</v>
      </c>
      <c r="V21">
        <f t="shared" ref="V21:V23" si="24">(H21-$AO$18)^2</f>
        <v>0.39937906102284609</v>
      </c>
      <c r="X21">
        <f>O21/J21</f>
        <v>4.9616903112915294E-3</v>
      </c>
      <c r="Y21">
        <f>Q21/K21</f>
        <v>7.6554992890826888E-3</v>
      </c>
      <c r="Z21">
        <f>S21/L21</f>
        <v>1.6986775626151108E-5</v>
      </c>
      <c r="AA21">
        <f>U21/M21</f>
        <v>3.3128527026183383E-3</v>
      </c>
      <c r="AD21">
        <f t="shared" si="14"/>
        <v>0.62357607814403704</v>
      </c>
      <c r="AE21">
        <f t="shared" si="11"/>
        <v>0.78958731399553994</v>
      </c>
    </row>
    <row r="22" spans="1:31">
      <c r="A22">
        <v>16</v>
      </c>
      <c r="B22">
        <v>0.53930532137147458</v>
      </c>
      <c r="C22">
        <v>5</v>
      </c>
      <c r="D22">
        <v>0.60194953462483713</v>
      </c>
      <c r="E22">
        <v>5</v>
      </c>
      <c r="F22">
        <v>0.55531138531890867</v>
      </c>
      <c r="G22">
        <v>5</v>
      </c>
      <c r="H22">
        <v>0.42557964286029865</v>
      </c>
      <c r="J22" s="2">
        <f t="shared" si="15"/>
        <v>0.75896799999999998</v>
      </c>
      <c r="K22" s="2">
        <f t="shared" ref="K22:K23" si="25">$R$33*(C22)^4+$R$34*(C22)^3+$R$35*(C22)^2+$R$36*(C22)+$R$37</f>
        <v>0.69965730186309927</v>
      </c>
      <c r="L22" s="2">
        <f t="shared" ref="L22:L25" si="26">$T$33*((E22)^4)+$T$34*((E22)^3)+$T$35*((E22)^2)+$T$36*(E22)+$T$37</f>
        <v>0.54056088633060462</v>
      </c>
      <c r="M22" s="2">
        <f t="shared" ref="M22:M23" si="27">$V$33*(G22)^4+$V$34*(G22)^3+$V$35*(G22)^2+$V$36*(G22)+$V$37</f>
        <v>0.39120782958527778</v>
      </c>
      <c r="O22">
        <f t="shared" si="19"/>
        <v>1.0185552164731973E-4</v>
      </c>
      <c r="P22">
        <f t="shared" si="20"/>
        <v>0.56081473967307671</v>
      </c>
      <c r="Q22">
        <f t="shared" si="21"/>
        <v>9.5468077786864114E-3</v>
      </c>
      <c r="R22">
        <f t="shared" si="22"/>
        <v>9.114153876318737E-5</v>
      </c>
      <c r="S22">
        <f t="shared" si="7"/>
        <v>2.175772204039588E-4</v>
      </c>
      <c r="T22">
        <f t="shared" si="23"/>
        <v>0.30837073466480547</v>
      </c>
      <c r="U22">
        <f t="shared" si="9"/>
        <v>1.1814215478129007E-3</v>
      </c>
      <c r="V22">
        <f t="shared" si="24"/>
        <v>0.18111803241709934</v>
      </c>
      <c r="X22">
        <f t="shared" ref="X22:X26" si="28">O22/J22</f>
        <v>1.3420265630081866E-4</v>
      </c>
      <c r="Y22">
        <f t="shared" ref="Y22:Y23" si="29">Q22/K22</f>
        <v>1.3644976981251342E-2</v>
      </c>
      <c r="Z22">
        <f t="shared" ref="Z22:Z25" si="30">S22/L22</f>
        <v>4.0250270766148172E-4</v>
      </c>
      <c r="AA22">
        <f t="shared" ref="AA22:AA23" si="31">U22/M22</f>
        <v>3.0199332898457943E-3</v>
      </c>
      <c r="AD22">
        <f t="shared" si="14"/>
        <v>0.57137668427896426</v>
      </c>
      <c r="AE22">
        <f t="shared" si="11"/>
        <v>0.78271466143677226</v>
      </c>
    </row>
    <row r="23" spans="1:31">
      <c r="A23">
        <v>18</v>
      </c>
      <c r="B23">
        <v>0.50581451079406126</v>
      </c>
      <c r="C23">
        <v>8</v>
      </c>
      <c r="D23">
        <v>0.17383457194399796</v>
      </c>
      <c r="E23">
        <v>10</v>
      </c>
      <c r="F23">
        <v>0.43198668331810791</v>
      </c>
      <c r="G23">
        <v>8</v>
      </c>
      <c r="H23">
        <v>0.13002007760794732</v>
      </c>
      <c r="J23" s="2">
        <f t="shared" si="15"/>
        <v>0.69908799999999982</v>
      </c>
      <c r="K23" s="2">
        <f t="shared" si="25"/>
        <v>0.399199489996791</v>
      </c>
      <c r="L23" s="2">
        <f t="shared" si="26"/>
        <v>0.43803779119083097</v>
      </c>
      <c r="M23" s="2">
        <f t="shared" si="27"/>
        <v>0.13126978177464643</v>
      </c>
      <c r="O23">
        <f t="shared" si="19"/>
        <v>1.7389993624424994E-3</v>
      </c>
      <c r="P23">
        <f t="shared" si="20"/>
        <v>0.43215725850670239</v>
      </c>
      <c r="Q23">
        <f t="shared" si="21"/>
        <v>5.0789346288942126E-2</v>
      </c>
      <c r="R23">
        <f t="shared" si="22"/>
        <v>2.5795576964580793E-3</v>
      </c>
      <c r="S23">
        <f t="shared" si="7"/>
        <v>3.6615906487331E-5</v>
      </c>
      <c r="T23">
        <f t="shared" si="23"/>
        <v>0.18661249456417925</v>
      </c>
      <c r="U23">
        <f t="shared" si="9"/>
        <v>1.5617605042651348E-6</v>
      </c>
      <c r="V23">
        <f t="shared" si="24"/>
        <v>1.6905220581176644E-2</v>
      </c>
      <c r="X23">
        <f t="shared" si="28"/>
        <v>2.4875256941078944E-3</v>
      </c>
      <c r="Y23">
        <f t="shared" si="29"/>
        <v>0.12722798390686921</v>
      </c>
      <c r="Z23">
        <f t="shared" si="30"/>
        <v>8.3590747701901578E-5</v>
      </c>
      <c r="AA23">
        <f t="shared" si="31"/>
        <v>1.1897334505714663E-5</v>
      </c>
      <c r="AD23">
        <f t="shared" si="14"/>
        <v>0.54693919690202553</v>
      </c>
      <c r="AE23">
        <f t="shared" si="11"/>
        <v>0.77930080042073635</v>
      </c>
    </row>
    <row r="24" spans="1:31">
      <c r="A24">
        <v>24</v>
      </c>
      <c r="B24">
        <v>0.25103593126455687</v>
      </c>
      <c r="E24">
        <v>16</v>
      </c>
      <c r="F24">
        <v>0.36056106220175366</v>
      </c>
      <c r="J24" s="2">
        <f t="shared" si="15"/>
        <v>0.61388799999999977</v>
      </c>
      <c r="K24" s="2"/>
      <c r="L24" s="2">
        <f t="shared" si="26"/>
        <v>0.35968686534878513</v>
      </c>
      <c r="M24" s="2"/>
      <c r="O24">
        <f t="shared" si="19"/>
        <v>5.5625759514058683E-3</v>
      </c>
      <c r="P24">
        <f t="shared" si="20"/>
        <v>0.29085022965958945</v>
      </c>
      <c r="S24">
        <f t="shared" si="7"/>
        <v>7.6422013774006922E-7</v>
      </c>
      <c r="T24">
        <f t="shared" si="23"/>
        <v>0.13000427957605687</v>
      </c>
      <c r="X24">
        <f t="shared" si="28"/>
        <v>9.0612228149204253E-3</v>
      </c>
      <c r="Z24">
        <f t="shared" si="30"/>
        <v>2.1246818034320265E-6</v>
      </c>
      <c r="AD24">
        <f t="shared" si="14"/>
        <v>0.47972091231943487</v>
      </c>
      <c r="AE24">
        <f>(8/(PI()^2))*EXP(-((PI()/(2*$P$39))^(2))*0.00000001*(A24))</f>
        <v>0.76914829654903871</v>
      </c>
    </row>
    <row r="25" spans="1:31">
      <c r="E25">
        <v>22</v>
      </c>
      <c r="F25">
        <v>0.15070119437459695</v>
      </c>
      <c r="J25" s="2">
        <f t="shared" si="15"/>
        <v>0.54560800000000009</v>
      </c>
      <c r="K25" s="2"/>
      <c r="L25" s="2">
        <f t="shared" si="26"/>
        <v>0.19421718564144774</v>
      </c>
      <c r="M25" s="2"/>
      <c r="O25">
        <f t="shared" si="19"/>
        <v>1.5835217831831707E-3</v>
      </c>
      <c r="P25">
        <f t="shared" si="20"/>
        <v>0.25584831932983554</v>
      </c>
      <c r="S25">
        <f t="shared" si="7"/>
        <v>1.8936414959366346E-3</v>
      </c>
      <c r="T25">
        <f t="shared" si="23"/>
        <v>2.2710849985930051E-2</v>
      </c>
      <c r="X25">
        <f t="shared" si="28"/>
        <v>2.9023067535358178E-3</v>
      </c>
      <c r="Z25">
        <f t="shared" si="30"/>
        <v>9.7501232431231044E-3</v>
      </c>
    </row>
    <row r="26" spans="1:31">
      <c r="J26" s="2">
        <f t="shared" si="15"/>
        <v>0.2726079999999993</v>
      </c>
      <c r="K26" s="2"/>
      <c r="L26" s="2"/>
      <c r="M26" s="2"/>
      <c r="O26">
        <f t="shared" si="19"/>
        <v>4.6535414952665274E-4</v>
      </c>
      <c r="P26">
        <f t="shared" si="20"/>
        <v>6.3019038785863318E-2</v>
      </c>
      <c r="X26">
        <f t="shared" si="28"/>
        <v>1.7070450959863759E-3</v>
      </c>
    </row>
    <row r="28" spans="1:31">
      <c r="P28" t="s">
        <v>45</v>
      </c>
      <c r="R28" t="s">
        <v>46</v>
      </c>
      <c r="T28" t="s">
        <v>47</v>
      </c>
      <c r="V28" t="s">
        <v>48</v>
      </c>
      <c r="W28" t="s">
        <v>141</v>
      </c>
      <c r="X28">
        <v>5</v>
      </c>
      <c r="Y28">
        <v>2</v>
      </c>
      <c r="Z28">
        <v>4</v>
      </c>
      <c r="AA28">
        <v>2</v>
      </c>
    </row>
    <row r="29" spans="1:31">
      <c r="O29" t="s">
        <v>53</v>
      </c>
      <c r="P29">
        <f>SUM(O5:O18)</f>
        <v>1.4058450621337291E-2</v>
      </c>
      <c r="R29">
        <f>SUM(Q5:Q11)</f>
        <v>9.2848241269758609E-3</v>
      </c>
      <c r="T29">
        <f>SUM(S5:S17)</f>
        <v>5.8741367466068816E-3</v>
      </c>
      <c r="V29">
        <f>SUM(U5:U12)</f>
        <v>4.611077252744432E-3</v>
      </c>
      <c r="X29">
        <f>SUM(X21:X26)</f>
        <v>2.1253993326142862E-2</v>
      </c>
      <c r="Y29">
        <f t="shared" ref="Y29:AA29" si="32">SUM(Y21:Y26)</f>
        <v>0.14852846017720323</v>
      </c>
      <c r="Z29">
        <f t="shared" si="32"/>
        <v>1.0255328155916071E-2</v>
      </c>
      <c r="AA29">
        <f t="shared" si="32"/>
        <v>6.3446833269698473E-3</v>
      </c>
    </row>
    <row r="30" spans="1:31">
      <c r="O30" t="s">
        <v>57</v>
      </c>
      <c r="P30">
        <f>SQRT(P29/14)</f>
        <v>3.168872109096918E-2</v>
      </c>
      <c r="R30">
        <f>(R29/7)^0.5</f>
        <v>3.6419822167479583E-2</v>
      </c>
      <c r="T30">
        <f>(T29/13)^0.5</f>
        <v>2.1256920586385838E-2</v>
      </c>
      <c r="V30">
        <f>(V29/8)^0.5</f>
        <v>2.4008012341571596E-2</v>
      </c>
      <c r="X30" t="s">
        <v>142</v>
      </c>
      <c r="Y30" t="s">
        <v>143</v>
      </c>
      <c r="Z30" t="s">
        <v>143</v>
      </c>
      <c r="AA30" t="s">
        <v>143</v>
      </c>
    </row>
    <row r="31" spans="1:31">
      <c r="O31" t="s">
        <v>74</v>
      </c>
      <c r="P31">
        <f>P29/(14-5)</f>
        <v>1.5620500690374768E-3</v>
      </c>
      <c r="R31">
        <f>R29/(7-5)</f>
        <v>4.6424120634879305E-3</v>
      </c>
      <c r="T31">
        <f>(T29/(13-5))</f>
        <v>7.3426709332586021E-4</v>
      </c>
      <c r="V31">
        <f>V29/(8-5)</f>
        <v>1.5370257509148106E-3</v>
      </c>
    </row>
    <row r="32" spans="1:31">
      <c r="O32" t="s">
        <v>59</v>
      </c>
      <c r="P32">
        <f>(1-(P29/P4))</f>
        <v>0.98916992569829365</v>
      </c>
      <c r="R32">
        <f>(1-(R29/R4))</f>
        <v>0.99643879063224672</v>
      </c>
      <c r="T32">
        <f>1-(T29/T4)</f>
        <v>0.99306698874662558</v>
      </c>
      <c r="V32">
        <f>1-(V29/V4)</f>
        <v>0.99422254088952866</v>
      </c>
    </row>
    <row r="33" spans="15:28">
      <c r="O33" s="12" t="s">
        <v>81</v>
      </c>
      <c r="P33" s="13">
        <v>7.9999999999999996E-6</v>
      </c>
      <c r="Q33" s="12"/>
      <c r="R33" s="12">
        <v>4.0804870450989996E-4</v>
      </c>
      <c r="S33" s="12"/>
      <c r="T33" s="13">
        <v>1.1454239708615849E-5</v>
      </c>
      <c r="U33" s="12"/>
      <c r="V33" s="12">
        <v>2.9248191157606976E-4</v>
      </c>
      <c r="W33" s="12"/>
      <c r="Z33">
        <f>8/(2.723)^2</f>
        <v>1.0789335658794814</v>
      </c>
    </row>
    <row r="34" spans="15:28">
      <c r="O34" s="12" t="s">
        <v>83</v>
      </c>
      <c r="P34" s="12">
        <v>-5.0000000000000001E-4</v>
      </c>
      <c r="Q34" s="12"/>
      <c r="R34" s="12">
        <v>-9.4153530876852475E-3</v>
      </c>
      <c r="S34" s="12"/>
      <c r="T34" s="12">
        <v>-7.1806904148670459E-4</v>
      </c>
      <c r="U34" s="12"/>
      <c r="V34" s="12">
        <v>-5.305490005516768E-3</v>
      </c>
      <c r="W34" s="12"/>
    </row>
    <row r="35" spans="15:28">
      <c r="O35" s="12" t="s">
        <v>131</v>
      </c>
      <c r="P35" s="12">
        <v>9.4999999999999998E-3</v>
      </c>
      <c r="Q35" s="12"/>
      <c r="R35" s="12">
        <v>6.4954737707042937E-2</v>
      </c>
      <c r="S35" s="12"/>
      <c r="T35" s="12">
        <v>1.5251266476844222E-2</v>
      </c>
      <c r="U35" s="12"/>
      <c r="V35" s="12">
        <v>3.545205257593588E-2</v>
      </c>
      <c r="W35" s="12"/>
    </row>
    <row r="36" spans="15:28">
      <c r="O36" s="12" t="s">
        <v>132</v>
      </c>
      <c r="P36" s="12">
        <v>-8.09E-2</v>
      </c>
      <c r="Q36" s="12"/>
      <c r="R36" s="12">
        <v>-0.20209599695355152</v>
      </c>
      <c r="S36" s="12"/>
      <c r="T36" s="12">
        <v>-0.14508823337409946</v>
      </c>
      <c r="U36" s="12"/>
      <c r="V36" s="12">
        <v>-0.20151606040589323</v>
      </c>
      <c r="W36" s="12"/>
    </row>
    <row r="37" spans="15:28">
      <c r="O37" s="12" t="s">
        <v>38</v>
      </c>
      <c r="P37" s="12">
        <v>1</v>
      </c>
      <c r="Q37" s="12"/>
      <c r="R37" s="12">
        <v>1.0081575395967519</v>
      </c>
      <c r="S37" s="12"/>
      <c r="T37" s="12">
        <v>0.96732012164794956</v>
      </c>
      <c r="U37" s="12"/>
      <c r="V37" s="12">
        <v>0.99287187317089942</v>
      </c>
      <c r="W37" s="12"/>
    </row>
    <row r="38" spans="15:28">
      <c r="O38" s="12"/>
      <c r="P38" s="12"/>
      <c r="Q38" s="12"/>
      <c r="R38" s="12"/>
      <c r="S38" s="12"/>
      <c r="T38" s="12"/>
      <c r="U38" s="12"/>
      <c r="V38" s="12"/>
      <c r="W38" s="12"/>
    </row>
    <row r="39" spans="15:28">
      <c r="O39" s="12" t="s">
        <v>150</v>
      </c>
      <c r="P39" s="12">
        <f>3.36*10^(-3)</f>
        <v>3.3600000000000001E-3</v>
      </c>
      <c r="Q39" s="12"/>
      <c r="R39" s="12"/>
      <c r="S39" s="12"/>
      <c r="T39" s="12"/>
      <c r="U39" s="12"/>
      <c r="V39" s="12"/>
      <c r="W39" s="12"/>
      <c r="Z39">
        <f>-(2*$P$39/((PI())^2*20*60*60)*LN((0.523546888/8)*(PI())^2))</f>
        <v>4.1335978892192939E-9</v>
      </c>
      <c r="AB39">
        <f>-(2*$P$39/((PI())^2*4*3600)*LN((0.80803514186/8)*(PI())^2))</f>
        <v>1.4806735249733224E-10</v>
      </c>
    </row>
    <row r="40" spans="15:28">
      <c r="O40" s="12"/>
      <c r="P40" s="12"/>
      <c r="Q40" s="12"/>
      <c r="R40" s="12"/>
      <c r="S40" s="12"/>
      <c r="T40" s="12"/>
      <c r="U40" s="12"/>
      <c r="V40" s="12"/>
      <c r="W40" s="12"/>
    </row>
    <row r="41" spans="15:28">
      <c r="O41" s="12"/>
      <c r="P41" s="12">
        <v>1</v>
      </c>
      <c r="Q41" s="12"/>
      <c r="R41" s="12"/>
      <c r="S41" s="12"/>
      <c r="T41" s="12"/>
      <c r="U41" s="12"/>
      <c r="V41" s="12"/>
      <c r="W41" s="12"/>
    </row>
    <row r="42" spans="15:28">
      <c r="O42" s="12" t="s">
        <v>144</v>
      </c>
      <c r="P42" s="12">
        <f>-P36*(($P$39)^2)/2</f>
        <v>4.5666432000000007E-7</v>
      </c>
      <c r="Q42" s="12"/>
      <c r="R42" s="12">
        <f>-R36*(($P$39)^2)/2</f>
        <v>1.1407914836034077E-6</v>
      </c>
      <c r="S42" s="12"/>
      <c r="T42" s="12">
        <f>-T36*(($P$39)^2)/2</f>
        <v>8.1899405975011667E-7</v>
      </c>
      <c r="U42" s="12"/>
      <c r="V42" s="12">
        <f>-V36*(($P$39)^2)/2</f>
        <v>1.1375178577791862E-6</v>
      </c>
      <c r="W42" s="12"/>
    </row>
    <row r="43" spans="15:28" ht="16.2">
      <c r="O43" s="12" t="s">
        <v>148</v>
      </c>
      <c r="P43" s="12">
        <f>P37*P35*(($P$39)^4)/(4)</f>
        <v>3.0270578688000008E-13</v>
      </c>
      <c r="Q43" s="12">
        <f>P43^0.5</f>
        <v>5.5018704717577645E-7</v>
      </c>
      <c r="R43" s="12">
        <f>R37*R35*(($P$39)^4)/(4)</f>
        <v>2.0865863116028489E-12</v>
      </c>
      <c r="S43" s="12">
        <f>R43^0.5</f>
        <v>1.4445020981649174E-6</v>
      </c>
      <c r="T43" s="12">
        <f>T37*T35*(($P$39)^4)/(4)</f>
        <v>4.7008159682742789E-13</v>
      </c>
      <c r="U43" s="12">
        <f>T43^0.5</f>
        <v>6.8562496806011074E-7</v>
      </c>
      <c r="V43" s="12">
        <f>V37*V35*(($P$39)^4)/(4)</f>
        <v>1.1215837560872768E-12</v>
      </c>
      <c r="W43" s="12">
        <f>V43^0.5</f>
        <v>1.0590485145106795E-6</v>
      </c>
    </row>
    <row r="44" spans="15:28" ht="16.2">
      <c r="O44" s="12" t="s">
        <v>149</v>
      </c>
      <c r="P44" s="12">
        <f>-(P37^2)*P34*(($P$39)^6)/(8)</f>
        <v>8.9932296093696035E-20</v>
      </c>
      <c r="Q44" s="12">
        <f>P44^(1/3)</f>
        <v>4.4802807290750513E-7</v>
      </c>
      <c r="R44" s="12">
        <f>-(R37^2)*R34*(($P$39)^6)/(8)</f>
        <v>1.721230738715149E-18</v>
      </c>
      <c r="S44" s="12">
        <f>R44^(1/3)</f>
        <v>1.1984309907717311E-6</v>
      </c>
      <c r="T44" s="12">
        <f>-(T37^2)*T34*(($P$39)^6)/(8)</f>
        <v>1.2085157761546434E-19</v>
      </c>
      <c r="U44" s="12">
        <f>T44^(1/3)</f>
        <v>4.9440642739430146E-7</v>
      </c>
      <c r="V44" s="12">
        <f>-(V37^2)*V34*(($P$39)^6)/(8)</f>
        <v>9.4071397055527197E-19</v>
      </c>
      <c r="W44" s="12">
        <f>V44^(1/3)</f>
        <v>9.798340585875262E-7</v>
      </c>
      <c r="Z44">
        <f>8/(PI()^2)</f>
        <v>0.8105694691387022</v>
      </c>
    </row>
    <row r="45" spans="15:28" ht="16.2">
      <c r="O45" s="12" t="s">
        <v>147</v>
      </c>
      <c r="P45" s="13">
        <f>P33*(P37^3)*(($P$39)^8)/(16)</f>
        <v>8.1223971998351272E-27</v>
      </c>
      <c r="Q45" s="13">
        <f>P45^(1/4)</f>
        <v>3.00207166790751E-7</v>
      </c>
      <c r="R45" s="12">
        <f>R33*(R37^3)*(($P$39)^8)/(16)</f>
        <v>4.2451344245757413E-25</v>
      </c>
      <c r="S45" s="12">
        <f>R45^(1/4)</f>
        <v>8.0718458920691329E-7</v>
      </c>
      <c r="T45" s="13">
        <f>T33*(T37^3)*(($P$39)^8)/(16)</f>
        <v>1.0526189142514719E-26</v>
      </c>
      <c r="U45" s="12">
        <f>T45^(1/4)</f>
        <v>3.2030800490422826E-7</v>
      </c>
      <c r="V45" s="12">
        <f>V33*(V37^3)*(($P$39)^8)/(16)</f>
        <v>2.9065170336554998E-25</v>
      </c>
      <c r="W45" s="12">
        <f>V45^(1/4)</f>
        <v>7.342487538503687E-7</v>
      </c>
    </row>
    <row r="48" spans="15:28" ht="15.6">
      <c r="O48" s="14" t="s">
        <v>160</v>
      </c>
      <c r="P48" s="15">
        <v>7.9999999999999996E-6</v>
      </c>
      <c r="Q48" s="14"/>
      <c r="R48" s="14">
        <v>4.0000000000000002E-4</v>
      </c>
      <c r="S48" s="14"/>
      <c r="T48" s="15">
        <v>1.0000000000000001E-5</v>
      </c>
      <c r="U48" s="14"/>
      <c r="V48" s="14">
        <v>2.9999999999999997E-4</v>
      </c>
      <c r="W48" s="14"/>
    </row>
    <row r="49" spans="15:42" ht="15.6">
      <c r="O49" s="14" t="s">
        <v>159</v>
      </c>
      <c r="P49" s="15">
        <v>-5.0000000000000001E-4</v>
      </c>
      <c r="Q49" s="14"/>
      <c r="R49" s="14">
        <v>-9.1000000000000004E-3</v>
      </c>
      <c r="S49" s="14"/>
      <c r="T49" s="14">
        <v>-8.0000000000000004E-4</v>
      </c>
      <c r="U49" s="14"/>
      <c r="V49" s="14">
        <v>-5.5999999999999999E-3</v>
      </c>
      <c r="W49" s="14"/>
    </row>
    <row r="50" spans="15:42" ht="15.6">
      <c r="O50" s="14" t="s">
        <v>158</v>
      </c>
      <c r="P50" s="15">
        <v>9.4999999999999998E-3</v>
      </c>
      <c r="Q50" s="14"/>
      <c r="R50" s="14">
        <v>6.2100000000000002E-2</v>
      </c>
      <c r="S50" s="14"/>
      <c r="T50" s="14">
        <v>1.7000000000000001E-2</v>
      </c>
      <c r="U50" s="14"/>
      <c r="V50" s="14">
        <v>3.7999999999999999E-2</v>
      </c>
      <c r="W50" s="14"/>
      <c r="Z50" t="s">
        <v>45</v>
      </c>
      <c r="AF50" t="s">
        <v>46</v>
      </c>
      <c r="AH50" t="s">
        <v>47</v>
      </c>
      <c r="AJ50" t="s">
        <v>48</v>
      </c>
      <c r="AM50" t="s">
        <v>45</v>
      </c>
      <c r="AN50" t="s">
        <v>46</v>
      </c>
      <c r="AO50" t="s">
        <v>47</v>
      </c>
      <c r="AP50" t="s">
        <v>48</v>
      </c>
    </row>
    <row r="51" spans="15:42" ht="16.8">
      <c r="O51" s="14" t="s">
        <v>157</v>
      </c>
      <c r="P51" s="15">
        <v>-8.09E-2</v>
      </c>
      <c r="Q51" s="14"/>
      <c r="R51" s="14">
        <v>-0.19289999999999999</v>
      </c>
      <c r="S51" s="14"/>
      <c r="T51" s="14">
        <v>-0.15939999999999999</v>
      </c>
      <c r="U51" s="14"/>
      <c r="V51" s="14">
        <v>-0.2094</v>
      </c>
      <c r="W51" s="14"/>
      <c r="Z51" t="s">
        <v>72</v>
      </c>
      <c r="AA51" t="s">
        <v>130</v>
      </c>
      <c r="AB51" t="s">
        <v>167</v>
      </c>
      <c r="AF51" t="s">
        <v>72</v>
      </c>
      <c r="AG51" t="s">
        <v>130</v>
      </c>
      <c r="AH51" t="s">
        <v>72</v>
      </c>
      <c r="AI51" t="s">
        <v>130</v>
      </c>
      <c r="AJ51" t="s">
        <v>72</v>
      </c>
      <c r="AK51" t="s">
        <v>130</v>
      </c>
      <c r="AM51" t="s">
        <v>55</v>
      </c>
      <c r="AN51" t="s">
        <v>55</v>
      </c>
      <c r="AO51" t="s">
        <v>55</v>
      </c>
      <c r="AP51" t="s">
        <v>55</v>
      </c>
    </row>
    <row r="52" spans="15:42" ht="15.6">
      <c r="O52" s="14" t="s">
        <v>156</v>
      </c>
      <c r="P52" s="14">
        <v>1</v>
      </c>
      <c r="Q52" s="14"/>
      <c r="R52" s="14">
        <v>1</v>
      </c>
      <c r="S52" s="14"/>
      <c r="T52" s="14">
        <v>1</v>
      </c>
      <c r="U52" s="14"/>
      <c r="V52" s="14">
        <v>1</v>
      </c>
      <c r="W52" s="14"/>
      <c r="Z52">
        <v>0</v>
      </c>
      <c r="AA52">
        <v>1</v>
      </c>
      <c r="AB52">
        <f>(4/$P$72)+(-4*$P$77/$P$71^2)*(Z52)+(2*$P$72*$P$77^2/$P$71^4)*(Z52^2)+(-2/3)*($P$72^2*$P$77^3/$P$71^6)*(Z52^3)+(1/6)*($P$72^3*$P$77^4/$P$71^8)*(Z52^4)</f>
        <v>1</v>
      </c>
      <c r="AC52">
        <f t="shared" ref="AC52:AC71" si="33">(4/$P$72)+(-4*$P$75/$P$71^2)*(Z52)+(2*$P$72*$P$75^2/$P$71^4)*(Z52^2)+(-2/3)*($P$72^2*$P$75^3/$P$71^6)*(Z52^3)+(1/6)*($P$72^3*$P$75^4/$P$71^8)*(Z52^4)</f>
        <v>1</v>
      </c>
      <c r="AD52">
        <f>(4/$P$72)+(-4*$P$76/$P$71^2)*(Z52)+(2*$P$72*$P$76^2/$P$71^4)*(Z52^2)+(-2/3)*($P$72^2*$P$76^3/$P$71^6)*(Z52^3)+(1/6)*($P$72^3*$P$76^4/$P$71^8)*(Z52^4)</f>
        <v>1</v>
      </c>
      <c r="AE52">
        <f>(4/$P$72)+(-4*$P$77/$P$71^2)*(Z52)+(2*$P$72*$P$77^2/$P$71^4)*(Z52^2)+(-2/3)*($P$72^2*$P$77^3/$P$71^6)*(Z52^3)+(1/6)*($P$72^3*$P$77^4/$P$71^8)*(Z52^4)</f>
        <v>1</v>
      </c>
      <c r="AF52">
        <v>0</v>
      </c>
      <c r="AG52">
        <v>1</v>
      </c>
      <c r="AH52">
        <v>0</v>
      </c>
      <c r="AI52">
        <v>1</v>
      </c>
      <c r="AJ52">
        <v>0</v>
      </c>
      <c r="AK52">
        <v>1</v>
      </c>
      <c r="AM52">
        <v>1</v>
      </c>
      <c r="AN52">
        <v>1.0081575395967519</v>
      </c>
      <c r="AO52">
        <v>0.96732012164794956</v>
      </c>
      <c r="AP52">
        <v>0.99287187317089942</v>
      </c>
    </row>
    <row r="53" spans="15:42">
      <c r="O53" s="14"/>
      <c r="P53" s="14"/>
      <c r="Q53" s="14"/>
      <c r="R53" s="14"/>
      <c r="S53" s="14"/>
      <c r="T53" s="14"/>
      <c r="U53" s="14"/>
      <c r="V53" s="14"/>
      <c r="W53" s="14"/>
      <c r="Z53">
        <v>1</v>
      </c>
      <c r="AA53">
        <v>0.84208722400184877</v>
      </c>
      <c r="AB53">
        <f t="shared" ref="AB53:AB71" si="34">(4/$P$72)+(-4*$P$77/$P$71^2)*(Z53)+(2*$P$72*$P$77^2/$P$71^4)*(Z53^2)+(-2/3)*($P$72^2*$P$77^3/$P$71^6)*(Z53^3)+(1/6)*($P$72^3*$P$77^4/$P$71^8)*(Z53^4)</f>
        <v>0.88895111789579151</v>
      </c>
      <c r="AC53">
        <f t="shared" si="33"/>
        <v>0.87123805926861486</v>
      </c>
      <c r="AD53">
        <f t="shared" ref="AD53:AD71" si="35">(4/$P$72)+(-4*$P$76/$P$71^2)*(Z53)+(2*$P$72*$P$76^2/$P$71^4)*(Z53^2)+(-2/3)*($P$72^2*$P$76^3/$P$71^6)*(Z53^3)+(1/6)*($P$72^3*$P$76^4/$P$71^8)*(Z53^4)</f>
        <v>0.86569349020414765</v>
      </c>
      <c r="AE53">
        <f t="shared" ref="AE53:AE71" si="36">(4/$P$72)+(-4*$P$77/$P$71^2)*(Z53)+(2*$P$72*$P$77^2/$P$71^4)*(Z53^2)+(-2/3)*($P$72^2*$P$77^3/$P$71^6)*(Z53^3)+(1/6)*($P$72^3*$P$77^4/$P$71^8)*(Z53^4)</f>
        <v>0.88895111789579151</v>
      </c>
      <c r="AF53">
        <v>1</v>
      </c>
      <c r="AG53">
        <v>0.8719047990821901</v>
      </c>
      <c r="AH53">
        <v>1</v>
      </c>
      <c r="AI53">
        <v>0.78247024774843776</v>
      </c>
      <c r="AJ53">
        <v>1</v>
      </c>
      <c r="AK53">
        <v>0.80714948566211964</v>
      </c>
      <c r="AM53">
        <v>0.92810800000000004</v>
      </c>
      <c r="AN53">
        <v>0.86200897596706794</v>
      </c>
      <c r="AO53">
        <v>0.83677653994891621</v>
      </c>
      <c r="AP53">
        <v>0.82179485724700141</v>
      </c>
    </row>
    <row r="54" spans="15:42">
      <c r="O54" s="14" t="s">
        <v>150</v>
      </c>
      <c r="P54" s="14">
        <f>3.36*10^(-3)</f>
        <v>3.3600000000000001E-3</v>
      </c>
      <c r="Q54" s="14"/>
      <c r="R54" s="14"/>
      <c r="S54" s="14"/>
      <c r="T54" s="14"/>
      <c r="U54" s="14"/>
      <c r="V54" s="14"/>
      <c r="W54" s="14"/>
      <c r="Z54">
        <v>2</v>
      </c>
      <c r="AA54">
        <v>0.85583101299828412</v>
      </c>
      <c r="AB54">
        <f t="shared" si="34"/>
        <v>0.79023955977708071</v>
      </c>
      <c r="AC54">
        <f t="shared" si="33"/>
        <v>0.75906773260766602</v>
      </c>
      <c r="AD54">
        <f t="shared" si="35"/>
        <v>0.7494402123136179</v>
      </c>
      <c r="AE54">
        <f t="shared" si="36"/>
        <v>0.79023955977708071</v>
      </c>
      <c r="AF54">
        <v>3</v>
      </c>
      <c r="AG54">
        <v>0.8085873453509933</v>
      </c>
      <c r="AH54">
        <v>3</v>
      </c>
      <c r="AI54">
        <v>0.67457705383364175</v>
      </c>
      <c r="AJ54">
        <v>2</v>
      </c>
      <c r="AK54">
        <v>0.69660154192315715</v>
      </c>
      <c r="AM54">
        <v>0.87232799999999999</v>
      </c>
      <c r="AN54">
        <v>0.76529959979728401</v>
      </c>
      <c r="AO54">
        <v>0.65085674911350611</v>
      </c>
      <c r="AP54">
        <v>0.69388375320393947</v>
      </c>
    </row>
    <row r="55" spans="15:42">
      <c r="O55" s="14"/>
      <c r="P55" s="14"/>
      <c r="Q55" s="14"/>
      <c r="R55" s="14"/>
      <c r="S55" s="14"/>
      <c r="T55" s="14"/>
      <c r="U55" s="14"/>
      <c r="V55" s="14"/>
      <c r="W55" s="14"/>
      <c r="Z55">
        <v>4</v>
      </c>
      <c r="AA55">
        <v>0.80782806424512987</v>
      </c>
      <c r="AB55">
        <f t="shared" si="34"/>
        <v>0.62464808559593976</v>
      </c>
      <c r="AC55">
        <f>(4/$P$72)+(-4*$P$75/$P$71^2)*(Z55)+(2*$P$72*$P$75^2/$P$71^4)*(Z55^2)+(-2/3)*($P$72^2*$P$75^3/$P$71^6)*(Z55^3)+(1/6)*($P$72^3*$P$75^4/$P$71^8)*(Z55^4)</f>
        <v>0.57655304444548827</v>
      </c>
      <c r="AD55">
        <f t="shared" si="35"/>
        <v>0.56212207634617262</v>
      </c>
      <c r="AE55">
        <f t="shared" si="36"/>
        <v>0.62464808559593976</v>
      </c>
      <c r="AF55">
        <v>4</v>
      </c>
      <c r="AG55">
        <v>0.66526042465241864</v>
      </c>
      <c r="AH55">
        <v>4</v>
      </c>
      <c r="AI55">
        <v>0.58964137477944789</v>
      </c>
      <c r="AJ55">
        <v>4</v>
      </c>
      <c r="AK55">
        <v>0.49811642751536406</v>
      </c>
      <c r="AM55">
        <v>0.79844800000000005</v>
      </c>
      <c r="AN55">
        <v>0.74092722583791137</v>
      </c>
      <c r="AO55">
        <v>0.58796331849131578</v>
      </c>
      <c r="AP55">
        <v>0.48936448177270131</v>
      </c>
    </row>
    <row r="56" spans="15:42">
      <c r="O56" s="14" t="s">
        <v>97</v>
      </c>
      <c r="P56" s="14" t="s">
        <v>162</v>
      </c>
      <c r="Q56" s="14"/>
      <c r="R56" s="14" t="s">
        <v>163</v>
      </c>
      <c r="S56" s="14"/>
      <c r="T56" s="14" t="s">
        <v>164</v>
      </c>
      <c r="U56" s="14"/>
      <c r="V56" s="14" t="s">
        <v>165</v>
      </c>
      <c r="W56" s="14"/>
      <c r="Z56">
        <v>5</v>
      </c>
      <c r="AA56">
        <v>0.77924179723414255</v>
      </c>
      <c r="AB56">
        <f t="shared" si="34"/>
        <v>0.55565800458340275</v>
      </c>
      <c r="AC56">
        <f t="shared" si="33"/>
        <v>0.50313674441846512</v>
      </c>
      <c r="AD56">
        <f t="shared" si="35"/>
        <v>0.48765326749581051</v>
      </c>
      <c r="AE56">
        <f t="shared" si="36"/>
        <v>0.55565800458340275</v>
      </c>
      <c r="AF56">
        <v>6</v>
      </c>
      <c r="AG56">
        <v>0.66656424213610876</v>
      </c>
      <c r="AH56">
        <v>6</v>
      </c>
      <c r="AI56">
        <v>0.49938671406882423</v>
      </c>
      <c r="AJ56">
        <v>6</v>
      </c>
      <c r="AK56">
        <v>0.31685483154225391</v>
      </c>
      <c r="AM56">
        <v>0.77550000000000008</v>
      </c>
      <c r="AN56">
        <v>0.6290669694338058</v>
      </c>
      <c r="AO56">
        <v>0.50557809627098282</v>
      </c>
      <c r="AP56">
        <v>0.29312011968019602</v>
      </c>
    </row>
    <row r="57" spans="15:42">
      <c r="O57" s="14" t="s">
        <v>144</v>
      </c>
      <c r="P57" s="15">
        <f>-P51*$P$54^2/4</f>
        <v>2.2833216000000003E-7</v>
      </c>
      <c r="Q57" s="15"/>
      <c r="R57" s="15">
        <f>-R51*$P$54^2/4</f>
        <v>5.4444096000000006E-7</v>
      </c>
      <c r="S57" s="15"/>
      <c r="T57" s="15">
        <f>-T51*$P$54^2/4</f>
        <v>4.4989055999999998E-7</v>
      </c>
      <c r="U57" s="15"/>
      <c r="V57" s="15">
        <f>-V51*$P$54^2/4</f>
        <v>5.9101056000000002E-7</v>
      </c>
      <c r="W57" s="15"/>
      <c r="Z57">
        <v>8</v>
      </c>
      <c r="AA57">
        <v>0.7573010895075255</v>
      </c>
      <c r="AB57">
        <f t="shared" si="34"/>
        <v>0.39528139615728841</v>
      </c>
      <c r="AC57">
        <f t="shared" si="33"/>
        <v>0.34340138939889275</v>
      </c>
      <c r="AD57">
        <f t="shared" si="35"/>
        <v>0.32967034513042182</v>
      </c>
      <c r="AE57">
        <f t="shared" si="36"/>
        <v>0.39528139615728841</v>
      </c>
      <c r="AF57">
        <v>10</v>
      </c>
      <c r="AG57">
        <v>0.13761229117340132</v>
      </c>
      <c r="AH57">
        <v>8</v>
      </c>
      <c r="AI57">
        <v>0.45973661826485396</v>
      </c>
      <c r="AJ57">
        <v>7</v>
      </c>
      <c r="AK57">
        <v>0.1540948684218085</v>
      </c>
      <c r="AM57">
        <v>0.737568</v>
      </c>
      <c r="AN57">
        <v>0.14780529817928301</v>
      </c>
      <c r="AO57">
        <v>0.4619605257784819</v>
      </c>
      <c r="AP57">
        <v>0.20187602435239693</v>
      </c>
    </row>
    <row r="58" spans="15:42">
      <c r="O58" s="14" t="s">
        <v>144</v>
      </c>
      <c r="P58" s="15">
        <f>(($P$54)^2*SQRT(P52*P50))/4</f>
        <v>2.7509352358788822E-7</v>
      </c>
      <c r="Q58" s="15"/>
      <c r="R58" s="15">
        <f>(($P$54)^2*SQRT(R52*R50))/4</f>
        <v>7.0333845572099927E-7</v>
      </c>
      <c r="S58" s="15"/>
      <c r="T58" s="15">
        <f>(($P$54)^2*SQRT(T52*T50))/4</f>
        <v>3.6799593736887919E-7</v>
      </c>
      <c r="U58" s="15"/>
      <c r="V58" s="15">
        <f>(($P$54)^2*SQRT(V52*V50))/4</f>
        <v>5.5018704717577645E-7</v>
      </c>
      <c r="W58" s="15"/>
      <c r="Z58">
        <v>10</v>
      </c>
      <c r="AA58">
        <v>0.72542054364670383</v>
      </c>
      <c r="AB58">
        <f t="shared" si="34"/>
        <v>0.32384086129892647</v>
      </c>
      <c r="AC58">
        <f t="shared" si="33"/>
        <v>0.28551691430812065</v>
      </c>
      <c r="AD58">
        <f t="shared" si="35"/>
        <v>0.27807353750696973</v>
      </c>
      <c r="AE58">
        <f t="shared" si="36"/>
        <v>0.32384086129892647</v>
      </c>
      <c r="AF58">
        <v>12</v>
      </c>
      <c r="AG58">
        <v>0.13138949241803621</v>
      </c>
      <c r="AH58">
        <v>12</v>
      </c>
      <c r="AI58">
        <v>0.43620617795612521</v>
      </c>
      <c r="AJ58">
        <v>9</v>
      </c>
      <c r="AK58">
        <v>0.13679520979314949</v>
      </c>
      <c r="AM58">
        <v>0.72100000000000009</v>
      </c>
      <c r="AN58">
        <v>0.12805560716549591</v>
      </c>
      <c r="AO58">
        <v>0.41913550473315697</v>
      </c>
      <c r="AP58">
        <v>0.1021151959975366</v>
      </c>
    </row>
    <row r="59" spans="15:42">
      <c r="O59" s="14" t="s">
        <v>144</v>
      </c>
      <c r="P59" s="15">
        <f>(($P$54^2)*(-(P52^2)*P49)^(1/3))/4</f>
        <v>2.2401403645375233E-7</v>
      </c>
      <c r="Q59" s="15"/>
      <c r="R59" s="15">
        <f>(($P$54^2)*(-(R52^2)*R49)^(1/3))/4</f>
        <v>5.8924923525797192E-7</v>
      </c>
      <c r="S59" s="15"/>
      <c r="T59" s="15">
        <f>(($P$54^2)*(-(T52^2)*T49)^(1/3))/4</f>
        <v>2.6200840647977422E-7</v>
      </c>
      <c r="U59" s="15"/>
      <c r="V59" s="15">
        <f>(($P$54^2)*(-(V52^2)*V49)^(1/3))/4</f>
        <v>5.0120405090366339E-7</v>
      </c>
      <c r="W59" s="15"/>
      <c r="Z59">
        <v>14</v>
      </c>
      <c r="AA59">
        <v>0.65840012454856434</v>
      </c>
      <c r="AB59">
        <f t="shared" si="34"/>
        <v>0.27132211230200065</v>
      </c>
      <c r="AC59">
        <f t="shared" si="33"/>
        <v>0.3123318984757425</v>
      </c>
      <c r="AD59">
        <f t="shared" si="35"/>
        <v>0.33990099182211109</v>
      </c>
      <c r="AE59">
        <f t="shared" si="36"/>
        <v>0.27132211230200065</v>
      </c>
      <c r="AH59">
        <v>14</v>
      </c>
      <c r="AI59">
        <v>0.38538208797016077</v>
      </c>
      <c r="AJ59">
        <v>10</v>
      </c>
      <c r="AK59">
        <v>0.12766076616203526</v>
      </c>
      <c r="AM59">
        <v>0.66472799999999976</v>
      </c>
      <c r="AO59">
        <v>0.39497770667869381</v>
      </c>
      <c r="AP59">
        <v>0.14224563694948444</v>
      </c>
    </row>
    <row r="60" spans="15:42">
      <c r="O60" s="14" t="s">
        <v>144</v>
      </c>
      <c r="P60" s="15">
        <f>(($P$54^2)*((P52^3)*(P48))^(1/4))/4</f>
        <v>1.5010358339537539E-7</v>
      </c>
      <c r="Q60" s="15"/>
      <c r="R60" s="15">
        <f>(($P$54^2)*((R52^3)*(R48))^(1/4))/4</f>
        <v>3.9914763584418238E-7</v>
      </c>
      <c r="S60" s="15"/>
      <c r="T60" s="15">
        <f>(($P$54^2)*((T52^3)*(T48))^(1/4))/4</f>
        <v>1.5871521562172413E-7</v>
      </c>
      <c r="U60" s="15"/>
      <c r="V60" s="15">
        <f>(($P$54^2)*((V52^3)*(V48))^(1/4))/4</f>
        <v>3.7144872941571154E-7</v>
      </c>
      <c r="W60" s="15"/>
      <c r="Z60">
        <v>20</v>
      </c>
      <c r="AA60">
        <v>0.40482099376610842</v>
      </c>
      <c r="AB60">
        <f t="shared" si="34"/>
        <v>0.52223989359971767</v>
      </c>
      <c r="AC60">
        <f t="shared" si="33"/>
        <v>0.9578978990524325</v>
      </c>
      <c r="AD60">
        <f t="shared" si="35"/>
        <v>1.1601676461038073</v>
      </c>
      <c r="AE60">
        <f t="shared" si="36"/>
        <v>0.52223989359971767</v>
      </c>
      <c r="AH60">
        <v>18</v>
      </c>
      <c r="AI60">
        <v>0.31944179712752446</v>
      </c>
      <c r="AM60">
        <v>0.46200000000000019</v>
      </c>
      <c r="AO60">
        <v>0.31178387711288347</v>
      </c>
    </row>
    <row r="61" spans="15:42">
      <c r="Q61" s="10"/>
      <c r="Z61">
        <v>22</v>
      </c>
      <c r="AA61">
        <v>0.40515242573112892</v>
      </c>
      <c r="AB61">
        <f t="shared" si="34"/>
        <v>0.74297942277541473</v>
      </c>
      <c r="AC61">
        <f>(4/$P$72)+(-4*$P$75/$P$71^2)*(Z61)+(2*$P$72*$P$75^2/$P$71^4)*(Z61^2)+(-2/3)*($P$72^2*$P$75^3/$P$71^6)*(Z61^3)+(1/6)*($P$72^3*$P$75^4/$P$71^8)*(Z61^4)</f>
        <v>1.4413124893186899</v>
      </c>
      <c r="AD61">
        <f t="shared" si="35"/>
        <v>1.7600489888834612</v>
      </c>
      <c r="AE61">
        <f t="shared" si="36"/>
        <v>0.74297942277541473</v>
      </c>
      <c r="AH61">
        <v>20</v>
      </c>
      <c r="AI61">
        <v>0.23230066061049878</v>
      </c>
      <c r="AM61">
        <v>0.36824800000000013</v>
      </c>
      <c r="AO61">
        <v>0.25418806638854774</v>
      </c>
    </row>
    <row r="62" spans="15:42">
      <c r="Z62">
        <v>26</v>
      </c>
      <c r="AA62">
        <v>0.16550448692936906</v>
      </c>
      <c r="AB62">
        <f t="shared" si="34"/>
        <v>1.5007449254389416</v>
      </c>
      <c r="AC62">
        <f t="shared" si="33"/>
        <v>3.0399940303431805</v>
      </c>
      <c r="AD62">
        <f t="shared" si="35"/>
        <v>3.731252434626148</v>
      </c>
      <c r="AE62">
        <f t="shared" si="36"/>
        <v>1.5007449254389416</v>
      </c>
      <c r="AH62">
        <v>24</v>
      </c>
      <c r="AI62">
        <v>0.15110482263125347</v>
      </c>
      <c r="AM62">
        <v>0.18640799999999969</v>
      </c>
      <c r="AO62">
        <v>0.14358741538536279</v>
      </c>
    </row>
    <row r="63" spans="15:42">
      <c r="Z63">
        <v>28</v>
      </c>
      <c r="AA63">
        <v>0.13092609034474734</v>
      </c>
      <c r="AB63">
        <f t="shared" si="34"/>
        <v>2.0854015793259193</v>
      </c>
      <c r="AC63">
        <f t="shared" si="33"/>
        <v>4.2519814728950589</v>
      </c>
      <c r="AD63">
        <f t="shared" si="35"/>
        <v>5.2207216880885952</v>
      </c>
      <c r="AE63">
        <f t="shared" si="36"/>
        <v>2.0854015793259193</v>
      </c>
      <c r="AH63">
        <v>26</v>
      </c>
      <c r="AI63">
        <v>0.13179349913915536</v>
      </c>
      <c r="AM63">
        <v>0.12404799999999838</v>
      </c>
      <c r="AO63">
        <v>0.11841336418217374</v>
      </c>
    </row>
    <row r="64" spans="15:42">
      <c r="Z64">
        <v>30</v>
      </c>
      <c r="AA64">
        <v>0.12918285933370885</v>
      </c>
      <c r="AB64">
        <f t="shared" si="34"/>
        <v>2.8441146218491364</v>
      </c>
      <c r="AC64">
        <f t="shared" si="33"/>
        <v>5.8131736913357921</v>
      </c>
      <c r="AD64">
        <f t="shared" si="35"/>
        <v>7.136405392173848</v>
      </c>
      <c r="AE64">
        <f t="shared" si="36"/>
        <v>2.8441146218491364</v>
      </c>
      <c r="AH64">
        <v>28</v>
      </c>
      <c r="AI64">
        <v>0.12964168263055892</v>
      </c>
      <c r="AM64">
        <v>0.10299999999999843</v>
      </c>
      <c r="AO64">
        <v>0.13920806864187896</v>
      </c>
    </row>
    <row r="65" spans="5:42">
      <c r="O65" s="12" t="s">
        <v>81</v>
      </c>
      <c r="P65" s="12">
        <v>7.9999999999999996E-6</v>
      </c>
      <c r="Q65" s="12"/>
      <c r="R65" s="12">
        <v>4.0804870450989996E-4</v>
      </c>
      <c r="S65" s="12"/>
      <c r="T65" s="12">
        <v>1.1454239708615849E-5</v>
      </c>
      <c r="U65" s="12"/>
      <c r="V65" s="12">
        <v>2.9248191157606976E-4</v>
      </c>
      <c r="W65" s="12"/>
      <c r="Z65">
        <v>32</v>
      </c>
      <c r="AA65">
        <v>0.13792761311581958</v>
      </c>
      <c r="AB65">
        <f t="shared" si="34"/>
        <v>3.8083793932081722</v>
      </c>
      <c r="AC65">
        <f t="shared" si="33"/>
        <v>7.7863709315622032</v>
      </c>
      <c r="AD65">
        <f t="shared" si="35"/>
        <v>9.5546841169752987</v>
      </c>
      <c r="AE65">
        <f t="shared" si="36"/>
        <v>3.8083793932081722</v>
      </c>
      <c r="AM65">
        <v>0.14380799999999905</v>
      </c>
    </row>
    <row r="66" spans="5:42">
      <c r="O66" s="12" t="s">
        <v>83</v>
      </c>
      <c r="P66" s="12">
        <v>-5.0000000000000001E-4</v>
      </c>
      <c r="Q66" s="12"/>
      <c r="R66" s="12">
        <v>-9.4153530876852475E-3</v>
      </c>
      <c r="S66" s="12"/>
      <c r="T66" s="12">
        <v>-7.1806904148670459E-4</v>
      </c>
      <c r="U66" s="12"/>
      <c r="V66" s="12">
        <v>-5.305490005516768E-3</v>
      </c>
      <c r="W66" s="12"/>
      <c r="Z66">
        <v>3</v>
      </c>
      <c r="AA66">
        <v>0.89411921590304944</v>
      </c>
      <c r="AB66">
        <f t="shared" si="34"/>
        <v>0.70252224316881451</v>
      </c>
      <c r="AC66">
        <f t="shared" si="33"/>
        <v>0.66141155075425628</v>
      </c>
      <c r="AD66">
        <f t="shared" si="35"/>
        <v>0.64888917863504947</v>
      </c>
      <c r="AE66">
        <f t="shared" si="36"/>
        <v>0.70252224316881451</v>
      </c>
      <c r="AL66" t="s">
        <v>127</v>
      </c>
      <c r="AM66">
        <v>0.56322799999999973</v>
      </c>
      <c r="AN66">
        <v>0.6116173165682286</v>
      </c>
      <c r="AO66">
        <v>0.44551918110568078</v>
      </c>
      <c r="AP66">
        <v>0.46715899279676942</v>
      </c>
    </row>
    <row r="67" spans="5:42">
      <c r="O67" s="12" t="s">
        <v>131</v>
      </c>
      <c r="P67" s="12">
        <v>9.4999999999999998E-3</v>
      </c>
      <c r="Q67" s="12"/>
      <c r="R67" s="12">
        <v>6.4954737707042937E-2</v>
      </c>
      <c r="S67" s="12"/>
      <c r="T67" s="12">
        <v>1.5251266476844222E-2</v>
      </c>
      <c r="U67" s="12"/>
      <c r="V67" s="12">
        <v>3.545205257593588E-2</v>
      </c>
      <c r="W67" s="12"/>
      <c r="Z67">
        <v>6</v>
      </c>
      <c r="AA67">
        <v>0.74887565034061343</v>
      </c>
      <c r="AB67">
        <f t="shared" si="34"/>
        <v>0.49478491765615074</v>
      </c>
      <c r="AC67">
        <f t="shared" si="33"/>
        <v>0.44016818141028957</v>
      </c>
      <c r="AD67">
        <f t="shared" si="35"/>
        <v>0.42442978900387773</v>
      </c>
      <c r="AE67">
        <f t="shared" si="36"/>
        <v>0.49478491765615074</v>
      </c>
    </row>
    <row r="68" spans="5:42">
      <c r="O68" s="12" t="s">
        <v>132</v>
      </c>
      <c r="P68" s="12">
        <v>-8.09E-2</v>
      </c>
      <c r="Q68" s="12"/>
      <c r="R68" s="12">
        <v>-0.20209599695355152</v>
      </c>
      <c r="S68" s="12"/>
      <c r="T68" s="12">
        <v>-0.14508823337409946</v>
      </c>
      <c r="U68" s="12"/>
      <c r="V68" s="12">
        <v>-0.20151606040589323</v>
      </c>
      <c r="W68" s="12"/>
      <c r="Z68">
        <v>12</v>
      </c>
      <c r="AA68">
        <v>0.657386688720347</v>
      </c>
      <c r="AB68">
        <f t="shared" si="34"/>
        <v>0.28123865328063913</v>
      </c>
      <c r="AC68">
        <f t="shared" si="33"/>
        <v>0.27155500203479632</v>
      </c>
      <c r="AD68">
        <f t="shared" si="35"/>
        <v>0.2767919568521609</v>
      </c>
      <c r="AE68">
        <f t="shared" si="36"/>
        <v>0.28123865328063913</v>
      </c>
      <c r="AF68">
        <v>2</v>
      </c>
      <c r="AG68">
        <v>0.87300358352871843</v>
      </c>
      <c r="AH68">
        <v>2</v>
      </c>
      <c r="AI68">
        <v>0.73611508402642223</v>
      </c>
      <c r="AJ68">
        <v>3</v>
      </c>
      <c r="AK68">
        <v>0.63196444601167723</v>
      </c>
      <c r="AM68">
        <v>0.82994800000000002</v>
      </c>
      <c r="AN68">
        <v>0.79499045108849709</v>
      </c>
      <c r="AO68">
        <v>0.73258743631057177</v>
      </c>
      <c r="AP68">
        <v>0.58783496982535155</v>
      </c>
    </row>
    <row r="69" spans="5:42">
      <c r="O69" s="12" t="s">
        <v>38</v>
      </c>
      <c r="P69" s="12">
        <v>1</v>
      </c>
      <c r="Q69" s="12"/>
      <c r="R69" s="12">
        <v>1.0081575395967519</v>
      </c>
      <c r="S69" s="12"/>
      <c r="T69" s="12">
        <v>0.96732012164794956</v>
      </c>
      <c r="U69" s="12"/>
      <c r="V69" s="12">
        <v>0.99287187317089942</v>
      </c>
      <c r="W69" s="12"/>
      <c r="Z69">
        <v>16</v>
      </c>
      <c r="AA69">
        <v>0.53930532137147458</v>
      </c>
      <c r="AB69">
        <f t="shared" si="34"/>
        <v>0.30101057856258462</v>
      </c>
      <c r="AC69">
        <f t="shared" si="33"/>
        <v>0.42443984952778213</v>
      </c>
      <c r="AD69">
        <f t="shared" si="35"/>
        <v>0.48839882901041221</v>
      </c>
      <c r="AE69">
        <f t="shared" si="36"/>
        <v>0.30101057856258462</v>
      </c>
      <c r="AF69">
        <v>5</v>
      </c>
      <c r="AG69">
        <v>0.60194953462483713</v>
      </c>
      <c r="AH69">
        <v>5</v>
      </c>
      <c r="AI69">
        <v>0.55531138531890867</v>
      </c>
      <c r="AJ69">
        <v>5</v>
      </c>
      <c r="AK69">
        <v>0.42557964286029865</v>
      </c>
      <c r="AM69">
        <v>0.75896799999999998</v>
      </c>
      <c r="AN69">
        <v>0.69965730186309927</v>
      </c>
      <c r="AO69">
        <v>0.54056088633060462</v>
      </c>
      <c r="AP69">
        <v>0.39120782958527778</v>
      </c>
    </row>
    <row r="70" spans="5:42">
      <c r="O70" s="12"/>
      <c r="P70" s="12"/>
      <c r="Q70" s="12"/>
      <c r="R70" s="12"/>
      <c r="S70" s="12"/>
      <c r="T70" s="12"/>
      <c r="U70" s="12"/>
      <c r="V70" s="12"/>
      <c r="W70" s="12"/>
      <c r="Z70">
        <v>18</v>
      </c>
      <c r="AA70">
        <v>0.50581451079406126</v>
      </c>
      <c r="AB70">
        <f t="shared" si="34"/>
        <v>0.38029539226196551</v>
      </c>
      <c r="AC70">
        <f t="shared" si="33"/>
        <v>0.63024710108773796</v>
      </c>
      <c r="AD70">
        <f t="shared" si="35"/>
        <v>0.75020645294813026</v>
      </c>
      <c r="AE70">
        <f t="shared" si="36"/>
        <v>0.38029539226196551</v>
      </c>
      <c r="AF70">
        <v>8</v>
      </c>
      <c r="AG70">
        <v>0.17383457194399796</v>
      </c>
      <c r="AH70">
        <v>10</v>
      </c>
      <c r="AI70">
        <v>0.43198668331810791</v>
      </c>
      <c r="AJ70">
        <v>8</v>
      </c>
      <c r="AK70">
        <v>0.13002007760794732</v>
      </c>
      <c r="AM70">
        <v>0.69908799999999982</v>
      </c>
      <c r="AN70">
        <v>0.399199489996791</v>
      </c>
      <c r="AO70">
        <v>0.43803779119083097</v>
      </c>
      <c r="AP70">
        <v>0.13126978177464643</v>
      </c>
    </row>
    <row r="71" spans="5:42" ht="15.6">
      <c r="E71" s="14" t="s">
        <v>160</v>
      </c>
      <c r="F71" s="10">
        <f>(1/6)*($P$72^3)*(P74^4)/$P$71^8</f>
        <v>1.7847724140041667E-6</v>
      </c>
      <c r="G71" s="10">
        <f>(1/6)*($P$72^3)*(P75^4)/$P$71^8</f>
        <v>1.5041666666666664E-5</v>
      </c>
      <c r="H71" s="10">
        <f>(1/6)*($P$72^3)*(P76^4)/$P$71^8</f>
        <v>1.8028119628842599E-5</v>
      </c>
      <c r="I71" s="10">
        <f>(1/6)*($P$72^3)*(P77^4)/$P$71^8</f>
        <v>8.0000000000000064E-6</v>
      </c>
      <c r="K71" s="10">
        <v>7.9999999999999996E-6</v>
      </c>
      <c r="O71" s="12" t="s">
        <v>150</v>
      </c>
      <c r="P71" s="12">
        <f>3.36*10^(-3)</f>
        <v>3.3600000000000001E-3</v>
      </c>
      <c r="Q71" s="12"/>
      <c r="R71" s="12"/>
      <c r="S71" s="12"/>
      <c r="T71" s="12"/>
      <c r="U71" s="12"/>
      <c r="V71" s="12"/>
      <c r="W71" s="12"/>
      <c r="Z71">
        <v>24</v>
      </c>
      <c r="AA71">
        <v>0.25103593126455687</v>
      </c>
      <c r="AB71">
        <f t="shared" si="34"/>
        <v>1.0617213199886315</v>
      </c>
      <c r="AC71">
        <f t="shared" si="33"/>
        <v>2.1201871177833307</v>
      </c>
      <c r="AD71">
        <f t="shared" si="35"/>
        <v>2.5985398596305855</v>
      </c>
      <c r="AE71">
        <f t="shared" si="36"/>
        <v>1.0617213199886315</v>
      </c>
      <c r="AH71">
        <v>16</v>
      </c>
      <c r="AI71">
        <v>0.36056106220175366</v>
      </c>
      <c r="AM71">
        <v>0.61388799999999977</v>
      </c>
      <c r="AO71">
        <v>0.35968686534878513</v>
      </c>
    </row>
    <row r="72" spans="5:42" ht="16.8">
      <c r="E72" s="14" t="s">
        <v>159</v>
      </c>
      <c r="F72" s="10">
        <f>(-2/3)*$P$72^2*(P74^3)/$P$71^4</f>
        <v>-9.9626040272640028E-10</v>
      </c>
      <c r="G72" s="10">
        <f>(-2/3)*$P$72^2*(P75^3)/$P$71^4</f>
        <v>-4.9278525650672633E-9</v>
      </c>
      <c r="H72" s="10">
        <f>(-2/3)*$P$72^2*(P76^3)/$P$71^4</f>
        <v>-5.6448000000000002E-9</v>
      </c>
      <c r="I72" s="10">
        <f>(-2/3)*$P$72^2*(P77^3)/$P$71^4</f>
        <v>-3.0690447850601742E-9</v>
      </c>
      <c r="K72" s="10">
        <v>-5.0000000000000001E-4</v>
      </c>
      <c r="O72" s="12" t="s">
        <v>166</v>
      </c>
      <c r="P72" s="12">
        <f>4/P69</f>
        <v>4</v>
      </c>
      <c r="Q72" s="12"/>
      <c r="R72" s="12">
        <f>4/R69</f>
        <v>3.9676338696032971</v>
      </c>
      <c r="S72" s="12"/>
      <c r="T72" s="12">
        <f>4/T69</f>
        <v>4.1351357327143212</v>
      </c>
      <c r="U72" s="12"/>
      <c r="V72" s="12">
        <f>4/V69</f>
        <v>4.0287172072115842</v>
      </c>
      <c r="W72" s="12"/>
      <c r="AG72">
        <v>22</v>
      </c>
      <c r="AH72">
        <v>0.15070119437459695</v>
      </c>
      <c r="AL72">
        <v>0.54560800000000009</v>
      </c>
      <c r="AN72">
        <v>0.19421718564144774</v>
      </c>
    </row>
    <row r="73" spans="5:42" ht="15.6">
      <c r="E73" s="14" t="s">
        <v>158</v>
      </c>
      <c r="F73" s="10">
        <f>2*$P$72*(P74^2)/$P$71^4</f>
        <v>3.2724050000000004E-3</v>
      </c>
      <c r="G73" s="10">
        <f>2*$P$72*(P75^2)/$P$71^4</f>
        <v>9.4999999999999998E-3</v>
      </c>
      <c r="H73" s="10">
        <f>2*$P$72*(P76^2)/$P$71^4</f>
        <v>1.040041911525952E-2</v>
      </c>
      <c r="I73" s="10">
        <f>2*$P$72*(P77^2)/$P$71^4</f>
        <v>6.928203230275513E-3</v>
      </c>
      <c r="K73" s="10">
        <v>9.4999999999999998E-3</v>
      </c>
      <c r="O73" s="12" t="s">
        <v>97</v>
      </c>
      <c r="P73" s="12" t="s">
        <v>162</v>
      </c>
      <c r="Q73" s="12"/>
      <c r="R73" s="12" t="s">
        <v>163</v>
      </c>
      <c r="S73" s="12"/>
      <c r="T73" s="12" t="s">
        <v>164</v>
      </c>
      <c r="U73" s="12"/>
      <c r="V73" s="12" t="s">
        <v>165</v>
      </c>
      <c r="W73" s="12"/>
      <c r="AL73">
        <v>0.2726079999999993</v>
      </c>
    </row>
    <row r="74" spans="5:42" ht="15.6">
      <c r="E74" s="14" t="s">
        <v>157</v>
      </c>
      <c r="F74" s="10">
        <f>(-4*P74/$P$71^2)</f>
        <v>-8.09E-2</v>
      </c>
      <c r="G74" s="10">
        <f>(-4*P75/$P$71^2)</f>
        <v>-0.13784048752090222</v>
      </c>
      <c r="H74" s="10">
        <f>(-4*P76/$P$71^2)</f>
        <v>-0.14422495703074084</v>
      </c>
      <c r="I74" s="10">
        <f>(-4*P77/$P$71^2)</f>
        <v>-0.11771323825530851</v>
      </c>
      <c r="K74" s="10">
        <v>-8.09E-2</v>
      </c>
      <c r="O74" s="12" t="s">
        <v>144</v>
      </c>
      <c r="P74" s="12">
        <f>-P68*$P$54^2/4</f>
        <v>2.2833216000000003E-7</v>
      </c>
      <c r="Q74" s="12"/>
      <c r="R74" s="12">
        <f>-R68*$P$54^2/4</f>
        <v>5.7039574180170385E-7</v>
      </c>
      <c r="S74" s="12"/>
      <c r="T74" s="12">
        <f>-T68*$P$54^2/4</f>
        <v>4.0949702987505833E-7</v>
      </c>
      <c r="U74" s="12"/>
      <c r="V74" s="12">
        <f>-V68*$P$54^2/4</f>
        <v>5.6875892888959312E-7</v>
      </c>
      <c r="W74" s="12"/>
    </row>
    <row r="75" spans="5:42" ht="15.6">
      <c r="E75" s="14" t="s">
        <v>156</v>
      </c>
      <c r="F75" s="10">
        <f>4/$P$72</f>
        <v>1</v>
      </c>
      <c r="G75" s="10">
        <f t="shared" ref="G75:I75" si="37">4/$P$72</f>
        <v>1</v>
      </c>
      <c r="H75" s="10">
        <f t="shared" si="37"/>
        <v>1</v>
      </c>
      <c r="I75" s="10">
        <f t="shared" si="37"/>
        <v>1</v>
      </c>
      <c r="K75" s="10">
        <v>1</v>
      </c>
      <c r="O75" s="12" t="s">
        <v>144</v>
      </c>
      <c r="P75" s="12">
        <f>((2^0.5)*($P$54)^2*SQRT(P69*P67))/4</f>
        <v>3.8904099197899448E-7</v>
      </c>
      <c r="Q75" s="12"/>
      <c r="R75" s="12">
        <f>((2^0.5)*($P$54)^2*SQRT(R69*R67))/4</f>
        <v>1.021417229050609E-6</v>
      </c>
      <c r="S75" s="12"/>
      <c r="T75" s="12">
        <f>((2^0.5)*($P$54)^2*SQRT(T69*T67))/4</f>
        <v>4.8481006426611433E-7</v>
      </c>
      <c r="U75" s="12"/>
      <c r="V75" s="12">
        <f>((2^0.5)*($P$54)^2*SQRT(V69*V67))/4</f>
        <v>7.4886038621604117E-7</v>
      </c>
      <c r="W75" s="12"/>
    </row>
    <row r="76" spans="5:42">
      <c r="O76" s="12" t="s">
        <v>144</v>
      </c>
      <c r="P76" s="12">
        <f>((6^(1/3))*($P$54^2)*(-(P69^2)*P66)^(1/3))/4</f>
        <v>4.0706051872356299E-7</v>
      </c>
      <c r="Q76" s="12"/>
      <c r="R76" s="12">
        <f>((6^(1/3))*($P$54^2)*(-(R69^2)*R66)^(1/3))/4</f>
        <v>1.0888468162097667E-6</v>
      </c>
      <c r="S76" s="12"/>
      <c r="T76" s="12">
        <f>((6^(1/3))*($P$54^2)*(-(T69^2)*T66)^(1/3))/4</f>
        <v>4.4919805022337661E-7</v>
      </c>
      <c r="U76" s="12"/>
      <c r="V76" s="12">
        <f>((6^(1/3))*($P$54^2)*(-(V69^2)*V66)^(1/3))/4</f>
        <v>8.9023832270884266E-7</v>
      </c>
      <c r="W76" s="12"/>
    </row>
    <row r="77" spans="5:42">
      <c r="O77" s="12" t="s">
        <v>144</v>
      </c>
      <c r="P77" s="12">
        <f>((24^(1/4))*($P$54^2)*((P69^3)*(P65))^(1/4))/4</f>
        <v>3.3223384365178277E-7</v>
      </c>
      <c r="Q77" s="12"/>
      <c r="R77" s="12">
        <f>((24^(1/4))*($P$54^2)*((R69^3)*(R65))^(1/4))/4</f>
        <v>8.9329659073602272E-7</v>
      </c>
      <c r="S77" s="12"/>
      <c r="T77" s="12">
        <f>((24^(1/4))*($P$54^2)*((T69^3)*(T65))^(1/4))/4</f>
        <v>3.5447907776279152E-7</v>
      </c>
      <c r="U77" s="12"/>
      <c r="V77" s="12">
        <f>((24^(1/4))*($P$54^2)*((V69^3)*(V65))^(1/4))/4</f>
        <v>8.1257982044869508E-7</v>
      </c>
      <c r="W77" s="12"/>
    </row>
    <row r="80" spans="5:42">
      <c r="P80">
        <f>AVERAGE(P74:P76)</f>
        <v>3.414778902341858E-7</v>
      </c>
      <c r="R80">
        <f>AVERAGE(R74:R76)</f>
        <v>8.935532623540265E-7</v>
      </c>
      <c r="T80">
        <f>AVERAGE(T74:T76)</f>
        <v>4.4783504812151641E-7</v>
      </c>
      <c r="V80">
        <f>AVERAGE(V74:V76)</f>
        <v>7.3595254593815891E-7</v>
      </c>
    </row>
    <row r="82" spans="16:16">
      <c r="P82">
        <f>EXP(-4*(P80/P54^2))</f>
        <v>0.88604416541856434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CA535-9AAD-47F6-AAD0-BC7899C5F834}">
  <dimension ref="A4:N48"/>
  <sheetViews>
    <sheetView topLeftCell="A2" zoomScale="120" zoomScaleNormal="120" workbookViewId="0">
      <selection activeCell="M8" sqref="M8"/>
    </sheetView>
  </sheetViews>
  <sheetFormatPr defaultRowHeight="14.4"/>
  <sheetData>
    <row r="4" spans="10:14">
      <c r="J4" s="2"/>
      <c r="K4" s="2"/>
      <c r="L4" s="2"/>
      <c r="M4" s="2"/>
    </row>
    <row r="5" spans="10:14">
      <c r="J5" s="2"/>
      <c r="K5" s="2"/>
      <c r="L5" s="2"/>
      <c r="M5" s="2"/>
      <c r="N5">
        <v>4.1335978892192939E-9</v>
      </c>
    </row>
    <row r="6" spans="10:14">
      <c r="J6" s="2"/>
      <c r="K6" s="2"/>
      <c r="L6" s="2"/>
      <c r="M6" s="2"/>
    </row>
    <row r="7" spans="10:14">
      <c r="J7" s="2"/>
      <c r="K7" s="2"/>
      <c r="L7" s="2"/>
      <c r="M7" s="2"/>
    </row>
    <row r="8" spans="10:14">
      <c r="J8" s="2"/>
      <c r="K8" s="2"/>
      <c r="L8" s="2"/>
      <c r="M8" s="2" t="s">
        <v>118</v>
      </c>
      <c r="N8">
        <v>1.4806735249733224E-10</v>
      </c>
    </row>
    <row r="9" spans="10:14">
      <c r="J9" s="2"/>
      <c r="K9" s="2"/>
      <c r="L9" s="2"/>
      <c r="M9" s="2"/>
    </row>
    <row r="10" spans="10:14">
      <c r="J10" s="2"/>
      <c r="K10" s="2"/>
      <c r="L10" s="2"/>
      <c r="M10" s="2"/>
    </row>
    <row r="11" spans="10:14">
      <c r="J11" s="2"/>
      <c r="L11" s="2"/>
      <c r="M11" s="2"/>
    </row>
    <row r="12" spans="10:14">
      <c r="J12" s="2"/>
      <c r="L12" s="2"/>
    </row>
    <row r="13" spans="10:14">
      <c r="J13" s="2"/>
      <c r="L13" s="2"/>
    </row>
    <row r="14" spans="10:14">
      <c r="J14" s="2"/>
      <c r="L14" s="2"/>
    </row>
    <row r="15" spans="10:14">
      <c r="J15" s="2"/>
      <c r="L15" s="2"/>
    </row>
    <row r="16" spans="10:14">
      <c r="J16" s="2"/>
      <c r="L16" s="2"/>
    </row>
    <row r="17" spans="1:13">
      <c r="J17" s="2"/>
    </row>
    <row r="20" spans="1:13">
      <c r="J20" s="2"/>
      <c r="K20" s="2"/>
      <c r="L20" s="2"/>
      <c r="M20" s="2"/>
    </row>
    <row r="21" spans="1:13">
      <c r="A21" t="s">
        <v>81</v>
      </c>
      <c r="B21">
        <v>7.9999999999999996E-6</v>
      </c>
      <c r="D21">
        <v>4.0804870450989996E-4</v>
      </c>
      <c r="F21">
        <v>1.1454239708615849E-5</v>
      </c>
      <c r="H21">
        <v>2.9248191157606976E-4</v>
      </c>
      <c r="J21" s="2"/>
      <c r="K21" s="2"/>
      <c r="L21" s="2"/>
      <c r="M21" s="2"/>
    </row>
    <row r="22" spans="1:13">
      <c r="A22" t="s">
        <v>83</v>
      </c>
      <c r="B22">
        <v>-5.0000000000000001E-4</v>
      </c>
      <c r="D22">
        <v>-9.4153530876852475E-3</v>
      </c>
      <c r="F22">
        <v>-7.1806904148670459E-4</v>
      </c>
      <c r="H22">
        <v>-5.305490005516768E-3</v>
      </c>
      <c r="J22" s="2"/>
      <c r="K22" s="2"/>
      <c r="L22" s="2"/>
      <c r="M22" s="2"/>
    </row>
    <row r="23" spans="1:13">
      <c r="A23" t="s">
        <v>131</v>
      </c>
      <c r="B23">
        <v>9.4999999999999998E-3</v>
      </c>
      <c r="D23">
        <v>6.4954737707042937E-2</v>
      </c>
      <c r="F23">
        <v>1.5251266476844222E-2</v>
      </c>
      <c r="H23">
        <v>3.545205257593588E-2</v>
      </c>
      <c r="J23" s="2"/>
      <c r="K23" s="2"/>
      <c r="L23" s="2"/>
      <c r="M23" s="2"/>
    </row>
    <row r="24" spans="1:13">
      <c r="A24" t="s">
        <v>132</v>
      </c>
      <c r="B24">
        <v>-8.09E-2</v>
      </c>
      <c r="D24">
        <v>-0.20209599695355152</v>
      </c>
      <c r="F24">
        <v>-0.14508823337409946</v>
      </c>
      <c r="H24">
        <v>-0.20151606040589323</v>
      </c>
      <c r="J24" s="2"/>
      <c r="K24" s="2"/>
      <c r="L24" s="2"/>
      <c r="M24" s="2"/>
    </row>
    <row r="25" spans="1:13">
      <c r="A25" t="s">
        <v>38</v>
      </c>
      <c r="B25">
        <v>1</v>
      </c>
      <c r="D25">
        <v>1.0081575395967519</v>
      </c>
      <c r="F25">
        <v>0.96732012164794956</v>
      </c>
      <c r="H25">
        <v>0.99287187317089942</v>
      </c>
      <c r="J25" s="2"/>
      <c r="K25" s="2"/>
      <c r="L25" s="2"/>
      <c r="M25" s="2"/>
    </row>
    <row r="27" spans="1:13">
      <c r="A27" t="s">
        <v>150</v>
      </c>
      <c r="B27">
        <v>3.3600000000000001E-3</v>
      </c>
    </row>
    <row r="29" spans="1:13">
      <c r="B29">
        <v>1</v>
      </c>
    </row>
    <row r="30" spans="1:13">
      <c r="A30" t="s">
        <v>144</v>
      </c>
      <c r="B30">
        <v>4.5666432000000007E-7</v>
      </c>
      <c r="D30">
        <v>1.1407914836034077E-6</v>
      </c>
      <c r="F30">
        <v>8.1899405975011667E-7</v>
      </c>
      <c r="H30">
        <v>1.1375178577791862E-6</v>
      </c>
    </row>
    <row r="31" spans="1:13">
      <c r="A31" t="s">
        <v>145</v>
      </c>
      <c r="B31">
        <v>3.0270578688000008E-13</v>
      </c>
      <c r="C31">
        <v>5.5018704717577645E-7</v>
      </c>
      <c r="D31">
        <v>2.0865863116028489E-12</v>
      </c>
      <c r="E31">
        <v>1.4445020981649174E-6</v>
      </c>
      <c r="F31">
        <v>4.7008159682742789E-13</v>
      </c>
      <c r="G31">
        <v>6.8562496806011074E-7</v>
      </c>
      <c r="H31">
        <v>1.1215837560872768E-12</v>
      </c>
      <c r="I31">
        <v>1.0590485145106795E-6</v>
      </c>
    </row>
    <row r="32" spans="1:13">
      <c r="A32" t="s">
        <v>146</v>
      </c>
      <c r="B32">
        <v>8.9932296093696035E-20</v>
      </c>
      <c r="C32">
        <v>4.4802807290750513E-7</v>
      </c>
      <c r="D32">
        <v>1.721230738715149E-18</v>
      </c>
      <c r="E32">
        <v>1.1984309907717311E-6</v>
      </c>
      <c r="F32">
        <v>1.2085157761546434E-19</v>
      </c>
      <c r="G32">
        <v>4.9440642739430146E-7</v>
      </c>
      <c r="H32">
        <v>9.4071397055527197E-19</v>
      </c>
      <c r="I32">
        <v>9.798340585875262E-7</v>
      </c>
    </row>
    <row r="33" spans="1:9">
      <c r="A33" t="s">
        <v>161</v>
      </c>
      <c r="B33">
        <v>8.1223971998351272E-27</v>
      </c>
      <c r="C33">
        <v>3.00207166790751E-7</v>
      </c>
      <c r="D33">
        <v>4.2451344245757413E-25</v>
      </c>
      <c r="E33">
        <v>8.0718458920691329E-7</v>
      </c>
      <c r="F33">
        <v>1.0526189142514719E-26</v>
      </c>
      <c r="G33">
        <v>3.2030800490422826E-7</v>
      </c>
      <c r="H33">
        <v>2.9065170336554998E-25</v>
      </c>
      <c r="I33">
        <v>7.342487538503687E-7</v>
      </c>
    </row>
    <row r="36" spans="1:9">
      <c r="A36" t="s">
        <v>155</v>
      </c>
      <c r="B36">
        <v>7.9999999999999996E-6</v>
      </c>
      <c r="D36">
        <v>4.0000000000000002E-4</v>
      </c>
      <c r="F36">
        <v>1.0000000000000001E-5</v>
      </c>
      <c r="H36">
        <v>2.9999999999999997E-4</v>
      </c>
    </row>
    <row r="37" spans="1:9">
      <c r="A37" t="s">
        <v>154</v>
      </c>
      <c r="B37">
        <v>-5.0000000000000001E-4</v>
      </c>
      <c r="D37">
        <v>-9.1000000000000004E-3</v>
      </c>
      <c r="F37">
        <v>-8.0000000000000004E-4</v>
      </c>
      <c r="H37">
        <v>-5.5999999999999999E-3</v>
      </c>
    </row>
    <row r="38" spans="1:9">
      <c r="A38" t="s">
        <v>153</v>
      </c>
      <c r="B38">
        <v>9.4999999999999998E-3</v>
      </c>
      <c r="D38">
        <v>6.2100000000000002E-2</v>
      </c>
      <c r="F38">
        <v>1.7000000000000001E-2</v>
      </c>
      <c r="H38">
        <v>3.7999999999999999E-2</v>
      </c>
    </row>
    <row r="39" spans="1:9">
      <c r="A39" t="s">
        <v>152</v>
      </c>
      <c r="B39">
        <v>-8.09E-2</v>
      </c>
      <c r="D39">
        <v>-0.19289999999999999</v>
      </c>
      <c r="F39">
        <v>-0.15939999999999999</v>
      </c>
      <c r="H39">
        <v>-0.2094</v>
      </c>
    </row>
    <row r="40" spans="1:9">
      <c r="A40" t="s">
        <v>151</v>
      </c>
      <c r="B40">
        <v>1</v>
      </c>
      <c r="D40">
        <v>1</v>
      </c>
      <c r="F40">
        <v>1</v>
      </c>
      <c r="H40">
        <v>1</v>
      </c>
    </row>
    <row r="42" spans="1:9">
      <c r="A42" t="s">
        <v>150</v>
      </c>
      <c r="B42">
        <v>3.3600000000000001E-3</v>
      </c>
    </row>
    <row r="44" spans="1:9">
      <c r="C44" t="s">
        <v>118</v>
      </c>
      <c r="E44" t="s">
        <v>118</v>
      </c>
      <c r="G44" t="s">
        <v>118</v>
      </c>
      <c r="I44" t="s">
        <v>118</v>
      </c>
    </row>
    <row r="45" spans="1:9">
      <c r="A45" t="s">
        <v>144</v>
      </c>
      <c r="B45">
        <v>4.5666432000000007E-7</v>
      </c>
      <c r="C45">
        <v>4.5666432000000007E-7</v>
      </c>
      <c r="D45">
        <v>1.0888819200000001E-6</v>
      </c>
      <c r="E45">
        <v>1.0888819200000001E-6</v>
      </c>
      <c r="F45">
        <v>8.9978111999999996E-7</v>
      </c>
      <c r="G45">
        <v>8.9978111999999996E-7</v>
      </c>
      <c r="H45">
        <v>1.18202112E-6</v>
      </c>
      <c r="I45">
        <v>1.18202112E-6</v>
      </c>
    </row>
    <row r="46" spans="1:9">
      <c r="A46" t="s">
        <v>145</v>
      </c>
      <c r="B46">
        <v>2.4536406897653475E-13</v>
      </c>
      <c r="C46">
        <v>4.9534237551065099E-7</v>
      </c>
      <c r="D46">
        <v>1.6039061772045064E-12</v>
      </c>
      <c r="E46">
        <v>1.2664541749327159E-6</v>
      </c>
      <c r="F46">
        <v>4.3907254448432547E-13</v>
      </c>
      <c r="G46">
        <v>6.6262549338546093E-7</v>
      </c>
      <c r="H46">
        <v>9.8145627590613901E-13</v>
      </c>
      <c r="I46">
        <v>9.9068475102130198E-7</v>
      </c>
    </row>
    <row r="47" spans="1:9">
      <c r="A47" t="s">
        <v>146</v>
      </c>
      <c r="B47">
        <v>5.9087574772537655E-20</v>
      </c>
      <c r="C47">
        <v>3.8949216121024107E-7</v>
      </c>
      <c r="D47">
        <v>1.0753938608601856E-18</v>
      </c>
      <c r="E47">
        <v>1.0245248992667081E-6</v>
      </c>
      <c r="F47">
        <v>9.4540119636060256E-20</v>
      </c>
      <c r="G47">
        <v>4.555527953094439E-7</v>
      </c>
      <c r="H47">
        <v>6.6178083745242178E-19</v>
      </c>
      <c r="I47">
        <v>8.714411475465622E-7</v>
      </c>
    </row>
    <row r="48" spans="1:9">
      <c r="A48" t="s">
        <v>161</v>
      </c>
      <c r="B48">
        <v>4.3256855746942023E-27</v>
      </c>
      <c r="C48">
        <v>2.5645651543910619E-7</v>
      </c>
      <c r="D48">
        <v>2.1628427873471012E-25</v>
      </c>
      <c r="E48">
        <v>6.8195581690230388E-7</v>
      </c>
      <c r="F48">
        <v>5.4071069683677529E-27</v>
      </c>
      <c r="G48">
        <v>2.7116974974741219E-7</v>
      </c>
      <c r="H48">
        <v>1.6221320905103259E-25</v>
      </c>
      <c r="I48">
        <v>6.3463139690222593E-7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6434F-CE49-444F-91A9-4DF993D6BD25}">
  <dimension ref="A1:AC31"/>
  <sheetViews>
    <sheetView topLeftCell="K10" zoomScale="90" zoomScaleNormal="90" workbookViewId="0">
      <selection activeCell="AA25" sqref="AA25:AC31"/>
    </sheetView>
  </sheetViews>
  <sheetFormatPr defaultRowHeight="14.4"/>
  <cols>
    <col min="11" max="11" width="12" bestFit="1" customWidth="1"/>
    <col min="13" max="13" width="12.6640625" bestFit="1" customWidth="1"/>
    <col min="14" max="14" width="11" bestFit="1" customWidth="1"/>
    <col min="15" max="15" width="12" bestFit="1" customWidth="1"/>
  </cols>
  <sheetData>
    <row r="1" spans="1:29">
      <c r="A1" t="s">
        <v>45</v>
      </c>
      <c r="C1" t="s">
        <v>46</v>
      </c>
      <c r="E1" t="s">
        <v>47</v>
      </c>
      <c r="G1" t="s">
        <v>48</v>
      </c>
    </row>
    <row r="2" spans="1:29">
      <c r="A2" t="s">
        <v>72</v>
      </c>
      <c r="B2" t="s">
        <v>130</v>
      </c>
      <c r="C2" t="s">
        <v>72</v>
      </c>
      <c r="D2" t="s">
        <v>130</v>
      </c>
      <c r="E2" t="s">
        <v>72</v>
      </c>
      <c r="F2" t="s">
        <v>130</v>
      </c>
      <c r="G2" t="s">
        <v>72</v>
      </c>
      <c r="H2" t="s">
        <v>130</v>
      </c>
      <c r="AB2" t="s">
        <v>172</v>
      </c>
      <c r="AC2" t="s">
        <v>173</v>
      </c>
    </row>
    <row r="3" spans="1:29">
      <c r="A3">
        <v>0</v>
      </c>
      <c r="B3">
        <v>1</v>
      </c>
      <c r="C3">
        <v>0</v>
      </c>
      <c r="D3">
        <v>1</v>
      </c>
      <c r="E3">
        <v>0</v>
      </c>
      <c r="F3">
        <v>1</v>
      </c>
      <c r="G3">
        <v>0</v>
      </c>
      <c r="H3">
        <v>1</v>
      </c>
      <c r="R3">
        <f>$M$18*(A3^4)+$M$19*(A3^3)+$M$20*(A3^2)+$M$21*(A3)+$M$22</f>
        <v>0.97700000000000009</v>
      </c>
      <c r="S3">
        <f>$N$18*(A3^4)+$N$19*(A3^3)+$N$20*(A3^2)+$N$21*(A3)+$N$22</f>
        <v>0.97700000000000009</v>
      </c>
      <c r="T3">
        <f>$O$18*(A3^4)+$O$19*(A3^3)+$O$20*(A3^2)+$O$21*(A3)+$O$22</f>
        <v>0.97700000000000009</v>
      </c>
      <c r="U3">
        <f>$P$18*(A3^4)+$P$19*(A3^3)+$P$20*(A3^2)+$P$21*(A3)+$P$22</f>
        <v>0.97700000000000009</v>
      </c>
      <c r="W3">
        <f>(4/$K$25)*EXP(-$K$25*$K$27*$A3/($K$24^2))</f>
        <v>0.97700000000000009</v>
      </c>
      <c r="X3">
        <f>(4/$K$25)*EXP(-$K$25*$K$28*$A3/($K$24^2))</f>
        <v>0.97700000000000009</v>
      </c>
      <c r="Y3">
        <f>(4/$K$25)*EXP(-$K$25*$K$28*$A3/($K$24^2))</f>
        <v>0.97700000000000009</v>
      </c>
      <c r="Z3">
        <f>(4/$K$25)*EXP(-$K$25*$K$28*$A3/($K$24^2))</f>
        <v>0.97700000000000009</v>
      </c>
      <c r="AB3">
        <f>(B3-W3)^2</f>
        <v>5.2899999999999584E-4</v>
      </c>
      <c r="AC3">
        <f>(B3-$W$22)^2</f>
        <v>0.26300005050631303</v>
      </c>
    </row>
    <row r="4" spans="1:29">
      <c r="A4">
        <v>1</v>
      </c>
      <c r="B4">
        <v>0.89411921590304944</v>
      </c>
      <c r="C4">
        <v>1</v>
      </c>
      <c r="D4">
        <v>0.87300358352871843</v>
      </c>
      <c r="E4">
        <v>1</v>
      </c>
      <c r="F4">
        <v>0.78247024774843776</v>
      </c>
      <c r="G4">
        <v>1</v>
      </c>
      <c r="H4">
        <v>0.80714948566211964</v>
      </c>
      <c r="R4">
        <f>$M$18*(A4^4)+$M$19*(A4^3)+$M$20*(A4^2)+$M$21*(A4)+$M$22</f>
        <v>0.91327339492891602</v>
      </c>
      <c r="S4">
        <f t="shared" ref="S4:S21" si="0">$N$18*(A4^4)+$N$19*(A4^3)+$N$20*(A4^2)+$N$21*(A4)+$N$22</f>
        <v>0.86530550073436918</v>
      </c>
      <c r="T4">
        <f t="shared" ref="T4:T21" si="1">$O$18*(A4^4)+$O$19*(A4^3)+$O$20*(A4^2)+$O$21*(A4)+$O$22</f>
        <v>0.85368134267167561</v>
      </c>
      <c r="U4">
        <f t="shared" ref="U4:U21" si="2">$P$18*(A4^4)+$P$19*(A4^3)+$P$20*(A4^2)+$P$21*(A4)+$P$22</f>
        <v>0.8712893499914981</v>
      </c>
      <c r="W4">
        <f t="shared" ref="W4:W21" si="3">(4/$K$25)*EXP(-$K$25*$K$27*$A4/($K$24^2))</f>
        <v>0.91327338368791966</v>
      </c>
      <c r="X4">
        <f t="shared" ref="X4:Z21" si="4">(4/$K$25)*EXP(-$K$25*$K$28*$A4/($K$24^2))</f>
        <v>0.8653052902796442</v>
      </c>
      <c r="Y4">
        <f t="shared" si="4"/>
        <v>0.8653052902796442</v>
      </c>
      <c r="Z4">
        <f t="shared" si="4"/>
        <v>0.8653052902796442</v>
      </c>
      <c r="AB4">
        <f t="shared" ref="AB4:AB21" si="5">(B4-W4)^2</f>
        <v>3.668821435309603E-4</v>
      </c>
      <c r="AC4">
        <f t="shared" ref="AC4:AC21" si="6">(B4-$W$22)^2</f>
        <v>0.16561198244200667</v>
      </c>
    </row>
    <row r="5" spans="1:29">
      <c r="A5">
        <v>2</v>
      </c>
      <c r="B5">
        <v>0.85583101299828412</v>
      </c>
      <c r="C5">
        <v>2</v>
      </c>
      <c r="D5">
        <v>0.8719047990821901</v>
      </c>
      <c r="E5">
        <v>2</v>
      </c>
      <c r="F5">
        <v>0.73611508402642223</v>
      </c>
      <c r="G5">
        <v>2</v>
      </c>
      <c r="H5">
        <v>0.69660154192315715</v>
      </c>
      <c r="R5">
        <f t="shared" ref="R5:R21" si="7">$M$18*(A5^4)+$M$19*(A5^3)+$M$20*(A5^2)+$M$21*(A5)+$M$22</f>
        <v>0.85370380850484184</v>
      </c>
      <c r="S5">
        <f t="shared" si="0"/>
        <v>0.76638658754574407</v>
      </c>
      <c r="T5">
        <f t="shared" si="1"/>
        <v>0.74593870799503215</v>
      </c>
      <c r="U5">
        <f t="shared" si="2"/>
        <v>0.77702117116585512</v>
      </c>
      <c r="W5">
        <f t="shared" si="3"/>
        <v>0.85370345276640947</v>
      </c>
      <c r="X5">
        <f t="shared" si="4"/>
        <v>0.76637998504190297</v>
      </c>
      <c r="Y5">
        <f t="shared" si="4"/>
        <v>0.76637998504190297</v>
      </c>
      <c r="Z5">
        <f t="shared" si="4"/>
        <v>0.76637998504190297</v>
      </c>
      <c r="AB5">
        <f t="shared" si="5"/>
        <v>4.5265125402545528E-6</v>
      </c>
      <c r="AC5">
        <f t="shared" si="6"/>
        <v>0.13591485435125158</v>
      </c>
    </row>
    <row r="6" spans="1:29">
      <c r="A6">
        <v>3</v>
      </c>
      <c r="B6">
        <v>0.84208722400184877</v>
      </c>
      <c r="C6">
        <v>3</v>
      </c>
      <c r="D6">
        <v>0.8085873453509933</v>
      </c>
      <c r="E6">
        <v>3</v>
      </c>
      <c r="F6">
        <v>0.67457705383364175</v>
      </c>
      <c r="G6">
        <v>3</v>
      </c>
      <c r="H6">
        <v>0.63196444601167723</v>
      </c>
      <c r="R6">
        <f t="shared" si="7"/>
        <v>0.79802175159409527</v>
      </c>
      <c r="S6">
        <f t="shared" si="0"/>
        <v>0.67881340127059853</v>
      </c>
      <c r="T6">
        <f t="shared" si="1"/>
        <v>0.6518578406582396</v>
      </c>
      <c r="U6">
        <f t="shared" si="2"/>
        <v>0.69298037742353835</v>
      </c>
      <c r="W6">
        <f t="shared" si="3"/>
        <v>0.79801907980966102</v>
      </c>
      <c r="X6">
        <f t="shared" si="4"/>
        <v>0.67876423277501852</v>
      </c>
      <c r="Y6">
        <f t="shared" si="4"/>
        <v>0.67876423277501852</v>
      </c>
      <c r="Z6">
        <f t="shared" si="4"/>
        <v>0.67876423277501852</v>
      </c>
      <c r="AB6">
        <f t="shared" si="5"/>
        <v>1.9420013325434501E-3</v>
      </c>
      <c r="AC6">
        <f t="shared" si="6"/>
        <v>0.12597000190579788</v>
      </c>
    </row>
    <row r="7" spans="1:29">
      <c r="A7">
        <v>4</v>
      </c>
      <c r="B7">
        <v>0.80782806424512987</v>
      </c>
      <c r="C7">
        <v>4</v>
      </c>
      <c r="D7">
        <v>0.66656424213610876</v>
      </c>
      <c r="E7">
        <v>4</v>
      </c>
      <c r="F7">
        <v>0.58964137477944789</v>
      </c>
      <c r="G7">
        <v>4</v>
      </c>
      <c r="H7">
        <v>0.49811642751536406</v>
      </c>
      <c r="R7">
        <f t="shared" si="7"/>
        <v>0.74597795863972927</v>
      </c>
      <c r="S7">
        <f t="shared" si="0"/>
        <v>0.60136832430118914</v>
      </c>
      <c r="T7">
        <f t="shared" si="1"/>
        <v>0.56984831514158141</v>
      </c>
      <c r="U7">
        <f t="shared" si="2"/>
        <v>0.6181198826650155</v>
      </c>
      <c r="W7">
        <f t="shared" si="3"/>
        <v>0.74596682217532151</v>
      </c>
      <c r="X7">
        <f t="shared" si="4"/>
        <v>0.60116507827310894</v>
      </c>
      <c r="Y7">
        <f t="shared" si="4"/>
        <v>0.60116507827310894</v>
      </c>
      <c r="Z7">
        <f t="shared" si="4"/>
        <v>0.60116507827310894</v>
      </c>
      <c r="AB7">
        <f t="shared" si="5"/>
        <v>3.8268132704194283E-3</v>
      </c>
      <c r="AC7">
        <f t="shared" si="6"/>
        <v>0.10282499665818173</v>
      </c>
    </row>
    <row r="8" spans="1:29">
      <c r="A8">
        <v>5</v>
      </c>
      <c r="B8">
        <v>0.77924179723414255</v>
      </c>
      <c r="C8">
        <v>5</v>
      </c>
      <c r="D8">
        <v>0.66526042465241864</v>
      </c>
      <c r="E8">
        <v>5</v>
      </c>
      <c r="F8">
        <v>0.55531138531890867</v>
      </c>
      <c r="G8">
        <v>5</v>
      </c>
      <c r="H8">
        <v>0.42557964286029865</v>
      </c>
      <c r="R8">
        <f t="shared" si="7"/>
        <v>0.69734338766153137</v>
      </c>
      <c r="S8">
        <f t="shared" si="0"/>
        <v>0.53304598058555541</v>
      </c>
      <c r="T8">
        <f t="shared" si="1"/>
        <v>0.49864353571745423</v>
      </c>
      <c r="U8">
        <f t="shared" si="2"/>
        <v>0.55156060079075375</v>
      </c>
      <c r="W8">
        <f t="shared" si="3"/>
        <v>0.69730976848206805</v>
      </c>
      <c r="X8">
        <f t="shared" si="4"/>
        <v>0.53243738235526861</v>
      </c>
      <c r="Y8">
        <f t="shared" si="4"/>
        <v>0.53243738235526861</v>
      </c>
      <c r="Z8">
        <f t="shared" si="4"/>
        <v>0.53243738235526861</v>
      </c>
      <c r="AB8">
        <f t="shared" si="5"/>
        <v>6.7128573354307631E-3</v>
      </c>
      <c r="AC8">
        <f t="shared" si="6"/>
        <v>8.5309033906849033E-2</v>
      </c>
    </row>
    <row r="9" spans="1:29">
      <c r="A9">
        <v>6</v>
      </c>
      <c r="B9">
        <v>0.7573010895075255</v>
      </c>
      <c r="C9">
        <v>6</v>
      </c>
      <c r="D9">
        <v>0.60194953462483713</v>
      </c>
      <c r="E9">
        <v>6</v>
      </c>
      <c r="F9">
        <v>0.49938671406882423</v>
      </c>
      <c r="G9">
        <v>6</v>
      </c>
      <c r="H9">
        <v>0.31685483154225391</v>
      </c>
      <c r="R9">
        <f t="shared" si="7"/>
        <v>0.65190922025602371</v>
      </c>
      <c r="S9">
        <f t="shared" si="0"/>
        <v>0.47305323562752011</v>
      </c>
      <c r="T9">
        <f t="shared" si="1"/>
        <v>0.43730073645036804</v>
      </c>
      <c r="U9">
        <f t="shared" si="2"/>
        <v>0.49259144570122043</v>
      </c>
      <c r="W9">
        <f t="shared" si="3"/>
        <v>0.65182646032779734</v>
      </c>
      <c r="X9">
        <f t="shared" si="4"/>
        <v>0.47156692292186242</v>
      </c>
      <c r="Y9">
        <f t="shared" si="4"/>
        <v>0.47156692292186242</v>
      </c>
      <c r="Z9">
        <f t="shared" si="4"/>
        <v>0.47156692292186242</v>
      </c>
      <c r="AB9">
        <f t="shared" si="5"/>
        <v>1.1124897400601163E-2</v>
      </c>
      <c r="AC9">
        <f t="shared" si="6"/>
        <v>7.2973671875548304E-2</v>
      </c>
    </row>
    <row r="10" spans="1:29">
      <c r="A10">
        <v>8</v>
      </c>
      <c r="B10">
        <v>0.74887565034061343</v>
      </c>
      <c r="C10">
        <v>8</v>
      </c>
      <c r="D10">
        <v>0.17383457194399796</v>
      </c>
      <c r="E10">
        <v>8</v>
      </c>
      <c r="F10">
        <v>0.45973661826485396</v>
      </c>
      <c r="G10">
        <v>7</v>
      </c>
      <c r="H10">
        <v>0.1540948684218085</v>
      </c>
      <c r="R10">
        <f t="shared" si="7"/>
        <v>0.56990794043284221</v>
      </c>
      <c r="S10">
        <f t="shared" si="0"/>
        <v>0.37594521177845042</v>
      </c>
      <c r="T10">
        <f t="shared" si="1"/>
        <v>0.34204916360592508</v>
      </c>
      <c r="U10">
        <f t="shared" si="2"/>
        <v>0.39541917147820915</v>
      </c>
      <c r="W10">
        <f t="shared" si="3"/>
        <v>0.56956652997579094</v>
      </c>
      <c r="X10">
        <f t="shared" si="4"/>
        <v>0.36990731968793567</v>
      </c>
      <c r="Y10">
        <f t="shared" si="4"/>
        <v>0.36990731968793567</v>
      </c>
      <c r="Z10">
        <f t="shared" si="4"/>
        <v>0.36990731968793567</v>
      </c>
      <c r="AB10">
        <f t="shared" si="5"/>
        <v>3.2151760646006403E-2</v>
      </c>
      <c r="AC10">
        <f t="shared" si="6"/>
        <v>6.8492624375895581E-2</v>
      </c>
    </row>
    <row r="11" spans="1:29">
      <c r="A11">
        <v>10</v>
      </c>
      <c r="B11">
        <v>0.72542054364670383</v>
      </c>
      <c r="C11">
        <v>10</v>
      </c>
      <c r="D11">
        <v>0.13761229117340132</v>
      </c>
      <c r="E11">
        <v>10</v>
      </c>
      <c r="F11">
        <v>0.43620617795612521</v>
      </c>
      <c r="G11">
        <v>8</v>
      </c>
      <c r="H11">
        <v>0.13679520979314949</v>
      </c>
      <c r="R11">
        <f t="shared" si="7"/>
        <v>0.49870804347705905</v>
      </c>
      <c r="S11">
        <f t="shared" si="0"/>
        <v>0.30794400790022136</v>
      </c>
      <c r="T11">
        <f t="shared" si="1"/>
        <v>0.2830280649665996</v>
      </c>
      <c r="U11">
        <f t="shared" si="2"/>
        <v>0.32427437119972113</v>
      </c>
      <c r="W11">
        <f t="shared" si="3"/>
        <v>0.49768773103430425</v>
      </c>
      <c r="X11">
        <f t="shared" si="4"/>
        <v>0.29016332254793298</v>
      </c>
      <c r="Y11">
        <f t="shared" si="4"/>
        <v>0.29016332254793298</v>
      </c>
      <c r="Z11">
        <f t="shared" si="4"/>
        <v>0.29016332254793298</v>
      </c>
      <c r="AB11">
        <f t="shared" si="5"/>
        <v>5.1862233940354302E-2</v>
      </c>
      <c r="AC11">
        <f t="shared" si="6"/>
        <v>5.676584962429327E-2</v>
      </c>
    </row>
    <row r="12" spans="1:29">
      <c r="A12">
        <v>12</v>
      </c>
      <c r="B12">
        <v>0.65840012454856434</v>
      </c>
      <c r="C12">
        <v>12</v>
      </c>
      <c r="D12">
        <v>0.13138949241803621</v>
      </c>
      <c r="E12">
        <v>12</v>
      </c>
      <c r="F12">
        <v>0.43198668331810791</v>
      </c>
      <c r="G12">
        <v>9</v>
      </c>
      <c r="H12">
        <v>0.13002007760794732</v>
      </c>
      <c r="R12">
        <f t="shared" si="7"/>
        <v>0.43736703092330453</v>
      </c>
      <c r="S12">
        <f t="shared" si="0"/>
        <v>0.27034524403160232</v>
      </c>
      <c r="T12">
        <f t="shared" si="1"/>
        <v>0.26435318556455156</v>
      </c>
      <c r="U12">
        <f t="shared" si="2"/>
        <v>0.27951635606949476</v>
      </c>
      <c r="W12">
        <f t="shared" si="3"/>
        <v>0.43487997378041515</v>
      </c>
      <c r="X12">
        <f t="shared" si="4"/>
        <v>0.22761040204093524</v>
      </c>
      <c r="Y12">
        <f t="shared" si="4"/>
        <v>0.22761040204093524</v>
      </c>
      <c r="Z12">
        <f t="shared" si="4"/>
        <v>0.22761040204093524</v>
      </c>
      <c r="AB12">
        <f t="shared" si="5"/>
        <v>4.9961257799416139E-2</v>
      </c>
      <c r="AC12">
        <f t="shared" si="6"/>
        <v>2.9321572483560474E-2</v>
      </c>
    </row>
    <row r="13" spans="1:29">
      <c r="A13">
        <v>14</v>
      </c>
      <c r="B13">
        <v>0.657386688720347</v>
      </c>
      <c r="E13">
        <v>14</v>
      </c>
      <c r="F13">
        <v>0.38538208797016077</v>
      </c>
      <c r="G13">
        <v>10</v>
      </c>
      <c r="H13">
        <v>0.12766076616203526</v>
      </c>
      <c r="R13">
        <f t="shared" si="7"/>
        <v>0.38526598153396541</v>
      </c>
      <c r="S13">
        <f t="shared" si="0"/>
        <v>0.26784040510389118</v>
      </c>
      <c r="T13">
        <f t="shared" si="1"/>
        <v>0.2953215471057542</v>
      </c>
      <c r="U13">
        <f t="shared" si="2"/>
        <v>0.26419243729126984</v>
      </c>
      <c r="W13">
        <f t="shared" si="3"/>
        <v>0.37999850067073293</v>
      </c>
      <c r="X13">
        <f t="shared" si="4"/>
        <v>0.17854253481219393</v>
      </c>
      <c r="Y13">
        <f t="shared" si="4"/>
        <v>0.17854253481219393</v>
      </c>
      <c r="Z13">
        <f t="shared" si="4"/>
        <v>0.17854253481219393</v>
      </c>
      <c r="AB13">
        <f t="shared" si="5"/>
        <v>7.6944206869448056E-2</v>
      </c>
      <c r="AC13">
        <f t="shared" si="6"/>
        <v>2.8975527296116025E-2</v>
      </c>
    </row>
    <row r="14" spans="1:29">
      <c r="A14">
        <v>16</v>
      </c>
      <c r="B14">
        <v>0.53930532137147458</v>
      </c>
      <c r="E14">
        <v>16</v>
      </c>
      <c r="F14">
        <v>0.36056106220175366</v>
      </c>
      <c r="R14">
        <f t="shared" si="7"/>
        <v>0.34210955129918519</v>
      </c>
      <c r="S14">
        <f t="shared" si="0"/>
        <v>0.30851684094091358</v>
      </c>
      <c r="T14">
        <f t="shared" si="1"/>
        <v>0.39041144796999494</v>
      </c>
      <c r="U14">
        <f t="shared" si="2"/>
        <v>0.28403792606878575</v>
      </c>
      <c r="W14">
        <f t="shared" si="3"/>
        <v>0.33204302156465043</v>
      </c>
      <c r="X14">
        <f t="shared" si="4"/>
        <v>0.14005263578169153</v>
      </c>
      <c r="Y14">
        <f t="shared" si="4"/>
        <v>0.14005263578169153</v>
      </c>
      <c r="Z14">
        <f t="shared" si="4"/>
        <v>0.14005263578169153</v>
      </c>
      <c r="AB14">
        <f t="shared" si="5"/>
        <v>4.2957660921213857E-2</v>
      </c>
      <c r="AC14">
        <f t="shared" si="6"/>
        <v>2.7186449643519109E-3</v>
      </c>
    </row>
    <row r="15" spans="1:29">
      <c r="A15">
        <v>18</v>
      </c>
      <c r="B15">
        <v>0.50581451079406126</v>
      </c>
      <c r="E15">
        <v>18</v>
      </c>
      <c r="F15">
        <v>0.31944179712752446</v>
      </c>
      <c r="R15">
        <f t="shared" si="7"/>
        <v>0.30792597343686356</v>
      </c>
      <c r="S15">
        <f t="shared" si="0"/>
        <v>0.40385776625902325</v>
      </c>
      <c r="T15">
        <f t="shared" si="1"/>
        <v>0.56928246321087306</v>
      </c>
      <c r="U15">
        <f t="shared" si="2"/>
        <v>0.34747613360578122</v>
      </c>
      <c r="W15">
        <f t="shared" si="3"/>
        <v>0.29013948206421025</v>
      </c>
      <c r="X15">
        <f t="shared" si="4"/>
        <v>0.10986032437610217</v>
      </c>
      <c r="Y15">
        <f t="shared" si="4"/>
        <v>0.10986032437610217</v>
      </c>
      <c r="Z15">
        <f t="shared" si="4"/>
        <v>0.10986032437610217</v>
      </c>
      <c r="AB15">
        <f t="shared" si="5"/>
        <v>4.6515718017622054E-2</v>
      </c>
      <c r="AC15">
        <f t="shared" si="6"/>
        <v>3.4781564558516108E-4</v>
      </c>
    </row>
    <row r="16" spans="1:29">
      <c r="A16">
        <v>20</v>
      </c>
      <c r="B16">
        <v>0.40515242573112892</v>
      </c>
      <c r="E16">
        <v>20</v>
      </c>
      <c r="F16">
        <v>0.23230066061049878</v>
      </c>
      <c r="R16">
        <f t="shared" si="7"/>
        <v>0.28306705839265711</v>
      </c>
      <c r="S16">
        <f t="shared" si="0"/>
        <v>0.56874226066710354</v>
      </c>
      <c r="T16">
        <f t="shared" si="1"/>
        <v>0.85677544455580334</v>
      </c>
      <c r="U16">
        <f t="shared" si="2"/>
        <v>0.4656183711059958</v>
      </c>
      <c r="W16">
        <f t="shared" si="3"/>
        <v>0.25352413267356599</v>
      </c>
      <c r="X16">
        <f t="shared" si="4"/>
        <v>8.6176820626464479E-2</v>
      </c>
      <c r="Y16">
        <f t="shared" si="4"/>
        <v>8.6176820626464479E-2</v>
      </c>
      <c r="Z16">
        <f t="shared" si="4"/>
        <v>8.6176820626464479E-2</v>
      </c>
      <c r="AB16">
        <f t="shared" si="5"/>
        <v>2.2991139255550186E-2</v>
      </c>
      <c r="AC16">
        <f t="shared" si="6"/>
        <v>6.7260122383670838E-3</v>
      </c>
    </row>
    <row r="17" spans="1:29">
      <c r="A17">
        <v>22</v>
      </c>
      <c r="B17">
        <v>0.40482099376610842</v>
      </c>
      <c r="E17">
        <v>22</v>
      </c>
      <c r="F17">
        <v>0.15110482263125347</v>
      </c>
      <c r="R17">
        <f t="shared" si="7"/>
        <v>0.26820819383997851</v>
      </c>
      <c r="S17">
        <f t="shared" si="0"/>
        <v>0.82144526866656231</v>
      </c>
      <c r="T17">
        <f t="shared" si="1"/>
        <v>1.2829125204060123</v>
      </c>
      <c r="U17">
        <f t="shared" si="2"/>
        <v>0.65226394977316793</v>
      </c>
      <c r="W17">
        <f t="shared" si="3"/>
        <v>0.22152960841661468</v>
      </c>
      <c r="X17">
        <f t="shared" si="4"/>
        <v>6.75989667376342E-2</v>
      </c>
      <c r="Y17">
        <f t="shared" si="4"/>
        <v>6.75989667376342E-2</v>
      </c>
      <c r="Z17">
        <f t="shared" si="4"/>
        <v>6.75989667376342E-2</v>
      </c>
      <c r="AB17">
        <f t="shared" si="5"/>
        <v>3.3595731943336607E-2</v>
      </c>
      <c r="AC17">
        <f t="shared" si="6"/>
        <v>6.7804850603416346E-3</v>
      </c>
    </row>
    <row r="18" spans="1:29" ht="15.6">
      <c r="A18">
        <v>24</v>
      </c>
      <c r="B18">
        <v>0.25103593126455687</v>
      </c>
      <c r="E18">
        <v>24</v>
      </c>
      <c r="F18">
        <v>0.15070119437459695</v>
      </c>
      <c r="J18" t="s">
        <v>160</v>
      </c>
      <c r="K18">
        <v>6.9999999999999999E-6</v>
      </c>
      <c r="M18">
        <f>4*($K$25^3)*(K27^4)/(24*($K$24^8))</f>
        <v>8.4264903061582659E-7</v>
      </c>
      <c r="N18">
        <f>4*($K$25^3)*(K28^4)/(24*($K$24^8))</f>
        <v>8.8433981576253812E-6</v>
      </c>
      <c r="O18">
        <f>4*($K$25^3)*(K29^4)/(24*($K$24^8))</f>
        <v>1.3492908004722313E-5</v>
      </c>
      <c r="P18">
        <f>4*($K$25^3)*(K30^4)/(24*($K$24^8))</f>
        <v>6.999999999999994E-6</v>
      </c>
      <c r="R18">
        <f t="shared" si="7"/>
        <v>0.2643483446799969</v>
      </c>
      <c r="S18">
        <f t="shared" si="0"/>
        <v>1.1836375996513409</v>
      </c>
      <c r="T18">
        <f t="shared" si="1"/>
        <v>1.8828970958365392</v>
      </c>
      <c r="U18">
        <f t="shared" si="2"/>
        <v>0.9239001808110372</v>
      </c>
      <c r="W18">
        <f t="shared" si="3"/>
        <v>0.19357276519473343</v>
      </c>
      <c r="X18">
        <f t="shared" si="4"/>
        <v>5.3026095309351248E-2</v>
      </c>
      <c r="Y18">
        <f t="shared" si="4"/>
        <v>5.3026095309351248E-2</v>
      </c>
      <c r="Z18">
        <f t="shared" si="4"/>
        <v>5.3026095309351248E-2</v>
      </c>
      <c r="AB18">
        <f t="shared" si="5"/>
        <v>3.3020154547681074E-3</v>
      </c>
      <c r="AC18">
        <f t="shared" si="6"/>
        <v>5.5756792855170711E-2</v>
      </c>
    </row>
    <row r="19" spans="1:29" ht="15.6">
      <c r="A19">
        <v>26</v>
      </c>
      <c r="B19">
        <v>0.16550448692936906</v>
      </c>
      <c r="E19">
        <v>26</v>
      </c>
      <c r="F19">
        <v>0.13179349913915536</v>
      </c>
      <c r="J19" t="s">
        <v>159</v>
      </c>
      <c r="K19">
        <v>-4.0000000000000002E-4</v>
      </c>
      <c r="M19">
        <f>-4*($K$25^2)*(K27^3)/(6*($K$24^6))</f>
        <v>-4.9970749797369515E-5</v>
      </c>
      <c r="N19">
        <f>-4*($K$25^2)*(K28^3)/(6*($K$24^6))</f>
        <v>-2.9137024953348214E-4</v>
      </c>
      <c r="O19">
        <f>-4*($K$25^2)*(K29^3)/(6*($K$24^6))</f>
        <v>-4.0000000000000116E-4</v>
      </c>
      <c r="P19">
        <f>-4*($K$25^2)*(K30^3)/(6*($K$24^6))</f>
        <v>-2.4451434992210001E-4</v>
      </c>
      <c r="R19">
        <f t="shared" si="7"/>
        <v>0.27281005304163819</v>
      </c>
      <c r="S19">
        <f t="shared" si="0"/>
        <v>1.6803859279079034</v>
      </c>
      <c r="T19">
        <f t="shared" si="1"/>
        <v>2.6971138525962388</v>
      </c>
      <c r="U19">
        <f t="shared" si="2"/>
        <v>1.2997023754233432</v>
      </c>
      <c r="W19">
        <f t="shared" si="3"/>
        <v>0.16914405118555309</v>
      </c>
      <c r="X19">
        <f t="shared" si="4"/>
        <v>4.1594818966234529E-2</v>
      </c>
      <c r="Y19">
        <f t="shared" si="4"/>
        <v>4.1594818966234529E-2</v>
      </c>
      <c r="Z19">
        <f t="shared" si="4"/>
        <v>4.1594818966234529E-2</v>
      </c>
      <c r="AB19">
        <f t="shared" si="5"/>
        <v>1.3246427974892413E-5</v>
      </c>
      <c r="AC19">
        <f t="shared" si="6"/>
        <v>0.10346528917262</v>
      </c>
    </row>
    <row r="20" spans="1:29" ht="15.6">
      <c r="A20">
        <v>28</v>
      </c>
      <c r="B20">
        <v>0.13792761311581958</v>
      </c>
      <c r="E20">
        <v>28</v>
      </c>
      <c r="F20">
        <v>0.12964168263055892</v>
      </c>
      <c r="J20" t="s">
        <v>158</v>
      </c>
      <c r="K20">
        <v>7.1999999999999998E-3</v>
      </c>
      <c r="M20">
        <f>4*$K$25*(K27^2)/(2*($K$24^4))</f>
        <v>2.2225230296827022E-3</v>
      </c>
      <c r="N20">
        <f>4*$K$25*(K28^2)/(2*($K$24^4))</f>
        <v>7.2000000000000007E-3</v>
      </c>
      <c r="O20">
        <f>4*$K$25*(K29^2)/(2*($K$24^4))</f>
        <v>8.8935609698074375E-3</v>
      </c>
      <c r="P20">
        <f>4*$K$25*(K30^2)/(2*($K$24^4))</f>
        <v>6.4057786411957736E-3</v>
      </c>
      <c r="R20">
        <f t="shared" si="7"/>
        <v>0.29523943828158439</v>
      </c>
      <c r="S20">
        <f t="shared" si="0"/>
        <v>2.3401527926152461</v>
      </c>
      <c r="T20">
        <f t="shared" si="1"/>
        <v>3.7711287491077767</v>
      </c>
      <c r="U20">
        <f t="shared" si="2"/>
        <v>1.8015338448138249</v>
      </c>
      <c r="W20">
        <f t="shared" si="3"/>
        <v>0.14779821956192934</v>
      </c>
      <c r="X20">
        <f t="shared" si="4"/>
        <v>3.262787792954297E-2</v>
      </c>
      <c r="Y20">
        <f t="shared" si="4"/>
        <v>3.262787792954297E-2</v>
      </c>
      <c r="Z20">
        <f t="shared" si="4"/>
        <v>3.262787792954297E-2</v>
      </c>
      <c r="AB20">
        <f t="shared" si="5"/>
        <v>9.7428871613983628E-5</v>
      </c>
      <c r="AC20">
        <f t="shared" si="6"/>
        <v>0.12196653905525762</v>
      </c>
    </row>
    <row r="21" spans="1:29" ht="15.6">
      <c r="A21">
        <v>30</v>
      </c>
      <c r="B21">
        <v>0.13092609034474734</v>
      </c>
      <c r="J21" t="s">
        <v>157</v>
      </c>
      <c r="K21">
        <v>-6.59E-2</v>
      </c>
      <c r="M21">
        <f>-4*K27/$K$24^2</f>
        <v>-6.59E-2</v>
      </c>
      <c r="N21">
        <f>-4*K28/$K$24^2</f>
        <v>-0.11861197241425506</v>
      </c>
      <c r="O21">
        <f>-4*K29/$K$24^2</f>
        <v>-0.13182571120613662</v>
      </c>
      <c r="P21">
        <f>-4*K30/$K$24^2</f>
        <v>-0.11187891429977564</v>
      </c>
      <c r="R21">
        <f t="shared" si="7"/>
        <v>0.33360619698427429</v>
      </c>
      <c r="S21">
        <f t="shared" si="0"/>
        <v>3.1947965978448893</v>
      </c>
      <c r="T21">
        <f t="shared" si="1"/>
        <v>5.1556890204676389</v>
      </c>
      <c r="U21">
        <f t="shared" si="2"/>
        <v>2.4539459001862216</v>
      </c>
      <c r="W21">
        <f t="shared" si="3"/>
        <v>0.12914621325767348</v>
      </c>
      <c r="X21">
        <f t="shared" si="4"/>
        <v>2.5594014943287797E-2</v>
      </c>
      <c r="Y21">
        <f t="shared" si="4"/>
        <v>2.5594014943287797E-2</v>
      </c>
      <c r="Z21">
        <f t="shared" si="4"/>
        <v>2.5594014943287797E-2</v>
      </c>
      <c r="AB21">
        <f t="shared" si="5"/>
        <v>3.167962445090533E-6</v>
      </c>
      <c r="AC21">
        <f t="shared" si="6"/>
        <v>0.1269059431328321</v>
      </c>
    </row>
    <row r="22" spans="1:29" ht="15.6">
      <c r="A22">
        <v>32</v>
      </c>
      <c r="B22">
        <v>0.12918285933370885</v>
      </c>
      <c r="J22" t="s">
        <v>156</v>
      </c>
      <c r="K22">
        <v>0.97699999999999998</v>
      </c>
      <c r="M22">
        <f>4/K25</f>
        <v>0.97700000000000009</v>
      </c>
      <c r="N22">
        <f>4/K25</f>
        <v>0.97700000000000009</v>
      </c>
      <c r="O22">
        <f>4/K25</f>
        <v>0.97700000000000009</v>
      </c>
      <c r="P22">
        <f>4/K25</f>
        <v>0.97700000000000009</v>
      </c>
      <c r="W22">
        <f>AVERAGE(W3:W21)</f>
        <v>0.4871646945594395</v>
      </c>
    </row>
    <row r="23" spans="1:29">
      <c r="C23" t="s">
        <v>172</v>
      </c>
      <c r="D23" t="s">
        <v>173</v>
      </c>
    </row>
    <row r="24" spans="1:29">
      <c r="J24" t="s">
        <v>168</v>
      </c>
      <c r="K24">
        <v>3.3600000000000001E-3</v>
      </c>
    </row>
    <row r="25" spans="1:29" ht="16.2">
      <c r="J25" t="s">
        <v>169</v>
      </c>
      <c r="K25">
        <f>4/K22</f>
        <v>4.0941658137154553</v>
      </c>
      <c r="AA25" t="s">
        <v>171</v>
      </c>
      <c r="AB25">
        <f>SUM(AB13:AB21)</f>
        <v>0.22642031572397284</v>
      </c>
      <c r="AC25">
        <f>SUM(AC13:AC21)</f>
        <v>0.45364304942064226</v>
      </c>
    </row>
    <row r="27" spans="1:29" ht="15.6">
      <c r="J27" t="s">
        <v>99</v>
      </c>
      <c r="K27">
        <f>(-K21*K24^2)/4</f>
        <v>1.8599616000000002E-7</v>
      </c>
      <c r="L27" s="10"/>
      <c r="M27">
        <f>K27/3600</f>
        <v>5.1665600000000007E-11</v>
      </c>
      <c r="AA27" t="s">
        <v>57</v>
      </c>
      <c r="AB27">
        <f>(AB25/(9))^0.5</f>
        <v>0.15861214599840456</v>
      </c>
    </row>
    <row r="28" spans="1:29" ht="15.6">
      <c r="J28" t="s">
        <v>99</v>
      </c>
      <c r="K28">
        <f>(((K22*K20*(K24^4))/8))^(1/2)</f>
        <v>3.3477043094199349E-7</v>
      </c>
      <c r="M28">
        <f t="shared" ref="M28:M30" si="8">K28/3600</f>
        <v>9.2991786372775965E-11</v>
      </c>
    </row>
    <row r="29" spans="1:29" ht="15.6">
      <c r="J29" t="s">
        <v>99</v>
      </c>
      <c r="K29">
        <f>((-3*(K22^2)*K19*(K24^6))/32)^(1/3)</f>
        <v>3.7206488730820004E-7</v>
      </c>
      <c r="M29">
        <f t="shared" si="8"/>
        <v>1.0335135758561112E-10</v>
      </c>
      <c r="AA29" t="s">
        <v>176</v>
      </c>
      <c r="AB29">
        <f>(AB25)/(9-2)</f>
        <v>3.234575938913898E-2</v>
      </c>
    </row>
    <row r="30" spans="1:29" ht="15.6">
      <c r="J30" t="s">
        <v>99</v>
      </c>
      <c r="K30">
        <f>((3*(K22^3)*K18*(K24^8))/32)^(1/4)</f>
        <v>3.1576704771968679E-7</v>
      </c>
      <c r="M30">
        <f t="shared" si="8"/>
        <v>8.7713068811024108E-11</v>
      </c>
    </row>
    <row r="31" spans="1:29">
      <c r="AA31" t="s">
        <v>59</v>
      </c>
      <c r="AB31">
        <f>1-(AB25/AC25)</f>
        <v>0.50088441559252517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9DC15-97DE-48AA-B5D3-EB05A1DA0537}">
  <dimension ref="A1:I28"/>
  <sheetViews>
    <sheetView topLeftCell="H1" zoomScale="80" zoomScaleNormal="80" workbookViewId="0">
      <selection activeCell="I15" sqref="I15"/>
    </sheetView>
  </sheetViews>
  <sheetFormatPr defaultRowHeight="14.4"/>
  <cols>
    <col min="3" max="3" width="12" bestFit="1" customWidth="1"/>
    <col min="8" max="8" width="10" bestFit="1" customWidth="1"/>
  </cols>
  <sheetData>
    <row r="1" spans="1:9">
      <c r="A1" t="s">
        <v>72</v>
      </c>
      <c r="B1" t="s">
        <v>130</v>
      </c>
      <c r="C1" t="s">
        <v>170</v>
      </c>
      <c r="H1" t="s">
        <v>172</v>
      </c>
      <c r="I1" t="s">
        <v>173</v>
      </c>
    </row>
    <row r="2" spans="1:9">
      <c r="A2">
        <v>0</v>
      </c>
      <c r="B2">
        <v>1</v>
      </c>
      <c r="C2">
        <f>(4/$B$23)*EXP(-$B$23*$B$25*A2/($B$22^2))</f>
        <v>1.0051000000000001</v>
      </c>
      <c r="D2">
        <f>(4/$B$23)*EXP(-$B$23*$B$26*$A2/($B$22^2))</f>
        <v>1.0051000000000001</v>
      </c>
      <c r="E2">
        <f>(4/$B$23)*EXP(-$B$23*$B$27*$A2/($B$22^2))</f>
        <v>1.0051000000000001</v>
      </c>
      <c r="F2">
        <f>(4/$B$23)*EXP(-$B$23*$B$28*$A2/($B$22^2))</f>
        <v>1.0051000000000001</v>
      </c>
      <c r="H2">
        <f>(B2-C2)^2</f>
        <v>2.6010000000001064E-5</v>
      </c>
      <c r="I2">
        <f>(B2-$C$13)^2</f>
        <v>0.22751491613733127</v>
      </c>
    </row>
    <row r="3" spans="1:9">
      <c r="A3">
        <v>1</v>
      </c>
      <c r="B3">
        <v>0.87300358352871843</v>
      </c>
      <c r="C3">
        <f t="shared" ref="C3:C11" si="0">(4/$B$23)*EXP(-$B$23*$B$25*A3/($B$22^2))</f>
        <v>0.83529595962752456</v>
      </c>
      <c r="D3">
        <f t="shared" ref="D3:D11" si="1">(4/$B$23)*EXP(-$B$23*$B$26*$A3/($B$22^2))</f>
        <v>0.68443501356097158</v>
      </c>
      <c r="E3">
        <f t="shared" ref="E3:E11" si="2">(4/$B$23)*EXP(-$B$23*$B$27*$A3/($B$22^2))</f>
        <v>0.64980730514920992</v>
      </c>
      <c r="F3">
        <f t="shared" ref="F3:F11" si="3">(4/$B$23)*EXP(-$B$23*$B$28*$A3/($B$22^2))</f>
        <v>0.7015409777619529</v>
      </c>
      <c r="H3">
        <f t="shared" ref="H3:H10" si="4">(B3-C3)^2</f>
        <v>1.4218649002738868E-3</v>
      </c>
      <c r="I3">
        <f t="shared" ref="I3:I10" si="5">(B3-$C$13)^2</f>
        <v>0.12249217436402444</v>
      </c>
    </row>
    <row r="4" spans="1:9">
      <c r="A4">
        <v>2</v>
      </c>
      <c r="B4">
        <v>0.8719047990821901</v>
      </c>
      <c r="C4">
        <f t="shared" si="0"/>
        <v>0.69417902713169544</v>
      </c>
      <c r="D4">
        <f t="shared" si="1"/>
        <v>0.46607430881325967</v>
      </c>
      <c r="E4">
        <f t="shared" si="2"/>
        <v>0.4201069881855321</v>
      </c>
      <c r="F4">
        <f t="shared" si="3"/>
        <v>0.48966246490816523</v>
      </c>
      <c r="H4">
        <f t="shared" si="4"/>
        <v>3.1586450015399233E-2</v>
      </c>
      <c r="I4">
        <f t="shared" si="5"/>
        <v>0.12172425714678434</v>
      </c>
    </row>
    <row r="5" spans="1:9">
      <c r="A5">
        <v>3</v>
      </c>
      <c r="B5">
        <v>0.8085873453509933</v>
      </c>
      <c r="C5">
        <f t="shared" si="0"/>
        <v>0.57690273268457948</v>
      </c>
      <c r="D5">
        <f t="shared" si="1"/>
        <v>0.31737894326238564</v>
      </c>
      <c r="E5">
        <f t="shared" si="2"/>
        <v>0.27160341246362701</v>
      </c>
      <c r="F5">
        <f t="shared" si="3"/>
        <v>0.34177523072828786</v>
      </c>
      <c r="H5">
        <f t="shared" si="4"/>
        <v>5.3677759746386201E-2</v>
      </c>
      <c r="I5">
        <f t="shared" si="5"/>
        <v>8.1551699683677537E-2</v>
      </c>
    </row>
    <row r="6" spans="1:9">
      <c r="A6">
        <v>4</v>
      </c>
      <c r="B6">
        <v>0.66656424213610876</v>
      </c>
      <c r="C6">
        <f t="shared" si="0"/>
        <v>0.47943938086708487</v>
      </c>
      <c r="D6">
        <f t="shared" si="1"/>
        <v>0.21612303386305612</v>
      </c>
      <c r="E6">
        <f t="shared" si="2"/>
        <v>0.17559435033560716</v>
      </c>
      <c r="F6">
        <f t="shared" si="3"/>
        <v>0.2385527107152921</v>
      </c>
      <c r="H6">
        <f t="shared" si="4"/>
        <v>3.5015713704951434E-2</v>
      </c>
      <c r="I6">
        <f t="shared" si="5"/>
        <v>2.060645290649368E-2</v>
      </c>
    </row>
    <row r="7" spans="1:9">
      <c r="A7">
        <v>5</v>
      </c>
      <c r="B7">
        <v>0.66526042465241864</v>
      </c>
      <c r="C7">
        <f t="shared" si="0"/>
        <v>0.39844172492746777</v>
      </c>
      <c r="D7">
        <f t="shared" si="1"/>
        <v>0.14717159647089753</v>
      </c>
      <c r="E7">
        <f t="shared" si="2"/>
        <v>0.11352352163069057</v>
      </c>
      <c r="F7">
        <f t="shared" si="3"/>
        <v>0.1665053247666603</v>
      </c>
      <c r="H7">
        <f t="shared" si="4"/>
        <v>7.1192218522913492E-2</v>
      </c>
      <c r="I7">
        <f t="shared" si="5"/>
        <v>2.0233828205668151E-2</v>
      </c>
    </row>
    <row r="8" spans="1:9">
      <c r="A8">
        <v>6</v>
      </c>
      <c r="B8">
        <v>0.60194953462483713</v>
      </c>
      <c r="C8">
        <f t="shared" si="0"/>
        <v>0.33112801012728615</v>
      </c>
      <c r="D8">
        <f t="shared" si="1"/>
        <v>0.10021828039632731</v>
      </c>
      <c r="E8">
        <f t="shared" si="2"/>
        <v>7.3394103732849547E-2</v>
      </c>
      <c r="F8">
        <f t="shared" si="3"/>
        <v>0.11621759858658283</v>
      </c>
      <c r="H8">
        <f t="shared" si="4"/>
        <v>7.3344298131177613E-2</v>
      </c>
      <c r="I8">
        <f t="shared" si="5"/>
        <v>6.2306981419067795E-3</v>
      </c>
    </row>
    <row r="9" spans="1:9">
      <c r="A9">
        <v>8</v>
      </c>
      <c r="B9">
        <v>0.17383457194399796</v>
      </c>
      <c r="C9">
        <f t="shared" si="0"/>
        <v>0.22869577149160641</v>
      </c>
      <c r="D9">
        <f t="shared" si="1"/>
        <v>4.6472157761587599E-2</v>
      </c>
      <c r="E9">
        <f t="shared" si="2"/>
        <v>3.0676923559629834E-2</v>
      </c>
      <c r="F9">
        <f t="shared" si="3"/>
        <v>5.6618640721931977E-2</v>
      </c>
      <c r="H9">
        <f t="shared" si="4"/>
        <v>3.0097512158025145E-3</v>
      </c>
      <c r="I9">
        <f t="shared" si="5"/>
        <v>0.12192680595666229</v>
      </c>
    </row>
    <row r="10" spans="1:9">
      <c r="A10">
        <v>10</v>
      </c>
      <c r="B10">
        <v>0.13761229117340132</v>
      </c>
      <c r="C10">
        <f t="shared" si="0"/>
        <v>0.15795026182785379</v>
      </c>
      <c r="D10">
        <f t="shared" si="1"/>
        <v>2.1549575970343942E-2</v>
      </c>
      <c r="E10">
        <f t="shared" si="2"/>
        <v>1.2822196759958084E-2</v>
      </c>
      <c r="F10">
        <f t="shared" si="3"/>
        <v>2.7583348100339286E-2</v>
      </c>
      <c r="H10">
        <f t="shared" si="4"/>
        <v>4.1363305034137002E-4</v>
      </c>
      <c r="I10">
        <f t="shared" si="5"/>
        <v>0.14853506543437242</v>
      </c>
    </row>
    <row r="11" spans="1:9">
      <c r="A11">
        <v>12</v>
      </c>
      <c r="B11">
        <v>0.13138949241803621</v>
      </c>
      <c r="C11">
        <f t="shared" si="0"/>
        <v>0.10908940313486826</v>
      </c>
      <c r="D11">
        <f t="shared" si="1"/>
        <v>9.9927407477831912E-3</v>
      </c>
      <c r="E11">
        <f t="shared" si="2"/>
        <v>5.3593617179865478E-3</v>
      </c>
      <c r="F11">
        <f t="shared" si="3"/>
        <v>1.3437996439391201E-2</v>
      </c>
    </row>
    <row r="13" spans="1:9">
      <c r="C13">
        <f>AVERAGE(C2:C10)</f>
        <v>0.52301476318723317</v>
      </c>
    </row>
    <row r="14" spans="1:9">
      <c r="G14" t="s">
        <v>171</v>
      </c>
      <c r="H14">
        <f>SUM(H2:H10)</f>
        <v>0.26968769928724573</v>
      </c>
      <c r="I14">
        <f>SUM(I2:I10)</f>
        <v>0.87081589797692083</v>
      </c>
    </row>
    <row r="16" spans="1:9" ht="15.6">
      <c r="A16" t="s">
        <v>160</v>
      </c>
      <c r="B16">
        <v>6.9999999999999999E-4</v>
      </c>
      <c r="G16" t="s">
        <v>57</v>
      </c>
      <c r="H16">
        <f>(H14/(9))^0.5</f>
        <v>0.17310488127376733</v>
      </c>
    </row>
    <row r="17" spans="1:8" ht="15.6">
      <c r="A17" t="s">
        <v>159</v>
      </c>
      <c r="B17">
        <v>-1.3899999999999999E-2</v>
      </c>
    </row>
    <row r="18" spans="1:8" ht="15.6">
      <c r="A18" t="s">
        <v>158</v>
      </c>
      <c r="B18">
        <v>7.4200000000000002E-2</v>
      </c>
      <c r="G18" t="s">
        <v>176</v>
      </c>
      <c r="H18">
        <f>(H14)/(9-2)</f>
        <v>3.8526814183892248E-2</v>
      </c>
    </row>
    <row r="19" spans="1:8" ht="15.6">
      <c r="A19" t="s">
        <v>157</v>
      </c>
      <c r="B19">
        <v>-0.186</v>
      </c>
    </row>
    <row r="20" spans="1:8" ht="15.6">
      <c r="A20" t="s">
        <v>156</v>
      </c>
      <c r="B20">
        <v>1.0051000000000001</v>
      </c>
      <c r="G20" t="s">
        <v>59</v>
      </c>
      <c r="H20">
        <f>1-(H14/I14)</f>
        <v>0.69030457538294365</v>
      </c>
    </row>
    <row r="22" spans="1:8">
      <c r="A22" t="s">
        <v>168</v>
      </c>
      <c r="B22">
        <v>3.3600000000000001E-3</v>
      </c>
    </row>
    <row r="23" spans="1:8" ht="16.2">
      <c r="A23" t="s">
        <v>169</v>
      </c>
      <c r="B23">
        <f>4/B20</f>
        <v>3.9797035120883488</v>
      </c>
    </row>
    <row r="25" spans="1:8" ht="15.6">
      <c r="A25" t="s">
        <v>99</v>
      </c>
      <c r="B25">
        <f>(-B19*B22^2)/4</f>
        <v>5.2496640000000004E-7</v>
      </c>
      <c r="C25">
        <f>B25/3600</f>
        <v>1.45824E-10</v>
      </c>
    </row>
    <row r="26" spans="1:8" ht="15.6">
      <c r="A26" t="s">
        <v>99</v>
      </c>
      <c r="B26">
        <f>(((B20*B18*(B22^4))/8))^(1/2)</f>
        <v>1.0900342657667413E-6</v>
      </c>
      <c r="C26">
        <f t="shared" ref="C26:C28" si="6">B26/3600</f>
        <v>3.0278729604631703E-10</v>
      </c>
    </row>
    <row r="27" spans="1:8" ht="15.6">
      <c r="A27" t="s">
        <v>99</v>
      </c>
      <c r="B27">
        <f>((-3*(B20^2)*B17*(B22^6))/32)^(1/3)</f>
        <v>1.2373144807251923E-6</v>
      </c>
      <c r="C27">
        <f t="shared" si="6"/>
        <v>3.4369846686810899E-10</v>
      </c>
    </row>
    <row r="28" spans="1:8" ht="15.6">
      <c r="A28" t="s">
        <v>99</v>
      </c>
      <c r="B28">
        <f>((3*(B20^3)*B16*(B22^8))/32)^(1/4)</f>
        <v>1.0200062635101211E-6</v>
      </c>
      <c r="C28">
        <f t="shared" si="6"/>
        <v>2.8333507319725587E-10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6B287-3FFE-4844-AF42-5806484E0135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9E1D-7832-47B3-82B6-7C29B8D5E58C}">
  <dimension ref="A1:L36"/>
  <sheetViews>
    <sheetView topLeftCell="E1" zoomScale="80" zoomScaleNormal="80" zoomScaleSheetLayoutView="50" workbookViewId="0">
      <selection activeCell="J28" sqref="J28"/>
    </sheetView>
  </sheetViews>
  <sheetFormatPr defaultRowHeight="14.4"/>
  <cols>
    <col min="1" max="1" width="9" bestFit="1" customWidth="1"/>
    <col min="2" max="2" width="14" bestFit="1" customWidth="1"/>
    <col min="3" max="3" width="9" bestFit="1" customWidth="1"/>
    <col min="4" max="4" width="14" bestFit="1" customWidth="1"/>
    <col min="5" max="7" width="9" bestFit="1" customWidth="1"/>
    <col min="9" max="9" width="14" bestFit="1" customWidth="1"/>
    <col min="10" max="10" width="9" bestFit="1" customWidth="1"/>
  </cols>
  <sheetData>
    <row r="1" spans="1:12">
      <c r="A1" t="s">
        <v>72</v>
      </c>
      <c r="B1" t="s">
        <v>130</v>
      </c>
      <c r="F1" t="s">
        <v>175</v>
      </c>
      <c r="I1" t="s">
        <v>172</v>
      </c>
      <c r="J1" t="s">
        <v>173</v>
      </c>
      <c r="L1" t="s">
        <v>177</v>
      </c>
    </row>
    <row r="2" spans="1:12">
      <c r="A2">
        <v>0</v>
      </c>
      <c r="B2">
        <v>1</v>
      </c>
      <c r="C2">
        <f>(4/$B$29)*EXP(-$B$29*$B$31*$A2/($B$28^2))</f>
        <v>0.97309999999999997</v>
      </c>
      <c r="D2">
        <f>(4/$B$29)*EXP(-$B$29*$B$32*$A2/($B$28^2))</f>
        <v>0.97309999999999997</v>
      </c>
      <c r="E2">
        <f>(4/$B$29)*EXP(-$B$29*$B$33*$A2/($B$28^2))</f>
        <v>0.97309999999999997</v>
      </c>
      <c r="F2" s="16">
        <f>(4/$B$29)*EXP(-$B$29*$B$36*$A2/($B$28^2))</f>
        <v>0.97309999999999997</v>
      </c>
      <c r="G2" s="16">
        <f>(4/$B$29)*EXP(-$B$29*$B$35*$A2/($B$28^2))</f>
        <v>0.97309999999999997</v>
      </c>
      <c r="I2" s="17">
        <f>(C2-L2)^2</f>
        <v>0</v>
      </c>
      <c r="J2">
        <f>(C2-$L$20)^2</f>
        <v>0.53012704023840862</v>
      </c>
      <c r="L2">
        <f>$B$22*($A2)^(4)+$B$23*($A2)^(3)+$B$24*($A2)^(2)+$B$25*($A2)+$B$26</f>
        <v>0.97309999999999997</v>
      </c>
    </row>
    <row r="3" spans="1:12">
      <c r="A3">
        <v>1</v>
      </c>
      <c r="B3">
        <v>0.78247024774843776</v>
      </c>
      <c r="C3">
        <f t="shared" ref="C3:C19" si="0">(4/$B$29)*EXP(-$B$29*$B$31*$A3/($B$28^2))</f>
        <v>0.83323245947858371</v>
      </c>
      <c r="D3">
        <f t="shared" ref="D3:D19" si="1">(4/$B$29)*EXP(-$B$29*$B$32*$A3/($B$28^2))</f>
        <v>0.80853290385949717</v>
      </c>
      <c r="E3">
        <f t="shared" ref="E3:E19" si="2">(4/$B$29)*EXP(-$B$29*$B$33*$A3/($B$28^2))</f>
        <v>0.82078406245462898</v>
      </c>
      <c r="F3" s="16">
        <f t="shared" ref="F3:F19" si="3">(4/$B$29)*EXP(-$B$29*$B$36*$A3/($B$28^2))</f>
        <v>0.85854191649353251</v>
      </c>
      <c r="G3" s="16">
        <f t="shared" ref="G3:G19" si="4">(4/$B$29)*EXP(-$B$29*$B$35*$A3/($B$28^2))</f>
        <v>0.8787830746219224</v>
      </c>
      <c r="I3" s="17">
        <f t="shared" ref="I3:I18" si="5">(C3-L3)^2</f>
        <v>2.2824893433773897E-5</v>
      </c>
      <c r="J3">
        <f t="shared" ref="J3:J18" si="6">(C3-$L$20)^2</f>
        <v>0.34601535027277525</v>
      </c>
      <c r="L3">
        <f t="shared" ref="L3:L18" si="7">$B$22*($A3)^(4)+$B$23*($A3)^(3)+$B$24*($A3)^(2)+$B$25*($A3)+$B$26</f>
        <v>0.83800999999999992</v>
      </c>
    </row>
    <row r="4" spans="1:12">
      <c r="A4">
        <v>2</v>
      </c>
      <c r="B4">
        <v>0.73611508402642223</v>
      </c>
      <c r="C4">
        <f t="shared" si="0"/>
        <v>0.7134686378879147</v>
      </c>
      <c r="D4">
        <f t="shared" si="1"/>
        <v>0.67179679028205841</v>
      </c>
      <c r="E4">
        <f t="shared" si="2"/>
        <v>0.69230960556933974</v>
      </c>
      <c r="F4" s="16">
        <f t="shared" si="3"/>
        <v>0.75747016994798855</v>
      </c>
      <c r="G4" s="16">
        <f t="shared" si="4"/>
        <v>0.79360774046034244</v>
      </c>
      <c r="I4" s="17">
        <f t="shared" si="5"/>
        <v>3.3092565549301163E-4</v>
      </c>
      <c r="J4">
        <f t="shared" si="6"/>
        <v>0.21946121126895057</v>
      </c>
      <c r="L4">
        <f t="shared" si="7"/>
        <v>0.73165999999999998</v>
      </c>
    </row>
    <row r="5" spans="1:12">
      <c r="A5">
        <v>3</v>
      </c>
      <c r="B5">
        <v>0.67457705383364175</v>
      </c>
      <c r="C5">
        <f t="shared" si="0"/>
        <v>0.61091894759858401</v>
      </c>
      <c r="D5">
        <f t="shared" si="1"/>
        <v>0.55818498576738496</v>
      </c>
      <c r="E5">
        <f t="shared" si="2"/>
        <v>0.58394480581190467</v>
      </c>
      <c r="F5" s="16">
        <f t="shared" si="3"/>
        <v>0.66829708292449674</v>
      </c>
      <c r="G5" s="16">
        <f t="shared" si="4"/>
        <v>0.71668795622803039</v>
      </c>
      <c r="I5" s="17">
        <f t="shared" si="5"/>
        <v>1.49699753592912E-3</v>
      </c>
      <c r="J5">
        <f t="shared" si="6"/>
        <v>0.13389538473613102</v>
      </c>
      <c r="L5">
        <f>$B$22*($A5)^(4)+$B$23*($A5)^(3)+$B$24*($A5)^(2)+$B$25*($A5)+$B$26</f>
        <v>0.64961000000000002</v>
      </c>
    </row>
    <row r="6" spans="1:12">
      <c r="A6">
        <v>4</v>
      </c>
      <c r="B6">
        <v>0.58964137477944789</v>
      </c>
      <c r="C6">
        <f t="shared" si="0"/>
        <v>0.52310913292532757</v>
      </c>
      <c r="D6">
        <f t="shared" si="1"/>
        <v>0.46378679214189289</v>
      </c>
      <c r="E6">
        <f t="shared" si="2"/>
        <v>0.49254196892773056</v>
      </c>
      <c r="F6" s="16">
        <f t="shared" si="3"/>
        <v>0.58962188712468888</v>
      </c>
      <c r="G6" s="16">
        <f t="shared" si="4"/>
        <v>0.64722355946826671</v>
      </c>
      <c r="I6" s="17">
        <f t="shared" si="5"/>
        <v>4.166814440092024E-3</v>
      </c>
      <c r="J6">
        <f t="shared" si="6"/>
        <v>7.7343708257946203E-2</v>
      </c>
      <c r="L6">
        <f t="shared" si="7"/>
        <v>0.58765999999999996</v>
      </c>
    </row>
    <row r="7" spans="1:12">
      <c r="A7">
        <v>5</v>
      </c>
      <c r="B7">
        <v>0.55531138531890867</v>
      </c>
      <c r="C7">
        <f t="shared" si="0"/>
        <v>0.44792057281171527</v>
      </c>
      <c r="D7">
        <f t="shared" si="1"/>
        <v>0.38535287413643582</v>
      </c>
      <c r="E7">
        <f t="shared" si="2"/>
        <v>0.41544609822824413</v>
      </c>
      <c r="F7" s="16">
        <f t="shared" si="3"/>
        <v>0.52020871953402903</v>
      </c>
      <c r="G7" s="16">
        <f t="shared" si="4"/>
        <v>0.58449194281910188</v>
      </c>
      <c r="I7" s="17">
        <f t="shared" si="5"/>
        <v>8.8227372919192724E-3</v>
      </c>
      <c r="J7">
        <f t="shared" si="6"/>
        <v>4.1176042683091926E-2</v>
      </c>
      <c r="L7">
        <f t="shared" si="7"/>
        <v>0.54184999999999994</v>
      </c>
    </row>
    <row r="8" spans="1:12">
      <c r="A8">
        <v>6</v>
      </c>
      <c r="B8">
        <v>0.49938671406882423</v>
      </c>
      <c r="C8">
        <f t="shared" si="0"/>
        <v>0.38353916404784866</v>
      </c>
      <c r="D8">
        <f t="shared" si="1"/>
        <v>0.32018341212222362</v>
      </c>
      <c r="E8">
        <f t="shared" si="2"/>
        <v>0.350417774365125</v>
      </c>
      <c r="F8" s="16">
        <f t="shared" si="3"/>
        <v>0.45896720896659304</v>
      </c>
      <c r="G8" s="16">
        <f t="shared" si="4"/>
        <v>0.52784053704892742</v>
      </c>
      <c r="I8" s="17">
        <f t="shared" si="5"/>
        <v>1.5605215254984314E-2</v>
      </c>
      <c r="J8">
        <f t="shared" si="6"/>
        <v>1.9192611016435504E-2</v>
      </c>
      <c r="L8">
        <f t="shared" si="7"/>
        <v>0.50846000000000002</v>
      </c>
    </row>
    <row r="9" spans="1:12">
      <c r="A9">
        <v>8</v>
      </c>
      <c r="B9">
        <v>0.45973661826485396</v>
      </c>
      <c r="C9">
        <f t="shared" si="0"/>
        <v>0.28120765075520304</v>
      </c>
      <c r="D9">
        <f t="shared" si="1"/>
        <v>0.2210442796888987</v>
      </c>
      <c r="E9">
        <f t="shared" si="2"/>
        <v>0.24930386512712521</v>
      </c>
      <c r="F9" s="16">
        <f t="shared" si="3"/>
        <v>0.35726438164266705</v>
      </c>
      <c r="G9" s="16">
        <f t="shared" si="4"/>
        <v>0.43047819949724903</v>
      </c>
      <c r="I9" s="17">
        <f t="shared" si="5"/>
        <v>3.3875267262528673E-2</v>
      </c>
      <c r="J9">
        <f t="shared" si="6"/>
        <v>1.3108661846164098E-3</v>
      </c>
      <c r="L9">
        <f t="shared" si="7"/>
        <v>0.4652599999999999</v>
      </c>
    </row>
    <row r="10" spans="1:12">
      <c r="A10">
        <v>10</v>
      </c>
      <c r="B10">
        <v>0.43620617795612521</v>
      </c>
      <c r="C10">
        <f t="shared" si="0"/>
        <v>0.20617905615864257</v>
      </c>
      <c r="D10">
        <f t="shared" si="1"/>
        <v>0.15260182674464265</v>
      </c>
      <c r="E10">
        <f t="shared" si="2"/>
        <v>0.1773666226832514</v>
      </c>
      <c r="F10" s="16">
        <f t="shared" si="3"/>
        <v>0.27809794664395648</v>
      </c>
      <c r="G10" s="16">
        <f t="shared" si="4"/>
        <v>0.35107474177417353</v>
      </c>
      <c r="I10" s="17">
        <f t="shared" si="5"/>
        <v>5.1493114753852411E-2</v>
      </c>
      <c r="J10">
        <f t="shared" si="6"/>
        <v>1.5072026989439084E-3</v>
      </c>
      <c r="L10">
        <f t="shared" si="7"/>
        <v>0.43309999999999982</v>
      </c>
    </row>
    <row r="11" spans="1:12">
      <c r="A11">
        <v>12</v>
      </c>
      <c r="B11">
        <v>0.43198668331810791</v>
      </c>
      <c r="C11">
        <f t="shared" si="0"/>
        <v>0.15116872917328392</v>
      </c>
      <c r="D11">
        <f t="shared" si="1"/>
        <v>0.10535136923053098</v>
      </c>
      <c r="E11">
        <f t="shared" si="2"/>
        <v>0.12618704818724458</v>
      </c>
      <c r="F11" s="16">
        <f t="shared" si="3"/>
        <v>0.2164740508751252</v>
      </c>
      <c r="G11" s="16">
        <f t="shared" si="4"/>
        <v>0.28631757532843499</v>
      </c>
      <c r="I11" s="17">
        <f t="shared" si="5"/>
        <v>5.7451905310526095E-2</v>
      </c>
      <c r="J11">
        <f t="shared" si="6"/>
        <v>8.8046385572618409E-3</v>
      </c>
      <c r="L11">
        <f t="shared" si="7"/>
        <v>0.39085999999999987</v>
      </c>
    </row>
    <row r="12" spans="1:12">
      <c r="A12">
        <v>14</v>
      </c>
      <c r="B12">
        <v>0.38538208797016077</v>
      </c>
      <c r="C12">
        <f t="shared" si="0"/>
        <v>0.11083562562378987</v>
      </c>
      <c r="D12">
        <f t="shared" si="1"/>
        <v>7.2731180455133826E-2</v>
      </c>
      <c r="E12">
        <f t="shared" si="2"/>
        <v>8.9775465582643682E-2</v>
      </c>
      <c r="F12" s="16">
        <f t="shared" si="3"/>
        <v>0.1685054322327722</v>
      </c>
      <c r="G12" s="16">
        <f t="shared" si="4"/>
        <v>0.23350513206297732</v>
      </c>
      <c r="I12" s="17">
        <f t="shared" si="5"/>
        <v>4.4278417331619434E-2</v>
      </c>
      <c r="J12">
        <f t="shared" si="6"/>
        <v>1.8000552876195328E-2</v>
      </c>
      <c r="L12">
        <f t="shared" si="7"/>
        <v>0.32125999999999999</v>
      </c>
    </row>
    <row r="13" spans="1:12">
      <c r="A13">
        <v>16</v>
      </c>
      <c r="B13">
        <v>0.36056106220175366</v>
      </c>
      <c r="C13">
        <f t="shared" si="0"/>
        <v>8.1263737378748563E-2</v>
      </c>
      <c r="D13">
        <f t="shared" si="1"/>
        <v>5.0211256379800714E-2</v>
      </c>
      <c r="E13">
        <f t="shared" si="2"/>
        <v>6.3870534546628152E-2</v>
      </c>
      <c r="F13" s="16">
        <f t="shared" si="3"/>
        <v>0.13116620942402349</v>
      </c>
      <c r="G13" s="16">
        <f t="shared" si="4"/>
        <v>0.19043415912279651</v>
      </c>
      <c r="I13" s="17">
        <f t="shared" si="5"/>
        <v>1.6795191285396298E-2</v>
      </c>
      <c r="J13">
        <f t="shared" si="6"/>
        <v>2.6810141592981142E-2</v>
      </c>
      <c r="L13">
        <f t="shared" si="7"/>
        <v>0.21085999999999971</v>
      </c>
    </row>
    <row r="14" spans="1:12">
      <c r="A14">
        <v>18</v>
      </c>
      <c r="B14">
        <v>0.31944179712752446</v>
      </c>
      <c r="C14">
        <f t="shared" si="0"/>
        <v>5.9581880605587265E-2</v>
      </c>
      <c r="D14">
        <f t="shared" si="1"/>
        <v>3.4664228621909002E-2</v>
      </c>
      <c r="E14">
        <f t="shared" si="2"/>
        <v>4.544053497017677E-2</v>
      </c>
      <c r="F14" s="16">
        <f t="shared" si="3"/>
        <v>0.10210100806068084</v>
      </c>
      <c r="G14" s="16">
        <f t="shared" si="4"/>
        <v>0.15530780261834123</v>
      </c>
      <c r="I14" s="17">
        <f t="shared" si="5"/>
        <v>9.0666210267065358E-5</v>
      </c>
      <c r="J14">
        <f t="shared" si="6"/>
        <v>3.4380533419766782E-2</v>
      </c>
      <c r="L14">
        <f t="shared" si="7"/>
        <v>5.005999999999966E-2</v>
      </c>
    </row>
    <row r="15" spans="1:12">
      <c r="A15">
        <v>20</v>
      </c>
      <c r="B15">
        <v>0.23230066061049878</v>
      </c>
      <c r="C15">
        <f t="shared" si="0"/>
        <v>4.3684927755080358E-2</v>
      </c>
      <c r="D15">
        <f t="shared" si="1"/>
        <v>2.3931063123833037E-2</v>
      </c>
      <c r="E15">
        <f t="shared" si="2"/>
        <v>3.2328557026063985E-2</v>
      </c>
      <c r="F15" s="16">
        <f t="shared" si="3"/>
        <v>7.9476382620064609E-2</v>
      </c>
      <c r="G15" s="16">
        <f t="shared" si="4"/>
        <v>0.12666064568061106</v>
      </c>
      <c r="I15" s="17">
        <f t="shared" si="5"/>
        <v>4.4346011797612862E-2</v>
      </c>
      <c r="J15">
        <f t="shared" si="6"/>
        <v>4.0528468839875702E-2</v>
      </c>
      <c r="L15">
        <f t="shared" si="7"/>
        <v>-0.16690000000000105</v>
      </c>
    </row>
    <row r="16" spans="1:12">
      <c r="A16">
        <v>22</v>
      </c>
      <c r="B16">
        <v>0.15110482263125347</v>
      </c>
      <c r="C16">
        <f t="shared" si="0"/>
        <v>3.2029417225001688E-2</v>
      </c>
      <c r="D16">
        <f t="shared" si="1"/>
        <v>1.6521232550229532E-2</v>
      </c>
      <c r="E16">
        <f t="shared" si="2"/>
        <v>2.3000072513965953E-2</v>
      </c>
      <c r="F16" s="16">
        <f t="shared" si="3"/>
        <v>6.186516190532497E-2</v>
      </c>
      <c r="G16" s="16">
        <f t="shared" si="4"/>
        <v>0.10329757355239734</v>
      </c>
      <c r="I16" s="17">
        <f t="shared" si="5"/>
        <v>0.22464700846460636</v>
      </c>
      <c r="J16">
        <f t="shared" si="6"/>
        <v>4.5357220791516883E-2</v>
      </c>
      <c r="L16">
        <f t="shared" si="7"/>
        <v>-0.44193999999999856</v>
      </c>
    </row>
    <row r="17" spans="1:12">
      <c r="A17">
        <v>24</v>
      </c>
      <c r="B17">
        <v>0.15070119437459695</v>
      </c>
      <c r="C17">
        <f t="shared" si="0"/>
        <v>2.3483696105092652E-2</v>
      </c>
      <c r="D17">
        <f t="shared" si="1"/>
        <v>1.140572500128216E-2</v>
      </c>
      <c r="E17">
        <f t="shared" si="2"/>
        <v>1.6363345113770404E-2</v>
      </c>
      <c r="F17" s="16">
        <f t="shared" si="3"/>
        <v>4.8156422466638871E-2</v>
      </c>
      <c r="G17" s="16">
        <f t="shared" si="4"/>
        <v>8.4243915262515734E-2</v>
      </c>
      <c r="I17" s="17">
        <f t="shared" si="5"/>
        <v>0.63460931319614078</v>
      </c>
      <c r="J17">
        <f t="shared" si="6"/>
        <v>4.907025471662408E-2</v>
      </c>
      <c r="L17">
        <f t="shared" si="7"/>
        <v>-0.77314000000000116</v>
      </c>
    </row>
    <row r="18" spans="1:12">
      <c r="A18">
        <v>26</v>
      </c>
      <c r="B18">
        <v>0.13179349913915536</v>
      </c>
      <c r="C18">
        <f t="shared" si="0"/>
        <v>1.7218046113117034E-2</v>
      </c>
      <c r="D18">
        <f t="shared" si="1"/>
        <v>7.8741439180980144E-3</v>
      </c>
      <c r="E18">
        <f t="shared" si="2"/>
        <v>1.1641661701273625E-2</v>
      </c>
      <c r="F18" s="16">
        <f t="shared" si="3"/>
        <v>3.748541106761083E-2</v>
      </c>
      <c r="G18" s="16">
        <f t="shared" si="4"/>
        <v>6.8704781871357187E-2</v>
      </c>
      <c r="I18" s="17">
        <f t="shared" si="5"/>
        <v>1.3734856618492757</v>
      </c>
      <c r="J18">
        <f t="shared" si="6"/>
        <v>5.1885422455948009E-2</v>
      </c>
      <c r="L18">
        <f t="shared" si="7"/>
        <v>-1.1547400000000003</v>
      </c>
    </row>
    <row r="19" spans="1:12">
      <c r="A19">
        <v>28</v>
      </c>
      <c r="B19">
        <v>0.12964168263055892</v>
      </c>
      <c r="C19">
        <f t="shared" si="0"/>
        <v>1.2624124866320941E-2</v>
      </c>
      <c r="D19">
        <f t="shared" si="1"/>
        <v>5.4360544757961569E-3</v>
      </c>
      <c r="E19">
        <f t="shared" si="2"/>
        <v>8.2824316314669012E-3</v>
      </c>
      <c r="F19" s="16">
        <f t="shared" si="3"/>
        <v>2.9178995675627775E-2</v>
      </c>
      <c r="G19" s="16">
        <f t="shared" si="4"/>
        <v>5.6031904942707315E-2</v>
      </c>
    </row>
    <row r="20" spans="1:12">
      <c r="F20">
        <f>AVERAGE(F2:F18)</f>
        <v>0.37098819952530548</v>
      </c>
      <c r="L20">
        <f>AVERAGE(L2:L18)</f>
        <v>0.24500176470588214</v>
      </c>
    </row>
    <row r="22" spans="1:12" ht="15.6">
      <c r="A22" t="s">
        <v>160</v>
      </c>
      <c r="B22" s="17">
        <v>1.0000000000000001E-5</v>
      </c>
      <c r="H22" t="s">
        <v>171</v>
      </c>
      <c r="I22" s="17">
        <f>SUM(I2:I14)</f>
        <v>0.23443007722604151</v>
      </c>
      <c r="J22">
        <f>SUM(J2:J14)</f>
        <v>1.4580252838035044</v>
      </c>
    </row>
    <row r="23" spans="1:12" ht="15.6">
      <c r="A23" t="s">
        <v>159</v>
      </c>
      <c r="B23">
        <v>-8.0000000000000004E-4</v>
      </c>
    </row>
    <row r="24" spans="1:12" ht="15.6">
      <c r="A24" t="s">
        <v>158</v>
      </c>
      <c r="B24">
        <v>1.67E-2</v>
      </c>
      <c r="H24" t="s">
        <v>57</v>
      </c>
      <c r="I24">
        <f>(I22/(17))^0.5</f>
        <v>0.11743085004677571</v>
      </c>
    </row>
    <row r="25" spans="1:12" ht="15.6">
      <c r="A25" t="s">
        <v>157</v>
      </c>
      <c r="B25">
        <v>-0.151</v>
      </c>
    </row>
    <row r="26" spans="1:12" ht="16.8">
      <c r="A26" t="s">
        <v>156</v>
      </c>
      <c r="B26">
        <v>0.97309999999999997</v>
      </c>
      <c r="H26" t="s">
        <v>174</v>
      </c>
      <c r="I26">
        <f>(I22)/(17-2)</f>
        <v>1.5628671815069432E-2</v>
      </c>
    </row>
    <row r="28" spans="1:12" ht="16.2">
      <c r="A28" t="s">
        <v>168</v>
      </c>
      <c r="B28">
        <v>3.3600000000000001E-3</v>
      </c>
      <c r="H28" s="11" t="s">
        <v>60</v>
      </c>
      <c r="I28">
        <f>1-(I22/J22)</f>
        <v>0.8392139835775061</v>
      </c>
    </row>
    <row r="29" spans="1:12" ht="16.2">
      <c r="A29" t="s">
        <v>169</v>
      </c>
      <c r="B29">
        <f>4/B26</f>
        <v>4.1105744527797761</v>
      </c>
    </row>
    <row r="31" spans="1:12" ht="15.6">
      <c r="A31" t="s">
        <v>99</v>
      </c>
      <c r="B31">
        <f>(-B25*B28^2)/4</f>
        <v>4.2618240000000005E-7</v>
      </c>
      <c r="D31">
        <f>B31/3600</f>
        <v>1.1838400000000002E-10</v>
      </c>
    </row>
    <row r="32" spans="1:12" ht="15.6">
      <c r="A32" t="s">
        <v>99</v>
      </c>
      <c r="B32">
        <f>(((B26*B24*(B28^4))/8))^(1/2)</f>
        <v>5.0882745086159646E-7</v>
      </c>
      <c r="D32">
        <f t="shared" ref="D32:D35" si="8">B32/3600</f>
        <v>1.4134095857266569E-10</v>
      </c>
    </row>
    <row r="33" spans="1:4" ht="15.6">
      <c r="A33" t="s">
        <v>99</v>
      </c>
      <c r="B33">
        <f>((-3*(B26^2)*B23*(B28^6))/32)^(1/3)</f>
        <v>4.675240512924354E-7</v>
      </c>
      <c r="D33">
        <f t="shared" si="8"/>
        <v>1.2986779202567649E-10</v>
      </c>
    </row>
    <row r="34" spans="1:4" ht="15.6">
      <c r="A34" t="s">
        <v>99</v>
      </c>
      <c r="B34">
        <f>((3*(B26^3)*B22*(B28^8))/32)^(1/4)</f>
        <v>3.4418304960473732E-7</v>
      </c>
      <c r="D34">
        <f t="shared" si="8"/>
        <v>9.5606402667982592E-11</v>
      </c>
    </row>
    <row r="35" spans="1:4">
      <c r="B35" s="10">
        <v>2.8000000000000002E-7</v>
      </c>
      <c r="D35">
        <f t="shared" si="8"/>
        <v>7.7777777777777785E-11</v>
      </c>
    </row>
    <row r="36" spans="1:4">
      <c r="B36" s="10">
        <f>0.000000344</f>
        <v>3.4400000000000001E-7</v>
      </c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E3F10-502A-4621-B5B7-B2B344B1B57A}">
  <dimension ref="A1:N30"/>
  <sheetViews>
    <sheetView topLeftCell="G1" zoomScale="80" zoomScaleNormal="80" workbookViewId="0">
      <selection activeCell="R30" sqref="R30"/>
    </sheetView>
  </sheetViews>
  <sheetFormatPr defaultRowHeight="14.4"/>
  <cols>
    <col min="4" max="4" width="12" bestFit="1" customWidth="1"/>
    <col min="11" max="11" width="12" bestFit="1" customWidth="1"/>
  </cols>
  <sheetData>
    <row r="1" spans="1:11">
      <c r="A1" t="s">
        <v>72</v>
      </c>
      <c r="B1" t="s">
        <v>130</v>
      </c>
      <c r="H1" t="s">
        <v>172</v>
      </c>
      <c r="I1" t="s">
        <v>173</v>
      </c>
    </row>
    <row r="2" spans="1:11">
      <c r="A2">
        <v>0</v>
      </c>
      <c r="B2">
        <v>1</v>
      </c>
      <c r="C2">
        <f>(4/$B$25)*EXP(-$B$25*$B$27*$A2/($B$24^2))</f>
        <v>1.0006999999999999</v>
      </c>
      <c r="D2">
        <f>(4/$B$25)*EXP(-$B$25*$B$28*$A2/($B$24^2))</f>
        <v>1.0006999999999999</v>
      </c>
      <c r="E2">
        <f>(4/$B$25)*EXP(-$B$25*$B$29*$A2/($B$24^2))</f>
        <v>1.0006999999999999</v>
      </c>
      <c r="F2">
        <f>(4/$B$25)*EXP(-$B$25*$B$30*$A2/($B$24^2))</f>
        <v>1.0006999999999999</v>
      </c>
      <c r="H2">
        <f>(C2-K2)^2</f>
        <v>0</v>
      </c>
      <c r="I2">
        <f>(K2-$C$14)^(2)</f>
        <v>0.31686083760757849</v>
      </c>
      <c r="K2">
        <f>$B$18*(A2^4)+$B$19*(A2^3)+$B$20*(A2^2)+$B$21*(A2)+$B$22</f>
        <v>1.0006999999999999</v>
      </c>
    </row>
    <row r="3" spans="1:11">
      <c r="A3">
        <v>1</v>
      </c>
      <c r="B3">
        <v>0.80714948566211964</v>
      </c>
      <c r="C3">
        <f t="shared" ref="C3:C12" si="0">(4/$B$25)*EXP(-$B$25*$B$27*$A3/($B$24^2))</f>
        <v>0.77080679051408763</v>
      </c>
      <c r="D3">
        <f t="shared" ref="D3:D12" si="1">(4/$B$25)*EXP(-$B$25*$B$28*$A3/($B$24^2))</f>
        <v>0.66921380399947317</v>
      </c>
      <c r="E3">
        <f t="shared" ref="E3:E12" si="2">(4/$B$25)*EXP(-$B$25*$B$29*$A3/($B$24^2))</f>
        <v>0.63996720509104588</v>
      </c>
      <c r="F3">
        <f t="shared" ref="F3:F12" si="3">(4/$B$25)*EXP(-$B$25*$B$30*$A3/($B$24^2))</f>
        <v>0.68208632851877782</v>
      </c>
      <c r="H3">
        <f t="shared" ref="H3:H10" si="4">(C3-K3)^2</f>
        <v>1.2740052034052247E-3</v>
      </c>
      <c r="I3">
        <f t="shared" ref="I3:I10" si="5">(K3-$C$14)^(2)</f>
        <v>0.13594259009223303</v>
      </c>
      <c r="K3">
        <f t="shared" ref="K3:K10" si="6">$B$18*(A3^4)+$B$19*(A3^3)+$B$20*(A3^2)+$B$21*(A3)+$B$22</f>
        <v>0.80649999999999999</v>
      </c>
    </row>
    <row r="4" spans="1:11">
      <c r="A4">
        <v>2</v>
      </c>
      <c r="B4">
        <v>0.69660154192315715</v>
      </c>
      <c r="C4">
        <f t="shared" si="0"/>
        <v>0.59372749905329136</v>
      </c>
      <c r="D4">
        <f t="shared" si="1"/>
        <v>0.4475338417742033</v>
      </c>
      <c r="E4">
        <f t="shared" si="2"/>
        <v>0.40927153351858175</v>
      </c>
      <c r="F4">
        <f t="shared" si="3"/>
        <v>0.46491631812953554</v>
      </c>
      <c r="H4">
        <f t="shared" si="4"/>
        <v>1.0768731952734647E-2</v>
      </c>
      <c r="I4">
        <f t="shared" si="5"/>
        <v>6.7446132732950512E-2</v>
      </c>
      <c r="K4">
        <f t="shared" si="6"/>
        <v>0.69750000000000001</v>
      </c>
    </row>
    <row r="5" spans="1:11">
      <c r="A5">
        <v>3</v>
      </c>
      <c r="B5">
        <v>0.63196444601167723</v>
      </c>
      <c r="C5">
        <f t="shared" si="0"/>
        <v>0.45732905764487219</v>
      </c>
      <c r="D5">
        <f t="shared" si="1"/>
        <v>0.29928632424524126</v>
      </c>
      <c r="E5">
        <f t="shared" si="2"/>
        <v>0.26173714342881288</v>
      </c>
      <c r="F5">
        <f t="shared" si="3"/>
        <v>0.316891240633</v>
      </c>
      <c r="H5">
        <f t="shared" si="4"/>
        <v>2.5399097267161441E-2</v>
      </c>
      <c r="I5">
        <f t="shared" si="5"/>
        <v>3.2006617185885981E-2</v>
      </c>
      <c r="K5">
        <f t="shared" si="6"/>
        <v>0.61669999999999991</v>
      </c>
    </row>
    <row r="6" spans="1:11">
      <c r="A6">
        <v>4</v>
      </c>
      <c r="B6">
        <v>0.49811642751536406</v>
      </c>
      <c r="C6">
        <f t="shared" si="0"/>
        <v>0.35226575710210462</v>
      </c>
      <c r="D6">
        <f t="shared" si="1"/>
        <v>0.20014643702725857</v>
      </c>
      <c r="E6">
        <f t="shared" si="2"/>
        <v>0.16738601793609634</v>
      </c>
      <c r="F6">
        <f t="shared" si="3"/>
        <v>0.21599598567315229</v>
      </c>
      <c r="H6">
        <f t="shared" si="4"/>
        <v>3.1129042066953529E-2</v>
      </c>
      <c r="I6">
        <f t="shared" si="5"/>
        <v>8.2635250059147763E-3</v>
      </c>
      <c r="K6">
        <f t="shared" si="6"/>
        <v>0.52869999999999995</v>
      </c>
    </row>
    <row r="7" spans="1:11">
      <c r="A7">
        <v>5</v>
      </c>
      <c r="B7">
        <v>0.42557964286029865</v>
      </c>
      <c r="C7">
        <f t="shared" si="0"/>
        <v>0.27133890040960179</v>
      </c>
      <c r="D7">
        <f t="shared" si="1"/>
        <v>0.13384706553407885</v>
      </c>
      <c r="E7">
        <f t="shared" si="2"/>
        <v>0.10704662942928271</v>
      </c>
      <c r="F7">
        <f t="shared" si="3"/>
        <v>0.1472248514465824</v>
      </c>
      <c r="H7">
        <f t="shared" si="4"/>
        <v>2.2011015871671979E-2</v>
      </c>
      <c r="I7">
        <f t="shared" si="5"/>
        <v>3.2746764663225497E-4</v>
      </c>
      <c r="K7">
        <f t="shared" si="6"/>
        <v>0.41969999999999974</v>
      </c>
    </row>
    <row r="8" spans="1:11">
      <c r="A8">
        <v>6</v>
      </c>
      <c r="B8">
        <v>0.31685483154225391</v>
      </c>
      <c r="C8">
        <f t="shared" si="0"/>
        <v>0.20900356447121698</v>
      </c>
      <c r="D8">
        <f t="shared" si="1"/>
        <v>8.9509647127238634E-2</v>
      </c>
      <c r="E8">
        <f t="shared" si="2"/>
        <v>6.8458411362321364E-2</v>
      </c>
      <c r="F8">
        <f t="shared" si="3"/>
        <v>0.10034981352045759</v>
      </c>
      <c r="H8">
        <f t="shared" si="4"/>
        <v>7.8316191013000271E-3</v>
      </c>
      <c r="I8">
        <f t="shared" si="5"/>
        <v>1.9682986460354056E-2</v>
      </c>
      <c r="K8">
        <f t="shared" si="6"/>
        <v>0.29749999999999988</v>
      </c>
    </row>
    <row r="9" spans="1:11">
      <c r="A9">
        <v>7</v>
      </c>
      <c r="B9">
        <v>0.1540948684218085</v>
      </c>
      <c r="C9">
        <f t="shared" si="0"/>
        <v>0.16098867466379829</v>
      </c>
      <c r="D9">
        <f t="shared" si="1"/>
        <v>5.9859190015658925E-2</v>
      </c>
      <c r="E9">
        <f t="shared" si="2"/>
        <v>4.3780491840229738E-2</v>
      </c>
      <c r="F9">
        <f t="shared" si="3"/>
        <v>6.839935632228733E-2</v>
      </c>
      <c r="H9">
        <f t="shared" si="4"/>
        <v>9.3094097377158507E-4</v>
      </c>
      <c r="I9">
        <f t="shared" si="5"/>
        <v>6.066175269811562E-2</v>
      </c>
      <c r="K9">
        <f t="shared" si="6"/>
        <v>0.19150000000000067</v>
      </c>
    </row>
    <row r="10" spans="1:11">
      <c r="A10">
        <v>8</v>
      </c>
      <c r="B10">
        <v>0.13679520979314949</v>
      </c>
      <c r="C10">
        <f t="shared" si="0"/>
        <v>0.12400436057431698</v>
      </c>
      <c r="D10">
        <f t="shared" si="1"/>
        <v>4.0030574852309764E-2</v>
      </c>
      <c r="E10">
        <f t="shared" si="2"/>
        <v>2.7998480064458039E-2</v>
      </c>
      <c r="F10">
        <f t="shared" si="3"/>
        <v>4.6621630685436809E-2</v>
      </c>
      <c r="H10">
        <f t="shared" si="4"/>
        <v>8.2343972204881725E-4</v>
      </c>
      <c r="I10">
        <f t="shared" si="5"/>
        <v>8.1279767509674056E-2</v>
      </c>
      <c r="K10">
        <f t="shared" si="6"/>
        <v>0.15270000000000006</v>
      </c>
    </row>
    <row r="11" spans="1:11">
      <c r="A11">
        <v>9</v>
      </c>
      <c r="B11">
        <v>0.13002007760794732</v>
      </c>
      <c r="C11">
        <f t="shared" si="0"/>
        <v>9.5516541604917501E-2</v>
      </c>
      <c r="D11">
        <f t="shared" si="1"/>
        <v>2.6770274081342919E-2</v>
      </c>
      <c r="E11">
        <f t="shared" si="2"/>
        <v>1.7905575131056832E-2</v>
      </c>
      <c r="F11">
        <f t="shared" si="3"/>
        <v>3.1777732491044257E-2</v>
      </c>
    </row>
    <row r="12" spans="1:11">
      <c r="A12">
        <v>10</v>
      </c>
      <c r="B12">
        <v>0.12766076616203526</v>
      </c>
      <c r="C12">
        <f t="shared" si="0"/>
        <v>7.3573297567194745E-2</v>
      </c>
      <c r="D12">
        <f t="shared" si="1"/>
        <v>1.7902505198445089E-2</v>
      </c>
      <c r="E12">
        <f t="shared" si="2"/>
        <v>1.1450965196532601E-2</v>
      </c>
      <c r="F12">
        <f t="shared" si="3"/>
        <v>2.1659994887047323E-2</v>
      </c>
    </row>
    <row r="14" spans="1:11">
      <c r="C14">
        <f>AVERAGE(C2:C10)</f>
        <v>0.4377960671592544</v>
      </c>
      <c r="G14" t="s">
        <v>171</v>
      </c>
      <c r="H14">
        <f>SUM(H2:H10)</f>
        <v>0.10016789215904724</v>
      </c>
      <c r="I14">
        <f>SUM(I2:I10)</f>
        <v>0.72247167693933867</v>
      </c>
    </row>
    <row r="16" spans="1:11">
      <c r="G16" t="s">
        <v>57</v>
      </c>
      <c r="H16">
        <f>(H14/(9))^0.5</f>
        <v>0.10549770516674613</v>
      </c>
    </row>
    <row r="18" spans="1:14" ht="16.8">
      <c r="A18" t="s">
        <v>160</v>
      </c>
      <c r="B18">
        <v>8.9999999999999998E-4</v>
      </c>
      <c r="G18" t="s">
        <v>174</v>
      </c>
      <c r="H18">
        <f>(H14)/(9-2)</f>
        <v>1.4309698879863891E-2</v>
      </c>
    </row>
    <row r="19" spans="1:14" ht="15.6">
      <c r="A19" t="s">
        <v>159</v>
      </c>
      <c r="B19">
        <v>-1.49E-2</v>
      </c>
    </row>
    <row r="20" spans="1:14" ht="16.8">
      <c r="A20" t="s">
        <v>158</v>
      </c>
      <c r="B20">
        <v>8.1000000000000003E-2</v>
      </c>
      <c r="G20" s="11" t="s">
        <v>60</v>
      </c>
      <c r="H20" s="11">
        <f>1-(H14/I14)</f>
        <v>0.861353883679709</v>
      </c>
    </row>
    <row r="21" spans="1:14" ht="15.6">
      <c r="A21" t="s">
        <v>157</v>
      </c>
      <c r="B21">
        <v>-0.26119999999999999</v>
      </c>
    </row>
    <row r="22" spans="1:14" ht="15.6">
      <c r="A22" t="s">
        <v>156</v>
      </c>
      <c r="B22">
        <v>1.0006999999999999</v>
      </c>
    </row>
    <row r="24" spans="1:14">
      <c r="A24" t="s">
        <v>168</v>
      </c>
      <c r="B24">
        <v>3.3600000000000001E-3</v>
      </c>
    </row>
    <row r="25" spans="1:14" ht="16.2">
      <c r="A25" t="s">
        <v>169</v>
      </c>
      <c r="B25">
        <f>4/B22</f>
        <v>3.9972019586289602</v>
      </c>
      <c r="K25">
        <f>(0.000000186)/3600</f>
        <v>5.1666666666666669E-11</v>
      </c>
      <c r="L25">
        <f>K25/$K$25</f>
        <v>1</v>
      </c>
    </row>
    <row r="26" spans="1:14">
      <c r="K26">
        <f>(0.000000525)/3600</f>
        <v>1.4583333333333332E-10</v>
      </c>
      <c r="L26">
        <f t="shared" ref="L26:L28" si="7">K26/$K$25</f>
        <v>2.82258064516129</v>
      </c>
    </row>
    <row r="27" spans="1:14" ht="15.6">
      <c r="A27" t="s">
        <v>99</v>
      </c>
      <c r="B27">
        <f>(-B21*B24^2)/4</f>
        <v>7.3721088000000009E-7</v>
      </c>
      <c r="D27">
        <f>B27/3600</f>
        <v>2.0478080000000004E-10</v>
      </c>
      <c r="K27">
        <f>(0.000000344)/3600</f>
        <v>9.5555555555555557E-11</v>
      </c>
      <c r="L27">
        <f t="shared" si="7"/>
        <v>1.8494623655913978</v>
      </c>
    </row>
    <row r="28" spans="1:14" ht="15.6">
      <c r="A28" t="s">
        <v>99</v>
      </c>
      <c r="B28">
        <f>(((B22*B20*(B24^4))/8))^(1/2)</f>
        <v>1.1363916151202385E-6</v>
      </c>
      <c r="D28">
        <f t="shared" ref="D28:D30" si="8">B28/3600</f>
        <v>3.1566433753339955E-10</v>
      </c>
      <c r="K28">
        <f>(0.000000737)/3600</f>
        <v>2.0472222222222222E-10</v>
      </c>
      <c r="L28">
        <f t="shared" si="7"/>
        <v>3.9623655913978491</v>
      </c>
      <c r="M28">
        <f>K28/K26</f>
        <v>1.4038095238095238</v>
      </c>
      <c r="N28">
        <f>K28/K27</f>
        <v>2.1424418604651163</v>
      </c>
    </row>
    <row r="29" spans="1:14" ht="15.6">
      <c r="A29" t="s">
        <v>99</v>
      </c>
      <c r="B29">
        <f>((-3*(B22^2)*B19*(B24^6))/32)^(1/3)</f>
        <v>1.2626035407826281E-6</v>
      </c>
      <c r="D29">
        <f t="shared" si="8"/>
        <v>3.5072320577295227E-10</v>
      </c>
    </row>
    <row r="30" spans="1:14" ht="15.6">
      <c r="A30" t="s">
        <v>99</v>
      </c>
      <c r="B30">
        <f>((3*(B22^3)*B18*(B24^8))/32)^(1/4)</f>
        <v>1.0825798169648703E-6</v>
      </c>
      <c r="D30">
        <f t="shared" si="8"/>
        <v>3.0071661582357508E-10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1C8BB-AE0C-48F0-9480-515D71FF2D2D}">
  <dimension ref="A1:AD85"/>
  <sheetViews>
    <sheetView topLeftCell="H1" zoomScale="111" zoomScaleNormal="70" workbookViewId="0">
      <selection activeCell="G1" sqref="G1:G1048576"/>
    </sheetView>
  </sheetViews>
  <sheetFormatPr defaultRowHeight="14.4"/>
  <cols>
    <col min="28" max="28" width="9.21875" bestFit="1" customWidth="1"/>
    <col min="31" max="31" width="12" bestFit="1" customWidth="1"/>
  </cols>
  <sheetData>
    <row r="1" spans="1:26">
      <c r="A1" t="s">
        <v>39</v>
      </c>
      <c r="B1" t="s">
        <v>41</v>
      </c>
      <c r="C1" t="s">
        <v>40</v>
      </c>
      <c r="D1" t="s">
        <v>42</v>
      </c>
      <c r="E1" t="s">
        <v>43</v>
      </c>
      <c r="H1" t="s">
        <v>43</v>
      </c>
      <c r="I1" t="s">
        <v>44</v>
      </c>
      <c r="K1" t="s">
        <v>43</v>
      </c>
      <c r="L1" t="s">
        <v>44</v>
      </c>
      <c r="X1" t="s">
        <v>88</v>
      </c>
      <c r="Y1" t="s">
        <v>86</v>
      </c>
      <c r="Z1" t="s">
        <v>87</v>
      </c>
    </row>
    <row r="2" spans="1:26">
      <c r="A2">
        <v>72.459999999999994</v>
      </c>
      <c r="B2">
        <v>22.5</v>
      </c>
      <c r="C2">
        <v>60</v>
      </c>
      <c r="D2">
        <v>14.4</v>
      </c>
      <c r="E2">
        <v>0</v>
      </c>
      <c r="H2">
        <v>0</v>
      </c>
      <c r="I2" s="1">
        <f t="shared" ref="I2:I21" si="0">A2/72.46</f>
        <v>1</v>
      </c>
      <c r="K2">
        <v>0</v>
      </c>
      <c r="L2" s="2">
        <f t="shared" ref="L2:L21" si="1">(A2-9.46)/(72.46-9.46)</f>
        <v>1</v>
      </c>
      <c r="X2">
        <f>K2*60*60</f>
        <v>0</v>
      </c>
      <c r="Y2">
        <f>LN(L2)</f>
        <v>0</v>
      </c>
    </row>
    <row r="3" spans="1:26">
      <c r="A3">
        <v>60.46</v>
      </c>
      <c r="B3">
        <v>30</v>
      </c>
      <c r="C3">
        <v>41</v>
      </c>
      <c r="D3">
        <v>15.3</v>
      </c>
      <c r="E3">
        <v>1</v>
      </c>
      <c r="H3">
        <v>1</v>
      </c>
      <c r="I3" s="1">
        <f t="shared" si="0"/>
        <v>0.8343913883521944</v>
      </c>
      <c r="K3">
        <v>1</v>
      </c>
      <c r="L3" s="2">
        <f t="shared" si="1"/>
        <v>0.80952380952380965</v>
      </c>
      <c r="X3">
        <f t="shared" ref="X3:X21" si="2">K3*60*60</f>
        <v>3600</v>
      </c>
      <c r="Y3">
        <f>LN(L3)</f>
        <v>-0.21130909366720677</v>
      </c>
    </row>
    <row r="4" spans="1:26">
      <c r="A4">
        <v>62.15</v>
      </c>
      <c r="B4">
        <v>31</v>
      </c>
      <c r="C4">
        <v>31</v>
      </c>
      <c r="D4">
        <v>15.8</v>
      </c>
      <c r="E4">
        <v>2</v>
      </c>
      <c r="H4">
        <v>2</v>
      </c>
      <c r="I4" s="1">
        <f t="shared" si="0"/>
        <v>0.85771460115926035</v>
      </c>
      <c r="K4">
        <v>2</v>
      </c>
      <c r="L4" s="2">
        <f t="shared" si="1"/>
        <v>0.8363492063492064</v>
      </c>
      <c r="X4">
        <f t="shared" si="2"/>
        <v>7200</v>
      </c>
      <c r="Y4">
        <f t="shared" ref="Y4:Y21" si="3">LN(L4)</f>
        <v>-0.17870904217033823</v>
      </c>
    </row>
    <row r="5" spans="1:26">
      <c r="A5">
        <v>64.59</v>
      </c>
      <c r="B5">
        <v>38</v>
      </c>
      <c r="C5">
        <v>27.5</v>
      </c>
      <c r="D5">
        <v>16</v>
      </c>
      <c r="E5">
        <v>3</v>
      </c>
      <c r="H5">
        <v>3</v>
      </c>
      <c r="I5" s="1">
        <f t="shared" si="0"/>
        <v>0.89138835219431423</v>
      </c>
      <c r="K5">
        <v>3</v>
      </c>
      <c r="L5" s="2">
        <f t="shared" si="1"/>
        <v>0.87507936507936523</v>
      </c>
      <c r="X5">
        <f t="shared" si="2"/>
        <v>10800</v>
      </c>
      <c r="Y5">
        <f t="shared" si="3"/>
        <v>-0.13344069378994031</v>
      </c>
    </row>
    <row r="6" spans="1:26">
      <c r="A6">
        <v>57.32</v>
      </c>
      <c r="B6">
        <v>37.5</v>
      </c>
      <c r="C6">
        <v>34.5</v>
      </c>
      <c r="D6">
        <v>15.9</v>
      </c>
      <c r="E6">
        <v>4</v>
      </c>
      <c r="H6">
        <v>4</v>
      </c>
      <c r="I6" s="1">
        <f t="shared" si="0"/>
        <v>0.79105713497101859</v>
      </c>
      <c r="K6">
        <v>4</v>
      </c>
      <c r="L6" s="2">
        <f t="shared" si="1"/>
        <v>0.75968253968253974</v>
      </c>
      <c r="X6">
        <f t="shared" si="2"/>
        <v>14400</v>
      </c>
      <c r="Y6">
        <f t="shared" si="3"/>
        <v>-0.27485464391130537</v>
      </c>
    </row>
    <row r="7" spans="1:26">
      <c r="A7">
        <v>56.15</v>
      </c>
      <c r="B7">
        <v>37</v>
      </c>
      <c r="C7">
        <v>28</v>
      </c>
      <c r="D7">
        <v>15.5</v>
      </c>
      <c r="E7">
        <v>5</v>
      </c>
      <c r="H7">
        <v>5</v>
      </c>
      <c r="I7" s="1">
        <f t="shared" si="0"/>
        <v>0.77491029533535749</v>
      </c>
      <c r="K7">
        <v>5</v>
      </c>
      <c r="L7" s="2">
        <f t="shared" si="1"/>
        <v>0.74111111111111116</v>
      </c>
      <c r="X7">
        <f t="shared" si="2"/>
        <v>18000</v>
      </c>
      <c r="Y7">
        <f t="shared" si="3"/>
        <v>-0.29960471740868694</v>
      </c>
    </row>
    <row r="8" spans="1:26">
      <c r="A8">
        <v>54.12</v>
      </c>
      <c r="B8">
        <v>36</v>
      </c>
      <c r="C8">
        <v>28.5</v>
      </c>
      <c r="D8">
        <v>14.9</v>
      </c>
      <c r="E8">
        <v>6</v>
      </c>
      <c r="H8">
        <v>6</v>
      </c>
      <c r="I8" s="1">
        <f t="shared" si="0"/>
        <v>0.74689483853160366</v>
      </c>
      <c r="K8">
        <v>6</v>
      </c>
      <c r="L8" s="2">
        <f t="shared" si="1"/>
        <v>0.7088888888888889</v>
      </c>
      <c r="X8">
        <f t="shared" si="2"/>
        <v>21600</v>
      </c>
      <c r="Y8">
        <f t="shared" si="3"/>
        <v>-0.34405647997952088</v>
      </c>
    </row>
    <row r="9" spans="1:26">
      <c r="A9">
        <v>54.24</v>
      </c>
      <c r="B9">
        <v>37.5</v>
      </c>
      <c r="C9">
        <v>26.5</v>
      </c>
      <c r="D9">
        <v>15</v>
      </c>
      <c r="E9">
        <v>8</v>
      </c>
      <c r="H9">
        <v>8</v>
      </c>
      <c r="I9" s="1">
        <f t="shared" si="0"/>
        <v>0.74855092464808182</v>
      </c>
      <c r="K9">
        <v>8</v>
      </c>
      <c r="L9" s="2">
        <f t="shared" si="1"/>
        <v>0.71079365079365087</v>
      </c>
      <c r="X9">
        <f t="shared" si="2"/>
        <v>28800</v>
      </c>
      <c r="Y9">
        <f t="shared" si="3"/>
        <v>-0.34137311522092384</v>
      </c>
    </row>
    <row r="10" spans="1:26">
      <c r="A10">
        <v>52.43</v>
      </c>
      <c r="B10">
        <v>37.5</v>
      </c>
      <c r="C10">
        <v>28</v>
      </c>
      <c r="D10">
        <v>17.899999999999999</v>
      </c>
      <c r="E10">
        <v>10</v>
      </c>
      <c r="H10">
        <v>10</v>
      </c>
      <c r="I10" s="1">
        <f t="shared" si="0"/>
        <v>0.7235716257245377</v>
      </c>
      <c r="K10">
        <v>10</v>
      </c>
      <c r="L10" s="2">
        <f t="shared" si="1"/>
        <v>0.68206349206349215</v>
      </c>
      <c r="X10">
        <f t="shared" si="2"/>
        <v>36000</v>
      </c>
      <c r="Y10">
        <f t="shared" si="3"/>
        <v>-0.38263252860462882</v>
      </c>
    </row>
    <row r="11" spans="1:26">
      <c r="A11">
        <v>47.28</v>
      </c>
      <c r="B11">
        <v>42</v>
      </c>
      <c r="C11">
        <v>27</v>
      </c>
      <c r="D11">
        <v>19.100000000000001</v>
      </c>
      <c r="E11">
        <v>12</v>
      </c>
      <c r="H11">
        <v>12</v>
      </c>
      <c r="I11" s="1">
        <f t="shared" si="0"/>
        <v>0.65249792989235444</v>
      </c>
      <c r="K11">
        <v>12</v>
      </c>
      <c r="L11" s="2">
        <f t="shared" si="1"/>
        <v>0.60031746031746036</v>
      </c>
      <c r="X11">
        <f t="shared" si="2"/>
        <v>43200</v>
      </c>
      <c r="Y11">
        <f t="shared" si="3"/>
        <v>-0.51029666316122113</v>
      </c>
    </row>
    <row r="12" spans="1:26">
      <c r="A12">
        <v>47.53</v>
      </c>
      <c r="B12">
        <v>39.5</v>
      </c>
      <c r="C12">
        <v>28.5</v>
      </c>
      <c r="D12">
        <v>17.899999999999999</v>
      </c>
      <c r="E12">
        <v>14</v>
      </c>
      <c r="H12">
        <v>14</v>
      </c>
      <c r="I12" s="1">
        <f t="shared" si="0"/>
        <v>0.65594810930168379</v>
      </c>
      <c r="K12">
        <v>14</v>
      </c>
      <c r="L12" s="2">
        <f t="shared" si="1"/>
        <v>0.60428571428571431</v>
      </c>
      <c r="X12">
        <f t="shared" si="2"/>
        <v>50400</v>
      </c>
      <c r="Y12">
        <f t="shared" si="3"/>
        <v>-0.50370815599712671</v>
      </c>
    </row>
    <row r="13" spans="1:26">
      <c r="A13">
        <v>38.89</v>
      </c>
      <c r="B13">
        <v>46</v>
      </c>
      <c r="C13">
        <v>23</v>
      </c>
      <c r="D13">
        <v>19.899999999999999</v>
      </c>
      <c r="E13">
        <v>16</v>
      </c>
      <c r="H13">
        <v>16</v>
      </c>
      <c r="I13" s="1">
        <f t="shared" si="0"/>
        <v>0.5367099089152636</v>
      </c>
      <c r="K13">
        <v>16</v>
      </c>
      <c r="L13" s="2">
        <f t="shared" si="1"/>
        <v>0.46714285714285719</v>
      </c>
      <c r="X13">
        <f t="shared" si="2"/>
        <v>57600</v>
      </c>
      <c r="Y13">
        <f t="shared" si="3"/>
        <v>-0.76112016414615113</v>
      </c>
    </row>
    <row r="14" spans="1:26">
      <c r="A14">
        <v>35.700000000000003</v>
      </c>
      <c r="B14">
        <v>45</v>
      </c>
      <c r="C14">
        <v>21.5</v>
      </c>
      <c r="D14">
        <v>18</v>
      </c>
      <c r="E14">
        <v>18</v>
      </c>
      <c r="H14">
        <v>18</v>
      </c>
      <c r="I14" s="1">
        <f t="shared" si="0"/>
        <v>0.49268561965222202</v>
      </c>
      <c r="K14">
        <v>18</v>
      </c>
      <c r="L14" s="2">
        <f t="shared" si="1"/>
        <v>0.4165079365079366</v>
      </c>
      <c r="X14">
        <f t="shared" si="2"/>
        <v>64800</v>
      </c>
      <c r="Y14">
        <f t="shared" si="3"/>
        <v>-0.87584976231564415</v>
      </c>
    </row>
    <row r="15" spans="1:26">
      <c r="A15">
        <v>29.32</v>
      </c>
      <c r="B15">
        <v>38</v>
      </c>
      <c r="C15">
        <v>27.5</v>
      </c>
      <c r="D15">
        <v>16</v>
      </c>
      <c r="E15">
        <v>20</v>
      </c>
      <c r="H15">
        <v>20</v>
      </c>
      <c r="I15" s="1">
        <f t="shared" si="0"/>
        <v>0.40463704112613857</v>
      </c>
      <c r="K15">
        <v>20</v>
      </c>
      <c r="L15" s="2">
        <f t="shared" si="1"/>
        <v>0.31523809523809526</v>
      </c>
      <c r="X15">
        <f t="shared" si="2"/>
        <v>72000</v>
      </c>
      <c r="Y15">
        <f t="shared" si="3"/>
        <v>-1.1544270677745061</v>
      </c>
    </row>
    <row r="16" spans="1:26">
      <c r="A16">
        <v>29.21</v>
      </c>
      <c r="B16">
        <v>46</v>
      </c>
      <c r="C16">
        <v>21</v>
      </c>
      <c r="D16">
        <v>18.399999999999999</v>
      </c>
      <c r="E16">
        <v>22</v>
      </c>
      <c r="H16">
        <v>22</v>
      </c>
      <c r="I16" s="1">
        <f t="shared" si="0"/>
        <v>0.40311896218603371</v>
      </c>
      <c r="K16">
        <v>22</v>
      </c>
      <c r="L16" s="2">
        <f t="shared" si="1"/>
        <v>0.31349206349206354</v>
      </c>
      <c r="X16">
        <f t="shared" si="2"/>
        <v>79200</v>
      </c>
      <c r="Y16">
        <f t="shared" si="3"/>
        <v>-1.1599812350444016</v>
      </c>
    </row>
    <row r="17" spans="1:30">
      <c r="A17">
        <v>18.329999999999998</v>
      </c>
      <c r="B17">
        <v>44</v>
      </c>
      <c r="C17">
        <v>22.5</v>
      </c>
      <c r="D17">
        <v>18.329999999999998</v>
      </c>
      <c r="E17">
        <v>24</v>
      </c>
      <c r="H17">
        <v>24</v>
      </c>
      <c r="I17" s="1">
        <f t="shared" si="0"/>
        <v>0.25296715429202321</v>
      </c>
      <c r="K17">
        <v>24</v>
      </c>
      <c r="L17" s="2">
        <f t="shared" si="1"/>
        <v>0.14079365079365078</v>
      </c>
      <c r="X17">
        <f t="shared" si="2"/>
        <v>86400</v>
      </c>
      <c r="Y17">
        <f t="shared" si="3"/>
        <v>-1.9604599300700447</v>
      </c>
    </row>
    <row r="18" spans="1:30">
      <c r="A18">
        <v>11.53</v>
      </c>
      <c r="B18">
        <v>40</v>
      </c>
      <c r="C18">
        <v>24.5</v>
      </c>
      <c r="D18">
        <v>15.9</v>
      </c>
      <c r="E18">
        <v>26</v>
      </c>
      <c r="H18">
        <v>26</v>
      </c>
      <c r="I18" s="1">
        <f t="shared" si="0"/>
        <v>0.15912227435826665</v>
      </c>
      <c r="K18">
        <v>26</v>
      </c>
      <c r="L18" s="2">
        <f t="shared" si="1"/>
        <v>3.2857142857142835E-2</v>
      </c>
      <c r="X18">
        <f t="shared" si="2"/>
        <v>93600</v>
      </c>
      <c r="Y18">
        <f t="shared" si="3"/>
        <v>-3.4155861191142556</v>
      </c>
    </row>
    <row r="19" spans="1:30">
      <c r="A19">
        <v>9.6199999999999992</v>
      </c>
      <c r="B19">
        <v>43.5</v>
      </c>
      <c r="C19">
        <v>23.5</v>
      </c>
      <c r="D19">
        <v>18.2</v>
      </c>
      <c r="E19">
        <v>28</v>
      </c>
      <c r="H19">
        <v>28</v>
      </c>
      <c r="I19" s="1">
        <f t="shared" si="0"/>
        <v>0.13276290367099089</v>
      </c>
      <c r="K19">
        <v>28</v>
      </c>
      <c r="L19" s="2">
        <f t="shared" si="1"/>
        <v>2.5396825396825141E-3</v>
      </c>
      <c r="X19">
        <f t="shared" si="2"/>
        <v>100800</v>
      </c>
      <c r="Y19">
        <f t="shared" si="3"/>
        <v>-5.9757161901398526</v>
      </c>
    </row>
    <row r="20" spans="1:30">
      <c r="A20">
        <v>9.4600000000000009</v>
      </c>
      <c r="B20">
        <v>42</v>
      </c>
      <c r="C20">
        <v>23</v>
      </c>
      <c r="D20">
        <v>16.600000000000001</v>
      </c>
      <c r="E20">
        <v>30</v>
      </c>
      <c r="H20">
        <v>30</v>
      </c>
      <c r="I20" s="1">
        <f t="shared" si="0"/>
        <v>0.13055478884902016</v>
      </c>
      <c r="K20">
        <v>30</v>
      </c>
      <c r="L20" s="2">
        <f t="shared" si="1"/>
        <v>0</v>
      </c>
      <c r="X20">
        <f t="shared" si="2"/>
        <v>108000</v>
      </c>
      <c r="Y20" t="e">
        <f t="shared" si="3"/>
        <v>#NUM!</v>
      </c>
    </row>
    <row r="21" spans="1:30">
      <c r="A21">
        <v>9.5399999999999991</v>
      </c>
      <c r="B21">
        <v>48.5</v>
      </c>
      <c r="C21">
        <v>20.5</v>
      </c>
      <c r="D21">
        <v>20.100000000000001</v>
      </c>
      <c r="E21">
        <v>32</v>
      </c>
      <c r="H21">
        <v>32</v>
      </c>
      <c r="I21" s="1">
        <f t="shared" si="0"/>
        <v>0.13165884626000551</v>
      </c>
      <c r="K21">
        <v>32</v>
      </c>
      <c r="L21" s="2">
        <f t="shared" si="1"/>
        <v>1.269841269841243E-3</v>
      </c>
      <c r="X21">
        <f t="shared" si="2"/>
        <v>115200</v>
      </c>
      <c r="Y21">
        <f t="shared" si="3"/>
        <v>-6.6688633706998095</v>
      </c>
    </row>
    <row r="22" spans="1:30">
      <c r="AA22" t="s">
        <v>91</v>
      </c>
    </row>
    <row r="23" spans="1:30">
      <c r="AA23" t="s">
        <v>92</v>
      </c>
    </row>
    <row r="24" spans="1:30">
      <c r="AA24" t="s">
        <v>59</v>
      </c>
      <c r="AB24" t="s">
        <v>93</v>
      </c>
      <c r="AC24" t="s">
        <v>94</v>
      </c>
    </row>
    <row r="25" spans="1:30">
      <c r="A25" t="s">
        <v>39</v>
      </c>
      <c r="B25" t="s">
        <v>43</v>
      </c>
      <c r="C25" t="s">
        <v>44</v>
      </c>
    </row>
    <row r="26" spans="1:30" ht="29.4">
      <c r="A26">
        <v>72.459999999999994</v>
      </c>
      <c r="B26">
        <v>0</v>
      </c>
      <c r="C26">
        <f>A26/$A$26</f>
        <v>1</v>
      </c>
      <c r="D26">
        <f>AVERAGE(C26:C28)</f>
        <v>1</v>
      </c>
      <c r="E26">
        <f>STDEV(C26:C28)</f>
        <v>0</v>
      </c>
      <c r="X26">
        <f>Y26/2</f>
        <v>3.3612500000000001</v>
      </c>
      <c r="Y26">
        <v>6.7225000000000001</v>
      </c>
      <c r="AA26" s="9" t="s">
        <v>97</v>
      </c>
      <c r="AB26" t="s">
        <v>93</v>
      </c>
      <c r="AC26" t="s">
        <v>116</v>
      </c>
      <c r="AD26" t="s">
        <v>99</v>
      </c>
    </row>
    <row r="27" spans="1:30">
      <c r="A27">
        <f>A26+4.16</f>
        <v>76.61999999999999</v>
      </c>
      <c r="B27">
        <v>0</v>
      </c>
      <c r="C27">
        <f>A27/$A$27</f>
        <v>1</v>
      </c>
      <c r="X27" t="s">
        <v>108</v>
      </c>
      <c r="Z27" t="s">
        <v>109</v>
      </c>
      <c r="AA27" t="s">
        <v>45</v>
      </c>
      <c r="AB27" s="10">
        <v>-300000</v>
      </c>
      <c r="AC27" s="10">
        <v>0.50590000000000002</v>
      </c>
      <c r="AD27" s="10">
        <f>-AB27*$X$26^2*(0.001)^2/(4*EXP(-AC27))</f>
        <v>1.4053110859375535</v>
      </c>
    </row>
    <row r="28" spans="1:30">
      <c r="A28">
        <f>A26-4.53</f>
        <v>67.929999999999993</v>
      </c>
      <c r="B28">
        <v>0</v>
      </c>
      <c r="C28">
        <f>A28/$A$28</f>
        <v>1</v>
      </c>
      <c r="X28" t="s">
        <v>110</v>
      </c>
      <c r="Z28" t="s">
        <v>111</v>
      </c>
      <c r="AA28" t="s">
        <v>95</v>
      </c>
      <c r="AB28" s="10">
        <v>-1E-4</v>
      </c>
      <c r="AC28" s="10">
        <v>0.94</v>
      </c>
      <c r="AD28" s="10">
        <f t="shared" ref="AD28:AD30" si="4">-AB28*$X$26^2*(0.001)^2/(4*EXP(-AC28))</f>
        <v>7.2306685160637678E-10</v>
      </c>
    </row>
    <row r="29" spans="1:30">
      <c r="A29">
        <v>60.46</v>
      </c>
      <c r="B29">
        <v>1</v>
      </c>
      <c r="C29">
        <f>A29/$A$26</f>
        <v>0.8343913883521944</v>
      </c>
      <c r="D29">
        <f t="shared" ref="D29" si="5">AVERAGE(C29:C31)</f>
        <v>0.84208722400184877</v>
      </c>
      <c r="E29">
        <f t="shared" ref="E29" si="6">STDEV(C29:C31)</f>
        <v>1.6369292785717922E-2</v>
      </c>
      <c r="X29" t="s">
        <v>112</v>
      </c>
      <c r="Z29" t="s">
        <v>113</v>
      </c>
      <c r="AA29" t="s">
        <v>47</v>
      </c>
      <c r="AB29" s="10">
        <v>-500000</v>
      </c>
      <c r="AC29" s="10">
        <v>0.28899999999999998</v>
      </c>
      <c r="AD29" s="10">
        <f t="shared" si="4"/>
        <v>1.8854835543744892</v>
      </c>
    </row>
    <row r="30" spans="1:30">
      <c r="A30">
        <f>A29+3.21</f>
        <v>63.67</v>
      </c>
      <c r="B30">
        <v>1</v>
      </c>
      <c r="C30">
        <f>A30/$A$27</f>
        <v>0.83098407726442192</v>
      </c>
      <c r="X30" t="s">
        <v>114</v>
      </c>
      <c r="Z30" t="s">
        <v>115</v>
      </c>
      <c r="AA30" t="s">
        <v>96</v>
      </c>
      <c r="AB30" s="10">
        <v>-700000</v>
      </c>
      <c r="AC30" s="10">
        <v>0.11360000000000001</v>
      </c>
      <c r="AD30" s="10">
        <f t="shared" si="4"/>
        <v>2.2150091892702899</v>
      </c>
    </row>
    <row r="31" spans="1:30">
      <c r="A31">
        <f>A29-1.98</f>
        <v>58.480000000000004</v>
      </c>
      <c r="B31">
        <v>1</v>
      </c>
      <c r="C31">
        <f>A31/$A$28</f>
        <v>0.86088620638892999</v>
      </c>
    </row>
    <row r="32" spans="1:30">
      <c r="A32">
        <v>62.15</v>
      </c>
      <c r="B32">
        <v>2</v>
      </c>
      <c r="C32">
        <f>A32/$A$26</f>
        <v>0.85771460115926035</v>
      </c>
      <c r="D32">
        <f t="shared" ref="D32" si="7">AVERAGE(C32:C34)</f>
        <v>0.85583101299828412</v>
      </c>
      <c r="E32">
        <f t="shared" ref="E32" si="8">STDEV(C32:C34)</f>
        <v>2.9301665906985904E-2</v>
      </c>
    </row>
    <row r="33" spans="1:30" ht="29.4">
      <c r="A33">
        <f>A32+1.11</f>
        <v>63.26</v>
      </c>
      <c r="B33">
        <v>2</v>
      </c>
      <c r="C33">
        <f>A33/$A$27</f>
        <v>0.82563299399634571</v>
      </c>
      <c r="AA33" s="9" t="s">
        <v>97</v>
      </c>
      <c r="AB33" t="s">
        <v>93</v>
      </c>
      <c r="AC33" t="s">
        <v>98</v>
      </c>
      <c r="AD33" t="s">
        <v>99</v>
      </c>
    </row>
    <row r="34" spans="1:30">
      <c r="A34">
        <f>A32-2.09</f>
        <v>60.06</v>
      </c>
      <c r="B34">
        <v>2</v>
      </c>
      <c r="C34">
        <f>A34/$A$28</f>
        <v>0.88414544383924643</v>
      </c>
      <c r="X34" t="s">
        <v>100</v>
      </c>
      <c r="Z34" t="s">
        <v>101</v>
      </c>
      <c r="AA34" t="s">
        <v>45</v>
      </c>
      <c r="AB34" s="10">
        <v>-1.0000000000000001E-5</v>
      </c>
      <c r="AC34">
        <v>-6.9900000000000004E-2</v>
      </c>
      <c r="AD34">
        <f t="shared" ref="AD34:AD37" si="9">-AB34*$X$26^2*(0.001)^2/(4*EXP(-AC34))</f>
        <v>2.6338100763797137E-11</v>
      </c>
    </row>
    <row r="35" spans="1:30">
      <c r="A35">
        <v>64.59</v>
      </c>
      <c r="B35">
        <v>3</v>
      </c>
      <c r="C35">
        <f>A35/$A$26</f>
        <v>0.89138835219431423</v>
      </c>
      <c r="D35">
        <f t="shared" ref="D35" si="10">AVERAGE(C35:C37)</f>
        <v>0.89411921590304944</v>
      </c>
      <c r="E35">
        <f t="shared" ref="E35" si="11">STDEV(C35:C37)</f>
        <v>1.2008021394234498E-2</v>
      </c>
      <c r="X35" t="s">
        <v>102</v>
      </c>
      <c r="Z35" t="s">
        <v>103</v>
      </c>
      <c r="AA35" t="s">
        <v>95</v>
      </c>
      <c r="AB35" s="10">
        <v>-3.0000000000000001E-5</v>
      </c>
      <c r="AC35">
        <v>2.23E-2</v>
      </c>
      <c r="AD35">
        <f t="shared" si="9"/>
        <v>8.6645828906521465E-11</v>
      </c>
    </row>
    <row r="36" spans="1:30">
      <c r="A36">
        <f>A35+3.12</f>
        <v>67.710000000000008</v>
      </c>
      <c r="B36">
        <v>3</v>
      </c>
      <c r="C36">
        <f>A36/$A$27</f>
        <v>0.88371182458888042</v>
      </c>
      <c r="X36" t="s">
        <v>104</v>
      </c>
      <c r="Z36" t="s">
        <v>105</v>
      </c>
      <c r="AA36" t="s">
        <v>47</v>
      </c>
      <c r="AB36" s="10">
        <v>-2.0000000000000002E-5</v>
      </c>
      <c r="AC36">
        <v>-0.25290000000000001</v>
      </c>
      <c r="AD36">
        <f t="shared" si="9"/>
        <v>4.3867063197370015E-11</v>
      </c>
    </row>
    <row r="37" spans="1:30">
      <c r="A37">
        <f>A35-2.96</f>
        <v>61.63</v>
      </c>
      <c r="B37">
        <v>3</v>
      </c>
      <c r="C37">
        <f>A37/$A$28</f>
        <v>0.90725747092595332</v>
      </c>
      <c r="X37" t="s">
        <v>106</v>
      </c>
      <c r="Z37" t="s">
        <v>107</v>
      </c>
      <c r="AA37" t="s">
        <v>96</v>
      </c>
      <c r="AB37" s="10">
        <v>-5.0000000000000002E-5</v>
      </c>
      <c r="AC37">
        <v>1.3899999999999999E-2</v>
      </c>
      <c r="AD37">
        <f t="shared" si="9"/>
        <v>1.4320175377878859E-10</v>
      </c>
    </row>
    <row r="38" spans="1:30">
      <c r="A38">
        <v>57.32</v>
      </c>
      <c r="B38">
        <v>4</v>
      </c>
      <c r="C38">
        <f>A38/$A$26</f>
        <v>0.79105713497101859</v>
      </c>
      <c r="D38">
        <f t="shared" ref="D38" si="12">AVERAGE(C38:C40)</f>
        <v>0.80782806424512987</v>
      </c>
      <c r="E38">
        <f t="shared" ref="E38" si="13">STDEV(C38:C40)</f>
        <v>4.321197828675518E-2</v>
      </c>
    </row>
    <row r="39" spans="1:30">
      <c r="A39">
        <f>A38+2.1</f>
        <v>59.42</v>
      </c>
      <c r="B39">
        <v>4</v>
      </c>
      <c r="C39">
        <f>A39/$A$27</f>
        <v>0.77551553119290018</v>
      </c>
    </row>
    <row r="40" spans="1:30">
      <c r="A40">
        <f>A38+0.89</f>
        <v>58.21</v>
      </c>
      <c r="B40">
        <v>4</v>
      </c>
      <c r="C40">
        <f>A40/$A$28</f>
        <v>0.85691152657147074</v>
      </c>
    </row>
    <row r="41" spans="1:30">
      <c r="A41">
        <v>56.15</v>
      </c>
      <c r="B41">
        <v>5</v>
      </c>
      <c r="C41">
        <f>A41/$A$26</f>
        <v>0.77491029533535749</v>
      </c>
      <c r="D41">
        <f t="shared" ref="D41" si="14">AVERAGE(C41:C43)</f>
        <v>0.77924179723414255</v>
      </c>
      <c r="E41">
        <f t="shared" ref="E41" si="15">STDEV(C41:C43)</f>
        <v>2.5873041684343026E-2</v>
      </c>
    </row>
    <row r="42" spans="1:30">
      <c r="A42">
        <f>A41+1.76</f>
        <v>57.91</v>
      </c>
      <c r="B42">
        <v>5</v>
      </c>
      <c r="C42">
        <f>A42/$A$27</f>
        <v>0.7558078830592535</v>
      </c>
    </row>
    <row r="43" spans="1:30">
      <c r="A43">
        <f>A41-1.33</f>
        <v>54.82</v>
      </c>
      <c r="B43">
        <v>5</v>
      </c>
      <c r="C43">
        <f>A43/$A$28</f>
        <v>0.807007213307817</v>
      </c>
    </row>
    <row r="44" spans="1:30">
      <c r="A44">
        <v>54.12</v>
      </c>
      <c r="B44">
        <v>6</v>
      </c>
      <c r="C44">
        <f>A44/$A$26</f>
        <v>0.74689483853160366</v>
      </c>
      <c r="D44">
        <f t="shared" ref="D44" si="16">AVERAGE(C44:C46)</f>
        <v>0.74887565034061343</v>
      </c>
      <c r="E44">
        <f t="shared" ref="E44" si="17">STDEV(C44:C46)</f>
        <v>2.1144319201627293E-2</v>
      </c>
    </row>
    <row r="45" spans="1:30">
      <c r="A45">
        <f>A44+1.72</f>
        <v>55.839999999999996</v>
      </c>
      <c r="B45">
        <v>6</v>
      </c>
      <c r="C45">
        <f>A45/$A$27</f>
        <v>0.72879143826677117</v>
      </c>
    </row>
    <row r="46" spans="1:30">
      <c r="A46">
        <f>A44-1.75</f>
        <v>52.37</v>
      </c>
      <c r="B46">
        <v>6</v>
      </c>
      <c r="C46">
        <f>A46/$A$28</f>
        <v>0.77094067422346535</v>
      </c>
    </row>
    <row r="47" spans="1:30">
      <c r="A47">
        <v>54.24</v>
      </c>
      <c r="B47">
        <v>8</v>
      </c>
      <c r="C47">
        <f>A47/$A$26</f>
        <v>0.74855092464808182</v>
      </c>
      <c r="D47">
        <f t="shared" ref="D47" si="18">AVERAGE(C47:C49)</f>
        <v>0.7573010895075255</v>
      </c>
      <c r="E47">
        <f t="shared" ref="E47" si="19">STDEV(C47:C49)</f>
        <v>2.2087515483344814E-2</v>
      </c>
    </row>
    <row r="48" spans="1:30">
      <c r="A48">
        <f>A47+2.53</f>
        <v>56.77</v>
      </c>
      <c r="B48">
        <v>8</v>
      </c>
      <c r="C48">
        <f>A48/$A$27</f>
        <v>0.74092926128948067</v>
      </c>
    </row>
    <row r="49" spans="1:5">
      <c r="A49">
        <f>A47-1.09</f>
        <v>53.15</v>
      </c>
      <c r="B49">
        <v>8</v>
      </c>
      <c r="C49">
        <f>A49/$A$28</f>
        <v>0.78242308258501403</v>
      </c>
    </row>
    <row r="50" spans="1:5">
      <c r="A50">
        <v>52.43</v>
      </c>
      <c r="B50">
        <v>10</v>
      </c>
      <c r="C50">
        <f>A50/$A$26</f>
        <v>0.7235716257245377</v>
      </c>
      <c r="D50">
        <f t="shared" ref="D50" si="20">AVERAGE(C50:C52)</f>
        <v>0.72542054364670383</v>
      </c>
      <c r="E50">
        <f t="shared" ref="E50" si="21">STDEV(C50:C52)</f>
        <v>8.5535141262510106E-2</v>
      </c>
    </row>
    <row r="51" spans="1:5">
      <c r="A51">
        <f>A50-3.33</f>
        <v>49.1</v>
      </c>
      <c r="B51">
        <v>10</v>
      </c>
      <c r="C51">
        <f>A51/$A$27</f>
        <v>0.64082484990864019</v>
      </c>
    </row>
    <row r="52" spans="1:5">
      <c r="A52">
        <f>A50+2.72</f>
        <v>55.15</v>
      </c>
      <c r="B52">
        <v>10</v>
      </c>
      <c r="C52">
        <f>A52/$A$28</f>
        <v>0.81186515530693371</v>
      </c>
    </row>
    <row r="53" spans="1:5">
      <c r="A53">
        <v>47.28</v>
      </c>
      <c r="B53">
        <v>12</v>
      </c>
      <c r="C53">
        <f>A53/$A$26</f>
        <v>0.65249792989235444</v>
      </c>
      <c r="D53">
        <f t="shared" ref="D53" si="22">AVERAGE(C53:C55)</f>
        <v>0.65738668872034722</v>
      </c>
      <c r="E53">
        <f t="shared" ref="E53" si="23">STDEV(C53:C55)</f>
        <v>3.2336006367410318E-2</v>
      </c>
    </row>
    <row r="54" spans="1:5">
      <c r="A54">
        <f>A53+0.82</f>
        <v>48.1</v>
      </c>
      <c r="B54">
        <v>12</v>
      </c>
      <c r="C54">
        <f>A54/$A$27</f>
        <v>0.62777342730357621</v>
      </c>
    </row>
    <row r="55" spans="1:5">
      <c r="A55">
        <f>A53-0.28</f>
        <v>47</v>
      </c>
      <c r="B55">
        <v>12</v>
      </c>
      <c r="C55">
        <f>A55/$A$28</f>
        <v>0.69188870896511123</v>
      </c>
    </row>
    <row r="56" spans="1:5">
      <c r="A56">
        <v>47.53</v>
      </c>
      <c r="B56">
        <v>14</v>
      </c>
      <c r="C56">
        <f>A56/$A$26</f>
        <v>0.65594810930168379</v>
      </c>
      <c r="D56">
        <f t="shared" ref="D56" si="24">AVERAGE(C56:C58)</f>
        <v>0.65840012454856434</v>
      </c>
      <c r="E56">
        <f t="shared" ref="E56" si="25">STDEV(C56:C58)</f>
        <v>2.5285803431994814E-2</v>
      </c>
    </row>
    <row r="57" spans="1:5">
      <c r="A57">
        <f>A56+1.08</f>
        <v>48.61</v>
      </c>
      <c r="B57">
        <v>14</v>
      </c>
      <c r="C57">
        <f>A57/$A$27</f>
        <v>0.6344296528321588</v>
      </c>
    </row>
    <row r="58" spans="1:5">
      <c r="A58">
        <f>A56-1.01</f>
        <v>46.52</v>
      </c>
      <c r="B58">
        <v>14</v>
      </c>
      <c r="C58">
        <f>A58/$A$28</f>
        <v>0.68482261151185053</v>
      </c>
    </row>
    <row r="59" spans="1:5">
      <c r="A59">
        <v>38.89</v>
      </c>
      <c r="B59">
        <v>16</v>
      </c>
      <c r="C59">
        <f>A59/$A$26</f>
        <v>0.5367099089152636</v>
      </c>
      <c r="D59">
        <f t="shared" ref="D59" si="26">AVERAGE(C59:C61)</f>
        <v>0.53930532137147458</v>
      </c>
      <c r="E59">
        <f t="shared" ref="E59" si="27">STDEV(C59:C61)</f>
        <v>2.933452894420532E-2</v>
      </c>
    </row>
    <row r="60" spans="1:5">
      <c r="A60">
        <f>A59+0.29</f>
        <v>39.18</v>
      </c>
      <c r="B60">
        <v>16</v>
      </c>
      <c r="C60">
        <f>A60/$A$27</f>
        <v>0.51135473766640571</v>
      </c>
    </row>
    <row r="61" spans="1:5">
      <c r="A61">
        <f>A59-0.18</f>
        <v>38.71</v>
      </c>
      <c r="B61">
        <v>16</v>
      </c>
      <c r="C61">
        <f>A61/$A$28</f>
        <v>0.56985131753275442</v>
      </c>
    </row>
    <row r="62" spans="1:5">
      <c r="A62">
        <v>35.700000000000003</v>
      </c>
      <c r="B62">
        <v>18</v>
      </c>
      <c r="C62">
        <f>A62/$A$26</f>
        <v>0.49268561965222202</v>
      </c>
      <c r="D62">
        <f t="shared" ref="D62" si="28">AVERAGE(C62:C64)</f>
        <v>0.50581451079406126</v>
      </c>
      <c r="E62">
        <f t="shared" ref="E62" si="29">STDEV(C62:C64)</f>
        <v>1.7392963497734778E-2</v>
      </c>
    </row>
    <row r="63" spans="1:5">
      <c r="A63">
        <f>A62+2.55</f>
        <v>38.25</v>
      </c>
      <c r="B63">
        <v>18</v>
      </c>
      <c r="C63">
        <f>A63/$A$27</f>
        <v>0.49921691464369622</v>
      </c>
    </row>
    <row r="64" spans="1:5">
      <c r="A64">
        <f>A62+0</f>
        <v>35.700000000000003</v>
      </c>
      <c r="B64">
        <v>18</v>
      </c>
      <c r="C64">
        <f>A64/$A$28</f>
        <v>0.52554099808626542</v>
      </c>
    </row>
    <row r="65" spans="1:5">
      <c r="A65">
        <v>29.32</v>
      </c>
      <c r="B65">
        <v>20</v>
      </c>
      <c r="C65">
        <f>A65/$A$26</f>
        <v>0.40463704112613857</v>
      </c>
      <c r="D65">
        <f t="shared" ref="D65" si="30">AVERAGE(C65:C67)</f>
        <v>0.40482099376610842</v>
      </c>
      <c r="E65">
        <f t="shared" ref="E65" si="31">STDEV(C65:C67)</f>
        <v>2.0694534253674596E-2</v>
      </c>
    </row>
    <row r="66" spans="1:5">
      <c r="A66">
        <f>A65+3.29</f>
        <v>32.61</v>
      </c>
      <c r="B66">
        <v>20</v>
      </c>
      <c r="C66">
        <f>A66/$A$27</f>
        <v>0.42560689115113554</v>
      </c>
    </row>
    <row r="67" spans="1:5">
      <c r="A67">
        <f>A65-3.22</f>
        <v>26.1</v>
      </c>
      <c r="B67">
        <v>20</v>
      </c>
      <c r="C67">
        <f>A67/$A$28</f>
        <v>0.38421904902105114</v>
      </c>
    </row>
    <row r="68" spans="1:5">
      <c r="A68">
        <v>29.21</v>
      </c>
      <c r="B68">
        <v>22</v>
      </c>
      <c r="C68">
        <f>A68/$A$26</f>
        <v>0.40311896218603371</v>
      </c>
      <c r="D68">
        <f t="shared" ref="D68" si="32">AVERAGE(C68:C70)</f>
        <v>0.40515242573112892</v>
      </c>
      <c r="E68">
        <f t="shared" ref="E68" si="33">STDEV(C68:C70)</f>
        <v>2.2135951058391747E-2</v>
      </c>
    </row>
    <row r="69" spans="1:5">
      <c r="A69">
        <f>A68+0.22</f>
        <v>29.43</v>
      </c>
      <c r="B69">
        <v>22</v>
      </c>
      <c r="C69">
        <f>A69/$A$27</f>
        <v>0.38410336726703215</v>
      </c>
    </row>
    <row r="70" spans="1:5">
      <c r="A70">
        <f>A68-0.12</f>
        <v>29.09</v>
      </c>
      <c r="B70">
        <v>22</v>
      </c>
      <c r="C70">
        <f>A70/$A$28</f>
        <v>0.42823494774032095</v>
      </c>
    </row>
    <row r="71" spans="1:5">
      <c r="A71">
        <v>18.329999999999998</v>
      </c>
      <c r="B71">
        <v>24</v>
      </c>
      <c r="C71">
        <f>A71/$A$26</f>
        <v>0.25296715429202321</v>
      </c>
      <c r="D71">
        <f t="shared" ref="D71" si="34">AVERAGE(C71:C73)</f>
        <v>0.25103593126455687</v>
      </c>
      <c r="E71">
        <f t="shared" ref="E71" si="35">STDEV(C71:C73)</f>
        <v>7.3656159968839251E-3</v>
      </c>
    </row>
    <row r="72" spans="1:5">
      <c r="A72">
        <f>A71+1.38</f>
        <v>19.709999999999997</v>
      </c>
      <c r="B72">
        <v>24</v>
      </c>
      <c r="C72">
        <f>A72/$A$27</f>
        <v>0.25724353954581047</v>
      </c>
    </row>
    <row r="73" spans="1:5">
      <c r="A73">
        <f>A71-1.83</f>
        <v>16.5</v>
      </c>
      <c r="B73">
        <v>24</v>
      </c>
      <c r="C73">
        <f>A73/$A$28</f>
        <v>0.24289709995583691</v>
      </c>
    </row>
    <row r="74" spans="1:5">
      <c r="A74">
        <v>11.53</v>
      </c>
      <c r="B74">
        <v>26</v>
      </c>
      <c r="C74">
        <f>A74/$A$26</f>
        <v>0.15912227435826665</v>
      </c>
      <c r="D74">
        <f t="shared" ref="D74" si="36">AVERAGE(C74:C76)</f>
        <v>0.16550448692936906</v>
      </c>
      <c r="E74">
        <f t="shared" ref="E74" si="37">STDEV(C74:C76)</f>
        <v>5.5576483398595798E-3</v>
      </c>
    </row>
    <row r="75" spans="1:5">
      <c r="A75">
        <f>A74+1.44</f>
        <v>12.969999999999999</v>
      </c>
      <c r="B75">
        <v>26</v>
      </c>
      <c r="C75">
        <f>A75/$A$27</f>
        <v>0.16927695118767946</v>
      </c>
    </row>
    <row r="76" spans="1:5">
      <c r="A76">
        <f>A74-0.11</f>
        <v>11.42</v>
      </c>
      <c r="B76">
        <v>26</v>
      </c>
      <c r="C76">
        <f>A76/$A$28</f>
        <v>0.16811423524216107</v>
      </c>
    </row>
    <row r="77" spans="1:5">
      <c r="A77">
        <v>9.6199999999999992</v>
      </c>
      <c r="B77">
        <v>28</v>
      </c>
      <c r="C77">
        <f>A77/$A$26</f>
        <v>0.13276290367099089</v>
      </c>
      <c r="D77">
        <f t="shared" ref="D77" si="38">AVERAGE(C77:C79)</f>
        <v>0.13092609034474734</v>
      </c>
      <c r="E77">
        <f t="shared" ref="E77" si="39">STDEV(C77:C79)</f>
        <v>2.1532091702743668E-3</v>
      </c>
    </row>
    <row r="78" spans="1:5">
      <c r="A78">
        <f>A77+0.23</f>
        <v>9.85</v>
      </c>
      <c r="B78">
        <v>28</v>
      </c>
      <c r="C78">
        <f>A78/$A$27</f>
        <v>0.12855651265987994</v>
      </c>
    </row>
    <row r="79" spans="1:5">
      <c r="A79">
        <f>A77-0.69</f>
        <v>8.93</v>
      </c>
      <c r="B79">
        <v>28</v>
      </c>
      <c r="C79">
        <f>A79/$A$28</f>
        <v>0.13145885470337113</v>
      </c>
    </row>
    <row r="80" spans="1:5">
      <c r="A80">
        <v>9.4600000000000009</v>
      </c>
      <c r="B80">
        <v>30</v>
      </c>
      <c r="C80">
        <f>A80/$A$26</f>
        <v>0.13055478884902016</v>
      </c>
      <c r="D80">
        <f t="shared" ref="D80" si="40">AVERAGE(C80:C82)</f>
        <v>0.12918285933370885</v>
      </c>
      <c r="E80">
        <f t="shared" ref="E80" si="41">STDEV(C80:C82)</f>
        <v>2.0227779990460719E-3</v>
      </c>
    </row>
    <row r="81" spans="1:5">
      <c r="A81">
        <f>A80+0.26</f>
        <v>9.7200000000000006</v>
      </c>
      <c r="B81">
        <v>30</v>
      </c>
      <c r="C81">
        <f>A81/$A$27</f>
        <v>0.12685982772122165</v>
      </c>
    </row>
    <row r="82" spans="1:5">
      <c r="A82">
        <f>A80-0.62</f>
        <v>8.8400000000000016</v>
      </c>
      <c r="B82">
        <v>30</v>
      </c>
      <c r="C82">
        <f>A82/$A$28</f>
        <v>0.13013396143088476</v>
      </c>
    </row>
    <row r="83" spans="1:5">
      <c r="A83">
        <v>9.5399999999999991</v>
      </c>
      <c r="B83">
        <v>32</v>
      </c>
      <c r="C83">
        <f>A83/$A$26</f>
        <v>0.13165884626000551</v>
      </c>
      <c r="D83">
        <f t="shared" ref="D83" si="42">AVERAGE(C83:C85)</f>
        <v>0.13792761311581958</v>
      </c>
      <c r="E83">
        <f t="shared" ref="E83" si="43">STDEV(C83:C85)</f>
        <v>5.8738777055066813E-3</v>
      </c>
    </row>
    <row r="84" spans="1:5">
      <c r="A84">
        <f>A83+1.44</f>
        <v>10.979999999999999</v>
      </c>
      <c r="B84">
        <v>32</v>
      </c>
      <c r="C84">
        <f>A84/$A$27</f>
        <v>0.14330462020360218</v>
      </c>
    </row>
    <row r="85" spans="1:5">
      <c r="A85">
        <f>A83-0.11</f>
        <v>9.43</v>
      </c>
      <c r="B85">
        <v>32</v>
      </c>
      <c r="C85">
        <f>A85/$A$28</f>
        <v>0.13881937288385104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BFBA-D3E9-4E3A-9737-8719C3B7C878}">
  <dimension ref="A1:E34"/>
  <sheetViews>
    <sheetView workbookViewId="0">
      <selection activeCell="B34" sqref="B34"/>
    </sheetView>
  </sheetViews>
  <sheetFormatPr defaultRowHeight="14.4"/>
  <sheetData>
    <row r="1" spans="1:5">
      <c r="A1" t="s">
        <v>88</v>
      </c>
      <c r="B1" t="s">
        <v>45</v>
      </c>
      <c r="C1" t="s">
        <v>95</v>
      </c>
      <c r="D1" t="s">
        <v>47</v>
      </c>
      <c r="E1" t="s">
        <v>96</v>
      </c>
    </row>
    <row r="2" spans="1:5">
      <c r="A2">
        <v>0</v>
      </c>
      <c r="B2">
        <v>0</v>
      </c>
      <c r="C2">
        <v>0</v>
      </c>
      <c r="D2">
        <v>0</v>
      </c>
      <c r="E2">
        <v>0</v>
      </c>
    </row>
    <row r="3" spans="1:5">
      <c r="A3">
        <v>3600</v>
      </c>
      <c r="B3">
        <v>-0.21130909366720677</v>
      </c>
      <c r="C3">
        <v>-0.15412411128706507</v>
      </c>
      <c r="D3">
        <v>-0.29100359507049361</v>
      </c>
      <c r="E3">
        <v>-0.20313877558228891</v>
      </c>
    </row>
    <row r="4" spans="1:5">
      <c r="A4">
        <v>7200</v>
      </c>
      <c r="B4">
        <v>-0.17870904217033823</v>
      </c>
      <c r="C4">
        <v>-0.15263739850625424</v>
      </c>
      <c r="D4">
        <v>-0.36356402050590592</v>
      </c>
      <c r="E4">
        <v>-0.34957578554362595</v>
      </c>
    </row>
    <row r="5" spans="1:5">
      <c r="A5">
        <v>10800</v>
      </c>
      <c r="B5">
        <v>-0.13344069378994031</v>
      </c>
      <c r="C5">
        <v>-0.24375951741081775</v>
      </c>
      <c r="D5">
        <v>-0.46776287438283748</v>
      </c>
      <c r="E5">
        <v>-0.45664645424558664</v>
      </c>
    </row>
    <row r="6" spans="1:5">
      <c r="A6">
        <v>14400</v>
      </c>
      <c r="B6">
        <v>-0.27485464391130537</v>
      </c>
      <c r="C6">
        <v>-0.49417350267104088</v>
      </c>
      <c r="D6">
        <v>-0.64959038822013082</v>
      </c>
      <c r="E6">
        <v>-0.70267936733688885</v>
      </c>
    </row>
    <row r="7" spans="1:5">
      <c r="A7">
        <v>18000</v>
      </c>
      <c r="B7">
        <v>-0.29960471740868694</v>
      </c>
      <c r="C7">
        <v>-0.48119305042581401</v>
      </c>
      <c r="D7">
        <v>-0.71441064569010837</v>
      </c>
      <c r="E7">
        <v>-0.83835601666103798</v>
      </c>
    </row>
    <row r="8" spans="1:5">
      <c r="A8">
        <v>21600</v>
      </c>
      <c r="B8">
        <v>-0.34405647997952088</v>
      </c>
      <c r="C8">
        <v>-0.61454022331251312</v>
      </c>
      <c r="D8">
        <v>-0.84339537975635781</v>
      </c>
      <c r="E8">
        <v>-1.1439234803366924</v>
      </c>
    </row>
    <row r="9" spans="1:5">
      <c r="A9">
        <v>28800</v>
      </c>
      <c r="B9">
        <v>-0.34137311522092384</v>
      </c>
      <c r="D9">
        <v>-0.96822363805570655</v>
      </c>
    </row>
    <row r="10" spans="1:5">
      <c r="A10">
        <v>36000</v>
      </c>
      <c r="B10">
        <v>-0.38263252860462882</v>
      </c>
      <c r="D10">
        <v>-1.0416573155839826</v>
      </c>
    </row>
    <row r="11" spans="1:5">
      <c r="A11">
        <v>43200</v>
      </c>
      <c r="B11">
        <v>-0.51029666316122113</v>
      </c>
      <c r="D11">
        <v>-1.0605694100654401</v>
      </c>
    </row>
    <row r="12" spans="1:5">
      <c r="A12">
        <v>50400</v>
      </c>
      <c r="B12">
        <v>-0.50370815599712671</v>
      </c>
    </row>
    <row r="13" spans="1:5">
      <c r="A13">
        <v>57600</v>
      </c>
      <c r="B13">
        <v>-0.76112016414615113</v>
      </c>
    </row>
    <row r="14" spans="1:5">
      <c r="A14">
        <v>64800</v>
      </c>
      <c r="B14">
        <v>-0.87584976231564415</v>
      </c>
    </row>
    <row r="28" spans="1:2">
      <c r="A28" t="s">
        <v>117</v>
      </c>
      <c r="B28" t="s">
        <v>118</v>
      </c>
    </row>
    <row r="29" spans="1:2">
      <c r="A29" t="s">
        <v>119</v>
      </c>
      <c r="B29">
        <v>3.29</v>
      </c>
    </row>
    <row r="30" spans="1:2">
      <c r="A30" t="s">
        <v>122</v>
      </c>
      <c r="B30">
        <v>3.26</v>
      </c>
    </row>
    <row r="31" spans="1:2">
      <c r="A31" t="s">
        <v>120</v>
      </c>
      <c r="B31">
        <v>1.66</v>
      </c>
    </row>
    <row r="32" spans="1:2">
      <c r="A32" t="s">
        <v>121</v>
      </c>
      <c r="B32">
        <v>1.65</v>
      </c>
    </row>
    <row r="33" spans="1:2">
      <c r="A33" t="s">
        <v>123</v>
      </c>
      <c r="B33">
        <v>5.44</v>
      </c>
    </row>
    <row r="34" spans="1:2">
      <c r="A34" t="s">
        <v>124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2FFEF-021C-490F-B2B0-93D40BE1A0DC}">
  <dimension ref="A1:P46"/>
  <sheetViews>
    <sheetView workbookViewId="0">
      <selection activeCell="C35" sqref="C35"/>
    </sheetView>
  </sheetViews>
  <sheetFormatPr defaultRowHeight="14.4"/>
  <sheetData>
    <row r="1" spans="1:16">
      <c r="A1" t="s">
        <v>39</v>
      </c>
      <c r="B1" t="s">
        <v>41</v>
      </c>
      <c r="C1" t="s">
        <v>40</v>
      </c>
      <c r="D1" t="s">
        <v>42</v>
      </c>
      <c r="E1" t="s">
        <v>43</v>
      </c>
      <c r="H1" t="s">
        <v>43</v>
      </c>
      <c r="I1" t="s">
        <v>44</v>
      </c>
      <c r="K1" t="s">
        <v>43</v>
      </c>
      <c r="L1" t="s">
        <v>44</v>
      </c>
      <c r="O1" t="s">
        <v>89</v>
      </c>
      <c r="P1" t="s">
        <v>86</v>
      </c>
    </row>
    <row r="2" spans="1:16">
      <c r="A2">
        <v>72.459999999999994</v>
      </c>
      <c r="B2">
        <v>22.5</v>
      </c>
      <c r="C2">
        <v>62</v>
      </c>
      <c r="D2">
        <v>14.9</v>
      </c>
      <c r="E2">
        <v>0</v>
      </c>
      <c r="F2">
        <v>1</v>
      </c>
      <c r="H2">
        <v>0</v>
      </c>
      <c r="I2">
        <f t="shared" ref="I2:I11" si="0">A2/72.46</f>
        <v>1</v>
      </c>
      <c r="K2">
        <v>0</v>
      </c>
      <c r="L2">
        <f t="shared" ref="L2:L11" si="1">(A2-9.73)/(72.46-9.73)</f>
        <v>1</v>
      </c>
      <c r="O2">
        <f>K2*3600</f>
        <v>0</v>
      </c>
      <c r="P2">
        <f>LN(L2)</f>
        <v>0</v>
      </c>
    </row>
    <row r="3" spans="1:16">
      <c r="A3">
        <v>63.5</v>
      </c>
      <c r="B3">
        <v>20.5</v>
      </c>
      <c r="C3">
        <v>63.62</v>
      </c>
      <c r="D3">
        <v>13.3</v>
      </c>
      <c r="E3">
        <v>1</v>
      </c>
      <c r="F3">
        <v>0.8719047990821901</v>
      </c>
      <c r="H3">
        <v>1</v>
      </c>
      <c r="I3">
        <f t="shared" si="0"/>
        <v>0.87634556996963853</v>
      </c>
      <c r="K3">
        <v>1</v>
      </c>
      <c r="L3">
        <f t="shared" si="1"/>
        <v>0.8571656304798343</v>
      </c>
      <c r="O3">
        <f t="shared" ref="O3:O11" si="2">K3*3600</f>
        <v>3600</v>
      </c>
      <c r="P3">
        <f t="shared" ref="P3:P11" si="3">LN(L3)</f>
        <v>-0.15412411128706507</v>
      </c>
    </row>
    <row r="4" spans="1:16">
      <c r="A4">
        <v>63.58</v>
      </c>
      <c r="B4">
        <v>20.5</v>
      </c>
      <c r="C4">
        <v>64.5</v>
      </c>
      <c r="D4">
        <v>13.6</v>
      </c>
      <c r="E4">
        <v>2</v>
      </c>
      <c r="F4">
        <v>0.87300358352871843</v>
      </c>
      <c r="H4">
        <v>2</v>
      </c>
      <c r="I4">
        <f t="shared" si="0"/>
        <v>0.87744962738062382</v>
      </c>
      <c r="K4">
        <v>2</v>
      </c>
      <c r="L4">
        <f t="shared" si="1"/>
        <v>0.85844093735055005</v>
      </c>
      <c r="O4">
        <f t="shared" si="2"/>
        <v>7200</v>
      </c>
      <c r="P4">
        <f t="shared" si="3"/>
        <v>-0.15263739850625424</v>
      </c>
    </row>
    <row r="5" spans="1:16">
      <c r="A5">
        <v>58.89</v>
      </c>
      <c r="B5">
        <v>51.5</v>
      </c>
      <c r="C5">
        <v>29.5</v>
      </c>
      <c r="D5">
        <v>28.6</v>
      </c>
      <c r="E5">
        <v>3</v>
      </c>
      <c r="F5">
        <v>0.8085873453509933</v>
      </c>
      <c r="H5">
        <v>3</v>
      </c>
      <c r="I5">
        <f t="shared" si="0"/>
        <v>0.8127242616616065</v>
      </c>
      <c r="K5">
        <v>3</v>
      </c>
      <c r="L5">
        <f t="shared" si="1"/>
        <v>0.78367607205483825</v>
      </c>
      <c r="O5">
        <f t="shared" si="2"/>
        <v>10800</v>
      </c>
      <c r="P5">
        <f t="shared" si="3"/>
        <v>-0.24375951741081775</v>
      </c>
    </row>
    <row r="6" spans="1:16">
      <c r="A6">
        <v>48</v>
      </c>
      <c r="B6">
        <v>47.25</v>
      </c>
      <c r="C6">
        <v>25</v>
      </c>
      <c r="D6">
        <v>22.9</v>
      </c>
      <c r="E6">
        <v>4</v>
      </c>
      <c r="F6">
        <v>0.66526042465241864</v>
      </c>
      <c r="H6">
        <v>4</v>
      </c>
      <c r="I6">
        <f t="shared" si="0"/>
        <v>0.66243444659122275</v>
      </c>
      <c r="K6">
        <v>4</v>
      </c>
      <c r="L6">
        <f t="shared" si="1"/>
        <v>0.61007492427865462</v>
      </c>
      <c r="O6">
        <f t="shared" si="2"/>
        <v>14400</v>
      </c>
      <c r="P6">
        <f t="shared" si="3"/>
        <v>-0.49417350267104088</v>
      </c>
    </row>
    <row r="7" spans="1:16">
      <c r="A7">
        <v>43.66</v>
      </c>
      <c r="B7">
        <v>57.5</v>
      </c>
      <c r="C7">
        <v>27.7</v>
      </c>
      <c r="D7">
        <v>21</v>
      </c>
      <c r="E7">
        <v>5</v>
      </c>
      <c r="F7">
        <v>0.60194953462483713</v>
      </c>
      <c r="H7">
        <v>5</v>
      </c>
      <c r="I7">
        <f t="shared" si="0"/>
        <v>0.60253933204526633</v>
      </c>
      <c r="K7">
        <v>5</v>
      </c>
      <c r="L7">
        <f t="shared" si="1"/>
        <v>0.54088952654232425</v>
      </c>
      <c r="O7">
        <f t="shared" si="2"/>
        <v>18000</v>
      </c>
      <c r="P7">
        <f t="shared" si="3"/>
        <v>-0.61454022331251312</v>
      </c>
    </row>
    <row r="8" spans="1:16">
      <c r="A8">
        <v>48.5</v>
      </c>
      <c r="B8">
        <v>41.02</v>
      </c>
      <c r="C8">
        <v>23</v>
      </c>
      <c r="D8">
        <v>21.9</v>
      </c>
      <c r="E8">
        <v>6</v>
      </c>
      <c r="F8">
        <v>0.66656424213610876</v>
      </c>
      <c r="H8">
        <v>6</v>
      </c>
      <c r="I8">
        <f t="shared" si="0"/>
        <v>0.66933480540988133</v>
      </c>
      <c r="K8">
        <v>6</v>
      </c>
      <c r="L8">
        <f t="shared" si="1"/>
        <v>0.61804559222062816</v>
      </c>
      <c r="O8">
        <f t="shared" si="2"/>
        <v>21600</v>
      </c>
      <c r="P8">
        <f t="shared" si="3"/>
        <v>-0.48119305042581401</v>
      </c>
    </row>
    <row r="9" spans="1:16">
      <c r="A9">
        <v>12.55</v>
      </c>
      <c r="B9">
        <v>48</v>
      </c>
      <c r="C9">
        <v>23</v>
      </c>
      <c r="D9">
        <v>21.5</v>
      </c>
      <c r="E9">
        <v>8</v>
      </c>
      <c r="F9">
        <v>0.17383457194399796</v>
      </c>
      <c r="H9">
        <v>8</v>
      </c>
      <c r="I9">
        <f t="shared" si="0"/>
        <v>0.17319900634833013</v>
      </c>
      <c r="K9">
        <v>8</v>
      </c>
      <c r="L9">
        <f t="shared" si="1"/>
        <v>4.4954567192730763E-2</v>
      </c>
      <c r="O9">
        <f t="shared" si="2"/>
        <v>28800</v>
      </c>
      <c r="P9">
        <f t="shared" si="3"/>
        <v>-3.1021029171586294</v>
      </c>
    </row>
    <row r="10" spans="1:16">
      <c r="A10">
        <v>9.99</v>
      </c>
      <c r="B10">
        <v>30</v>
      </c>
      <c r="C10">
        <v>37</v>
      </c>
      <c r="D10">
        <v>13.7</v>
      </c>
      <c r="E10">
        <v>10</v>
      </c>
      <c r="F10">
        <v>0.13761229117340132</v>
      </c>
      <c r="H10">
        <v>10</v>
      </c>
      <c r="I10">
        <f t="shared" si="0"/>
        <v>0.13786916919679826</v>
      </c>
      <c r="K10">
        <v>10</v>
      </c>
      <c r="L10">
        <f t="shared" si="1"/>
        <v>4.1447473298262365E-3</v>
      </c>
      <c r="O10">
        <f t="shared" si="2"/>
        <v>36000</v>
      </c>
      <c r="P10">
        <f t="shared" si="3"/>
        <v>-5.4859134500752615</v>
      </c>
    </row>
    <row r="11" spans="1:16">
      <c r="A11">
        <v>9.73</v>
      </c>
      <c r="B11">
        <v>30</v>
      </c>
      <c r="C11">
        <v>37</v>
      </c>
      <c r="D11">
        <v>13.7</v>
      </c>
      <c r="E11">
        <v>12</v>
      </c>
      <c r="F11">
        <v>0.13138949241803621</v>
      </c>
      <c r="H11">
        <v>12</v>
      </c>
      <c r="I11">
        <f t="shared" si="0"/>
        <v>0.13428098261109581</v>
      </c>
      <c r="K11">
        <v>12</v>
      </c>
      <c r="L11">
        <f t="shared" si="1"/>
        <v>0</v>
      </c>
      <c r="O11">
        <f t="shared" si="2"/>
        <v>43200</v>
      </c>
      <c r="P11" t="e">
        <f t="shared" si="3"/>
        <v>#NUM!</v>
      </c>
    </row>
    <row r="16" spans="1:16">
      <c r="A16" t="s">
        <v>39</v>
      </c>
      <c r="B16" t="s">
        <v>43</v>
      </c>
      <c r="C16" t="s">
        <v>44</v>
      </c>
    </row>
    <row r="17" spans="1:5">
      <c r="A17">
        <v>72.459999999999994</v>
      </c>
      <c r="B17">
        <v>0</v>
      </c>
      <c r="C17">
        <f>A17/$A$17</f>
        <v>1</v>
      </c>
      <c r="D17">
        <f>AVERAGE(C17:C19)</f>
        <v>1</v>
      </c>
      <c r="E17">
        <f>STDEV(C17:C19)</f>
        <v>0</v>
      </c>
    </row>
    <row r="18" spans="1:5">
      <c r="A18">
        <f>A17+3.21</f>
        <v>75.669999999999987</v>
      </c>
      <c r="B18">
        <v>0</v>
      </c>
      <c r="C18">
        <f>A18/$A$18</f>
        <v>1</v>
      </c>
    </row>
    <row r="19" spans="1:5">
      <c r="A19">
        <f>A17-1.98</f>
        <v>70.47999999999999</v>
      </c>
      <c r="B19">
        <v>0</v>
      </c>
      <c r="C19">
        <f>A19/$A$19</f>
        <v>1</v>
      </c>
    </row>
    <row r="20" spans="1:5">
      <c r="A20">
        <v>63.5</v>
      </c>
      <c r="B20">
        <v>1</v>
      </c>
      <c r="C20">
        <f>A20/$A$17</f>
        <v>0.87634556996963853</v>
      </c>
      <c r="D20">
        <f t="shared" ref="D20" si="4">AVERAGE(C20:C22)</f>
        <v>0.8719047990821901</v>
      </c>
      <c r="E20">
        <f t="shared" ref="E20" si="5">STDEV(C20:C22)</f>
        <v>1.1386461854451748E-2</v>
      </c>
    </row>
    <row r="21" spans="1:5">
      <c r="A21">
        <f>A20+3.12</f>
        <v>66.62</v>
      </c>
      <c r="B21">
        <v>1</v>
      </c>
      <c r="C21">
        <f>A21/$A$18</f>
        <v>0.88040174441654573</v>
      </c>
    </row>
    <row r="22" spans="1:5">
      <c r="A22">
        <f>A20-2.96</f>
        <v>60.54</v>
      </c>
      <c r="B22">
        <v>1</v>
      </c>
      <c r="C22">
        <f>A22/$A$19</f>
        <v>0.85896708286038603</v>
      </c>
    </row>
    <row r="23" spans="1:5">
      <c r="A23">
        <v>63.58</v>
      </c>
      <c r="B23">
        <v>2</v>
      </c>
      <c r="C23">
        <f>A23/$A$17</f>
        <v>0.87744962738062382</v>
      </c>
      <c r="D23">
        <f t="shared" ref="D23" si="6">AVERAGE(C23:C25)</f>
        <v>0.87300358352871843</v>
      </c>
      <c r="E23">
        <f t="shared" ref="E23" si="7">STDEV(C23:C25)</f>
        <v>1.1351379299219E-2</v>
      </c>
    </row>
    <row r="24" spans="1:5">
      <c r="A24">
        <f>A23+3.12</f>
        <v>66.7</v>
      </c>
      <c r="B24">
        <v>2</v>
      </c>
      <c r="C24">
        <f>A24/$A$18</f>
        <v>0.88145896656534972</v>
      </c>
    </row>
    <row r="25" spans="1:5">
      <c r="A25">
        <f>A23-2.96</f>
        <v>60.62</v>
      </c>
      <c r="B25">
        <v>2</v>
      </c>
      <c r="C25">
        <f>A25/$A$19</f>
        <v>0.86010215664018175</v>
      </c>
    </row>
    <row r="26" spans="1:5">
      <c r="A26">
        <v>58.89</v>
      </c>
      <c r="B26">
        <v>3</v>
      </c>
      <c r="C26">
        <f>A26/$A$17</f>
        <v>0.8127242616616065</v>
      </c>
      <c r="D26">
        <f t="shared" ref="D26" si="8">AVERAGE(C26:C28)</f>
        <v>0.8085873453509933</v>
      </c>
      <c r="E26">
        <f t="shared" ref="E26" si="9">STDEV(C26:C28)</f>
        <v>1.3446498668109135E-2</v>
      </c>
    </row>
    <row r="27" spans="1:5">
      <c r="A27">
        <f>A26+3.12</f>
        <v>62.01</v>
      </c>
      <c r="B27">
        <v>3</v>
      </c>
      <c r="C27">
        <f>A27/$A$18</f>
        <v>0.81947931809171415</v>
      </c>
    </row>
    <row r="28" spans="1:5">
      <c r="A28">
        <f>A26-2.96</f>
        <v>55.93</v>
      </c>
      <c r="B28">
        <v>3</v>
      </c>
      <c r="C28">
        <f>A28/$A$19</f>
        <v>0.7935584562996596</v>
      </c>
    </row>
    <row r="29" spans="1:5">
      <c r="A29">
        <v>48</v>
      </c>
      <c r="B29">
        <v>4</v>
      </c>
      <c r="C29">
        <f>A29/$A$17</f>
        <v>0.66243444659122275</v>
      </c>
      <c r="D29">
        <f t="shared" ref="D29" si="10">AVERAGE(C29:C31)</f>
        <v>0.66526042465241864</v>
      </c>
      <c r="E29">
        <f t="shared" ref="E29" si="11">STDEV(C29:C31)</f>
        <v>2.6809702138492759E-3</v>
      </c>
    </row>
    <row r="30" spans="1:5">
      <c r="A30">
        <f>A29+2.53</f>
        <v>50.53</v>
      </c>
      <c r="B30">
        <v>4</v>
      </c>
      <c r="C30">
        <f>A30/$A$18</f>
        <v>0.66776793973833759</v>
      </c>
    </row>
    <row r="31" spans="1:5">
      <c r="A31">
        <f>A29-1.09</f>
        <v>46.91</v>
      </c>
      <c r="B31">
        <v>4</v>
      </c>
      <c r="C31">
        <f>A31/$A$19</f>
        <v>0.6655788876276959</v>
      </c>
    </row>
    <row r="32" spans="1:5">
      <c r="A32">
        <v>43.66</v>
      </c>
      <c r="B32">
        <v>5</v>
      </c>
      <c r="C32">
        <f>A32/$A$17</f>
        <v>0.60253933204526633</v>
      </c>
      <c r="D32">
        <f t="shared" ref="D32" si="12">AVERAGE(C32:C34)</f>
        <v>0.60194953462483713</v>
      </c>
      <c r="E32">
        <f t="shared" ref="E32" si="13">STDEV(C32:C34)</f>
        <v>1.3848543994629866E-2</v>
      </c>
    </row>
    <row r="33" spans="1:5">
      <c r="A33">
        <f>A32+0.82</f>
        <v>44.48</v>
      </c>
      <c r="B33">
        <v>5</v>
      </c>
      <c r="C33">
        <f>A33/$A$18</f>
        <v>0.5878155147350338</v>
      </c>
    </row>
    <row r="34" spans="1:5">
      <c r="A34">
        <f>A32-0.28</f>
        <v>43.379999999999995</v>
      </c>
      <c r="B34">
        <v>5</v>
      </c>
      <c r="C34">
        <f>A34/$A$19</f>
        <v>0.61549375709421117</v>
      </c>
    </row>
    <row r="35" spans="1:5">
      <c r="A35">
        <v>48.5</v>
      </c>
      <c r="B35">
        <v>6</v>
      </c>
      <c r="C35">
        <f>A35/$A$17</f>
        <v>0.66933480540988133</v>
      </c>
      <c r="D35">
        <f t="shared" ref="D35" si="14">AVERAGE(C35:C37)</f>
        <v>0.66656424213610876</v>
      </c>
      <c r="E35">
        <f t="shared" ref="E35" si="15">STDEV(C35:C37)</f>
        <v>2.0546182830911704E-2</v>
      </c>
    </row>
    <row r="36" spans="1:5">
      <c r="A36">
        <f>A35+0.29</f>
        <v>48.79</v>
      </c>
      <c r="B36">
        <v>6</v>
      </c>
      <c r="C36">
        <f>A36/$A$18</f>
        <v>0.64477335800185021</v>
      </c>
    </row>
    <row r="37" spans="1:5">
      <c r="A37">
        <f>A35-0.18</f>
        <v>48.32</v>
      </c>
      <c r="B37">
        <v>6</v>
      </c>
      <c r="C37">
        <f>A37/$A$19</f>
        <v>0.68558456299659487</v>
      </c>
    </row>
    <row r="38" spans="1:5">
      <c r="A38">
        <v>12.55</v>
      </c>
      <c r="B38">
        <v>8</v>
      </c>
      <c r="C38">
        <f>A38/$A$17</f>
        <v>0.17319900634833013</v>
      </c>
      <c r="D38">
        <f t="shared" ref="D38" si="16">AVERAGE(C38:C40)</f>
        <v>0.17383457194399796</v>
      </c>
      <c r="E38">
        <f t="shared" ref="E38" si="17">STDEV(C38:C40)</f>
        <v>1.49683804719139E-2</v>
      </c>
    </row>
    <row r="39" spans="1:5">
      <c r="A39">
        <f>A38+1.76</f>
        <v>14.31</v>
      </c>
      <c r="B39">
        <v>8</v>
      </c>
      <c r="C39">
        <f>A39/$A$18</f>
        <v>0.18911061186731865</v>
      </c>
    </row>
    <row r="40" spans="1:5">
      <c r="A40">
        <f>A38-1.33</f>
        <v>11.22</v>
      </c>
      <c r="B40">
        <v>8</v>
      </c>
      <c r="C40">
        <f>A40/$A$19</f>
        <v>0.15919409761634509</v>
      </c>
    </row>
    <row r="41" spans="1:5">
      <c r="A41">
        <v>9.99</v>
      </c>
      <c r="B41">
        <v>10</v>
      </c>
      <c r="C41">
        <f>A41/$A$17</f>
        <v>0.13786916919679826</v>
      </c>
      <c r="D41">
        <f t="shared" ref="D41" si="18">AVERAGE(C41:C43)</f>
        <v>0.13761229117340132</v>
      </c>
      <c r="E41">
        <f t="shared" ref="E41" si="19">STDEV(C41:C43)</f>
        <v>2.5655387162844905E-3</v>
      </c>
    </row>
    <row r="42" spans="1:5">
      <c r="A42">
        <f>A41+0.22</f>
        <v>10.210000000000001</v>
      </c>
      <c r="B42">
        <v>10</v>
      </c>
      <c r="C42">
        <f>A42/$A$18</f>
        <v>0.13492797674111276</v>
      </c>
    </row>
    <row r="43" spans="1:5">
      <c r="A43">
        <f>A41-0.12</f>
        <v>9.870000000000001</v>
      </c>
      <c r="B43">
        <v>10</v>
      </c>
      <c r="C43">
        <f>A43/$A$19</f>
        <v>0.14003972758229288</v>
      </c>
    </row>
    <row r="44" spans="1:5">
      <c r="A44">
        <v>9.73</v>
      </c>
      <c r="B44">
        <v>12</v>
      </c>
      <c r="C44">
        <f>A44/$A$17</f>
        <v>0.13428098261109581</v>
      </c>
      <c r="D44">
        <f t="shared" ref="D44" si="20">AVERAGE(C44:C46)</f>
        <v>0.13138949241803621</v>
      </c>
      <c r="E44">
        <f t="shared" ref="E44" si="21">STDEV(C44:C46)</f>
        <v>3.0156782169394008E-3</v>
      </c>
    </row>
    <row r="45" spans="1:5">
      <c r="A45">
        <f>A44+0.23</f>
        <v>9.9600000000000009</v>
      </c>
      <c r="B45">
        <v>12</v>
      </c>
      <c r="C45">
        <f>A45/$A$18</f>
        <v>0.13162415752610021</v>
      </c>
    </row>
    <row r="46" spans="1:5">
      <c r="A46">
        <f>A44-0.69</f>
        <v>9.0400000000000009</v>
      </c>
      <c r="B46">
        <v>12</v>
      </c>
      <c r="C46">
        <f>A46/$A$19</f>
        <v>0.12826333711691262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FF42A-5811-46DB-8301-2415B8FD6D1B}">
  <dimension ref="A1:Q82"/>
  <sheetViews>
    <sheetView topLeftCell="A90" workbookViewId="0">
      <selection activeCell="B1" sqref="B1:I19"/>
    </sheetView>
  </sheetViews>
  <sheetFormatPr defaultRowHeight="14.4"/>
  <sheetData>
    <row r="1" spans="1:17">
      <c r="A1" t="s">
        <v>39</v>
      </c>
      <c r="B1" t="s">
        <v>41</v>
      </c>
      <c r="C1" t="s">
        <v>40</v>
      </c>
      <c r="D1" t="s">
        <v>42</v>
      </c>
      <c r="E1" t="s">
        <v>43</v>
      </c>
      <c r="G1" t="s">
        <v>43</v>
      </c>
      <c r="H1" t="s">
        <v>44</v>
      </c>
      <c r="L1" t="s">
        <v>43</v>
      </c>
      <c r="M1" t="s">
        <v>44</v>
      </c>
      <c r="P1" t="s">
        <v>90</v>
      </c>
      <c r="Q1" t="s">
        <v>86</v>
      </c>
    </row>
    <row r="2" spans="1:17">
      <c r="A2">
        <v>79.317999999999998</v>
      </c>
      <c r="B2">
        <v>22.5</v>
      </c>
      <c r="C2">
        <v>60</v>
      </c>
      <c r="D2">
        <v>14.4</v>
      </c>
      <c r="E2">
        <v>0</v>
      </c>
      <c r="G2">
        <v>0</v>
      </c>
      <c r="H2">
        <f>A2/79.318</f>
        <v>1</v>
      </c>
      <c r="I2">
        <v>0</v>
      </c>
      <c r="L2">
        <v>0</v>
      </c>
      <c r="M2">
        <f>(A2-10.2491)/(79.318-10.2491)</f>
        <v>1</v>
      </c>
      <c r="P2">
        <f>L2*3600</f>
        <v>0</v>
      </c>
      <c r="Q2">
        <f>LN(M2)</f>
        <v>0</v>
      </c>
    </row>
    <row r="3" spans="1:17">
      <c r="A3">
        <v>61.878999999999998</v>
      </c>
      <c r="B3">
        <v>30</v>
      </c>
      <c r="C3">
        <v>41</v>
      </c>
      <c r="D3">
        <v>15.3</v>
      </c>
      <c r="E3">
        <v>1</v>
      </c>
      <c r="G3">
        <v>1</v>
      </c>
      <c r="H3">
        <f t="shared" ref="H3:H19" si="0">A3/79.318</f>
        <v>0.78013817796717011</v>
      </c>
      <c r="I3">
        <v>2.316504009611968E-2</v>
      </c>
      <c r="L3">
        <v>1</v>
      </c>
      <c r="M3">
        <f t="shared" ref="M3:M19" si="1">(A3-10.2491)/(79.318-10.2491)</f>
        <v>0.74751299065136412</v>
      </c>
      <c r="P3">
        <f t="shared" ref="P3:P18" si="2">L3*3600</f>
        <v>3600</v>
      </c>
      <c r="Q3">
        <f t="shared" ref="Q3:Q18" si="3">LN(M3)</f>
        <v>-0.29100359507049361</v>
      </c>
    </row>
    <row r="4" spans="1:17">
      <c r="A4">
        <v>58.2654</v>
      </c>
      <c r="B4">
        <v>35.5</v>
      </c>
      <c r="C4">
        <v>31</v>
      </c>
      <c r="D4">
        <v>15.8</v>
      </c>
      <c r="E4">
        <v>2</v>
      </c>
      <c r="G4">
        <v>2</v>
      </c>
      <c r="H4">
        <f t="shared" si="0"/>
        <v>0.7345797927330493</v>
      </c>
      <c r="I4">
        <v>8.8553115769550075E-3</v>
      </c>
      <c r="L4">
        <v>2</v>
      </c>
      <c r="M4">
        <f t="shared" si="1"/>
        <v>0.69519421910584944</v>
      </c>
      <c r="P4">
        <f t="shared" si="2"/>
        <v>7200</v>
      </c>
      <c r="Q4">
        <f t="shared" si="3"/>
        <v>-0.36356402050590592</v>
      </c>
    </row>
    <row r="5" spans="1:17">
      <c r="A5">
        <v>53.514000000000003</v>
      </c>
      <c r="B5">
        <v>38</v>
      </c>
      <c r="C5">
        <v>27.5</v>
      </c>
      <c r="D5">
        <v>16</v>
      </c>
      <c r="E5">
        <v>3</v>
      </c>
      <c r="G5">
        <v>3</v>
      </c>
      <c r="H5">
        <f t="shared" si="0"/>
        <v>0.67467661816989843</v>
      </c>
      <c r="I5">
        <v>1.2462036558329415E-2</v>
      </c>
      <c r="L5">
        <v>3</v>
      </c>
      <c r="M5">
        <f t="shared" si="1"/>
        <v>0.62640204201891159</v>
      </c>
      <c r="P5">
        <f t="shared" si="2"/>
        <v>10800</v>
      </c>
      <c r="Q5">
        <f t="shared" si="3"/>
        <v>-0.46776287438283748</v>
      </c>
    </row>
    <row r="6" spans="1:17">
      <c r="A6">
        <v>46.320999999999998</v>
      </c>
      <c r="B6">
        <v>34.5</v>
      </c>
      <c r="C6">
        <v>34.5</v>
      </c>
      <c r="D6">
        <v>15.9</v>
      </c>
      <c r="E6">
        <v>4</v>
      </c>
      <c r="G6">
        <v>4</v>
      </c>
      <c r="H6">
        <f t="shared" si="0"/>
        <v>0.58399102347512544</v>
      </c>
      <c r="I6">
        <v>4.8946319691274597E-3</v>
      </c>
      <c r="L6">
        <v>4</v>
      </c>
      <c r="M6">
        <f t="shared" si="1"/>
        <v>0.52225965666168128</v>
      </c>
      <c r="P6">
        <f t="shared" si="2"/>
        <v>14400</v>
      </c>
      <c r="Q6">
        <f t="shared" si="3"/>
        <v>-0.64959038822013082</v>
      </c>
    </row>
    <row r="7" spans="1:17">
      <c r="A7">
        <v>44.056980000000003</v>
      </c>
      <c r="B7">
        <v>37</v>
      </c>
      <c r="C7">
        <v>28</v>
      </c>
      <c r="D7">
        <v>15.5</v>
      </c>
      <c r="E7">
        <v>5</v>
      </c>
      <c r="G7">
        <v>5</v>
      </c>
      <c r="H7">
        <f t="shared" si="0"/>
        <v>0.55544743942106467</v>
      </c>
      <c r="I7">
        <v>1.7029302446286809E-2</v>
      </c>
      <c r="L7">
        <v>5</v>
      </c>
      <c r="M7">
        <f t="shared" si="1"/>
        <v>0.48948050425010398</v>
      </c>
      <c r="P7">
        <f t="shared" si="2"/>
        <v>18000</v>
      </c>
      <c r="Q7">
        <f t="shared" si="3"/>
        <v>-0.71441064569010837</v>
      </c>
    </row>
    <row r="8" spans="1:17">
      <c r="A8">
        <v>39.965800000000002</v>
      </c>
      <c r="B8">
        <v>36</v>
      </c>
      <c r="C8">
        <v>28.5</v>
      </c>
      <c r="D8">
        <v>14.9</v>
      </c>
      <c r="E8">
        <v>6</v>
      </c>
      <c r="G8">
        <v>6</v>
      </c>
      <c r="H8">
        <f t="shared" si="0"/>
        <v>0.50386797448246301</v>
      </c>
      <c r="I8">
        <v>4.0383947419715014E-3</v>
      </c>
      <c r="L8">
        <v>6</v>
      </c>
      <c r="M8">
        <f t="shared" si="1"/>
        <v>0.43024718795289923</v>
      </c>
      <c r="P8">
        <f t="shared" si="2"/>
        <v>21600</v>
      </c>
      <c r="Q8">
        <f t="shared" si="3"/>
        <v>-0.84339537975635781</v>
      </c>
    </row>
    <row r="9" spans="1:17">
      <c r="A9">
        <v>36.478499999999997</v>
      </c>
      <c r="B9">
        <v>37.5</v>
      </c>
      <c r="C9">
        <v>26.5</v>
      </c>
      <c r="D9">
        <v>15</v>
      </c>
      <c r="E9">
        <v>8</v>
      </c>
      <c r="G9">
        <v>8</v>
      </c>
      <c r="H9">
        <f t="shared" si="0"/>
        <v>0.45990191381527518</v>
      </c>
      <c r="I9">
        <v>2.0689327822839595E-2</v>
      </c>
      <c r="L9">
        <v>8</v>
      </c>
      <c r="M9">
        <f t="shared" si="1"/>
        <v>0.37975702523132698</v>
      </c>
      <c r="P9">
        <f t="shared" si="2"/>
        <v>28800</v>
      </c>
      <c r="Q9">
        <f t="shared" si="3"/>
        <v>-0.96822363805570655</v>
      </c>
    </row>
    <row r="10" spans="1:17">
      <c r="A10">
        <v>34.621400000000001</v>
      </c>
      <c r="B10">
        <v>37.5</v>
      </c>
      <c r="C10">
        <v>28</v>
      </c>
      <c r="D10">
        <v>17.899999999999999</v>
      </c>
      <c r="E10">
        <v>10</v>
      </c>
      <c r="G10">
        <v>10</v>
      </c>
      <c r="H10">
        <f t="shared" si="0"/>
        <v>0.43648856501676797</v>
      </c>
      <c r="I10">
        <v>5.3734936193239559E-3</v>
      </c>
      <c r="L10">
        <v>10</v>
      </c>
      <c r="M10">
        <f t="shared" si="1"/>
        <v>0.35286938115418087</v>
      </c>
      <c r="P10">
        <f t="shared" si="2"/>
        <v>36000</v>
      </c>
      <c r="Q10">
        <f t="shared" si="3"/>
        <v>-1.0416573155839826</v>
      </c>
    </row>
    <row r="11" spans="1:17">
      <c r="A11">
        <v>34.1648</v>
      </c>
      <c r="B11">
        <v>42</v>
      </c>
      <c r="C11">
        <v>27</v>
      </c>
      <c r="D11">
        <v>19.100000000000001</v>
      </c>
      <c r="E11">
        <v>12</v>
      </c>
      <c r="G11">
        <v>12</v>
      </c>
      <c r="H11">
        <f t="shared" si="0"/>
        <v>0.43073199021659647</v>
      </c>
      <c r="I11">
        <v>8.4918876290100836E-3</v>
      </c>
      <c r="L11">
        <v>12</v>
      </c>
      <c r="M11">
        <f t="shared" si="1"/>
        <v>0.34625859105907292</v>
      </c>
      <c r="P11">
        <f t="shared" si="2"/>
        <v>43200</v>
      </c>
      <c r="Q11">
        <f t="shared" si="3"/>
        <v>-1.0605694100654401</v>
      </c>
    </row>
    <row r="12" spans="1:17">
      <c r="A12">
        <v>30.214569999999998</v>
      </c>
      <c r="B12">
        <v>39.5</v>
      </c>
      <c r="C12">
        <v>28.5</v>
      </c>
      <c r="D12">
        <v>17.899999999999999</v>
      </c>
      <c r="E12">
        <v>14</v>
      </c>
      <c r="G12">
        <v>14</v>
      </c>
      <c r="H12">
        <f t="shared" si="0"/>
        <v>0.38092954940870921</v>
      </c>
      <c r="I12">
        <v>1.8254559019360721E-2</v>
      </c>
      <c r="L12">
        <v>14</v>
      </c>
      <c r="M12">
        <f t="shared" si="1"/>
        <v>0.28906599062675092</v>
      </c>
      <c r="P12">
        <f t="shared" si="2"/>
        <v>50400</v>
      </c>
      <c r="Q12">
        <f t="shared" si="3"/>
        <v>-1.2411002756665703</v>
      </c>
    </row>
    <row r="13" spans="1:17">
      <c r="A13">
        <v>28.6145</v>
      </c>
      <c r="B13">
        <v>46</v>
      </c>
      <c r="C13">
        <v>23</v>
      </c>
      <c r="D13">
        <v>19.899999999999999</v>
      </c>
      <c r="E13">
        <v>16</v>
      </c>
      <c r="G13">
        <v>16</v>
      </c>
      <c r="H13">
        <f t="shared" si="0"/>
        <v>0.36075670087495904</v>
      </c>
      <c r="I13">
        <v>2.4487245025393605E-2</v>
      </c>
      <c r="L13">
        <v>16</v>
      </c>
      <c r="M13">
        <f t="shared" si="1"/>
        <v>0.26589970305014271</v>
      </c>
      <c r="P13">
        <f t="shared" si="2"/>
        <v>57600</v>
      </c>
      <c r="Q13">
        <f t="shared" si="3"/>
        <v>-1.3246360975064728</v>
      </c>
    </row>
    <row r="14" spans="1:17">
      <c r="A14">
        <v>25.353999999999999</v>
      </c>
      <c r="B14">
        <v>45</v>
      </c>
      <c r="C14">
        <v>21.5</v>
      </c>
      <c r="D14">
        <v>18</v>
      </c>
      <c r="E14">
        <v>18</v>
      </c>
      <c r="G14">
        <v>18</v>
      </c>
      <c r="H14">
        <f t="shared" si="0"/>
        <v>0.3196500163897224</v>
      </c>
      <c r="I14">
        <v>2.6061902838075079E-2</v>
      </c>
      <c r="L14">
        <v>18</v>
      </c>
      <c r="M14">
        <f t="shared" si="1"/>
        <v>0.21869321793165952</v>
      </c>
      <c r="P14">
        <f t="shared" si="2"/>
        <v>64800</v>
      </c>
      <c r="Q14">
        <f t="shared" si="3"/>
        <v>-1.5200853626094353</v>
      </c>
    </row>
    <row r="15" spans="1:17">
      <c r="A15">
        <v>18.254000000000001</v>
      </c>
      <c r="B15">
        <v>38</v>
      </c>
      <c r="C15">
        <v>27.5</v>
      </c>
      <c r="D15">
        <v>16</v>
      </c>
      <c r="E15">
        <v>20</v>
      </c>
      <c r="G15">
        <v>20</v>
      </c>
      <c r="H15">
        <f t="shared" si="0"/>
        <v>0.2301369172192945</v>
      </c>
      <c r="I15">
        <v>2.7470018671732262E-3</v>
      </c>
      <c r="L15">
        <v>20</v>
      </c>
      <c r="M15">
        <f t="shared" si="1"/>
        <v>0.11589731413125157</v>
      </c>
      <c r="P15">
        <f t="shared" si="2"/>
        <v>72000</v>
      </c>
      <c r="Q15">
        <f t="shared" si="3"/>
        <v>-2.1550507029234898</v>
      </c>
    </row>
    <row r="16" spans="1:17">
      <c r="A16">
        <v>12.012499999999999</v>
      </c>
      <c r="B16">
        <v>46</v>
      </c>
      <c r="C16">
        <v>21</v>
      </c>
      <c r="D16">
        <v>18.399999999999999</v>
      </c>
      <c r="E16">
        <v>22</v>
      </c>
      <c r="G16">
        <v>22</v>
      </c>
      <c r="H16">
        <f t="shared" si="0"/>
        <v>0.15144733856123452</v>
      </c>
      <c r="I16">
        <v>7.1829883115996397E-3</v>
      </c>
      <c r="L16">
        <v>22</v>
      </c>
      <c r="M16">
        <f t="shared" si="1"/>
        <v>2.5531027712906953E-2</v>
      </c>
      <c r="P16">
        <f t="shared" si="2"/>
        <v>79200</v>
      </c>
      <c r="Q16">
        <f t="shared" si="3"/>
        <v>-3.6678607934309708</v>
      </c>
    </row>
    <row r="17" spans="1:17">
      <c r="A17">
        <v>11.547800000000001</v>
      </c>
      <c r="B17">
        <v>44</v>
      </c>
      <c r="C17">
        <v>22.5</v>
      </c>
      <c r="D17">
        <v>17.899999999999999</v>
      </c>
      <c r="E17">
        <v>24</v>
      </c>
      <c r="G17">
        <v>24</v>
      </c>
      <c r="H17">
        <f t="shared" si="0"/>
        <v>0.14558864318313625</v>
      </c>
      <c r="I17">
        <v>1.7567426996404463E-2</v>
      </c>
      <c r="L17">
        <v>24</v>
      </c>
      <c r="M17">
        <f t="shared" si="1"/>
        <v>1.8802963417688716E-2</v>
      </c>
      <c r="P17">
        <f t="shared" si="2"/>
        <v>86400</v>
      </c>
      <c r="Q17">
        <f t="shared" si="3"/>
        <v>-3.9737407929678525</v>
      </c>
    </row>
    <row r="18" spans="1:17">
      <c r="A18">
        <v>10.4214</v>
      </c>
      <c r="B18">
        <v>40</v>
      </c>
      <c r="C18">
        <v>24.5</v>
      </c>
      <c r="D18">
        <v>15.9</v>
      </c>
      <c r="E18">
        <v>26</v>
      </c>
      <c r="G18">
        <v>26</v>
      </c>
      <c r="H18">
        <f t="shared" si="0"/>
        <v>0.13138757911192919</v>
      </c>
      <c r="I18">
        <v>2.9339205506051739E-3</v>
      </c>
      <c r="L18">
        <v>26</v>
      </c>
      <c r="M18">
        <f t="shared" si="1"/>
        <v>2.4946104541986322E-3</v>
      </c>
      <c r="P18">
        <f t="shared" si="2"/>
        <v>93600</v>
      </c>
      <c r="Q18">
        <f t="shared" si="3"/>
        <v>-5.993622692550014</v>
      </c>
    </row>
    <row r="19" spans="1:17">
      <c r="A19">
        <v>10.2491</v>
      </c>
      <c r="B19">
        <v>43.5</v>
      </c>
      <c r="C19">
        <v>23.5</v>
      </c>
      <c r="D19">
        <v>18.2</v>
      </c>
      <c r="E19">
        <v>28</v>
      </c>
      <c r="G19">
        <v>28</v>
      </c>
      <c r="H19">
        <f t="shared" si="0"/>
        <v>0.12921531052220178</v>
      </c>
      <c r="I19">
        <v>2.0457265134380329E-3</v>
      </c>
      <c r="L19">
        <v>28</v>
      </c>
      <c r="M19">
        <f t="shared" si="1"/>
        <v>0</v>
      </c>
    </row>
    <row r="28" spans="1:17">
      <c r="A28" t="s">
        <v>39</v>
      </c>
      <c r="B28" t="s">
        <v>43</v>
      </c>
      <c r="C28" t="s">
        <v>44</v>
      </c>
    </row>
    <row r="29" spans="1:17">
      <c r="A29">
        <v>79.317999999999998</v>
      </c>
      <c r="B29">
        <v>0</v>
      </c>
      <c r="C29">
        <f>A29/$A$29</f>
        <v>1</v>
      </c>
      <c r="D29">
        <f>AVERAGE(C29:C31)</f>
        <v>1</v>
      </c>
      <c r="E29">
        <f>STDEV(C29:C31)</f>
        <v>0</v>
      </c>
    </row>
    <row r="30" spans="1:17">
      <c r="A30">
        <f>A29+3.12</f>
        <v>82.438000000000002</v>
      </c>
      <c r="B30">
        <v>0</v>
      </c>
      <c r="C30">
        <f>A30/$A$30</f>
        <v>1</v>
      </c>
    </row>
    <row r="31" spans="1:17">
      <c r="A31">
        <f>A29-2.96</f>
        <v>76.358000000000004</v>
      </c>
      <c r="B31">
        <v>0</v>
      </c>
      <c r="C31">
        <f>A31/$A$31</f>
        <v>1</v>
      </c>
    </row>
    <row r="32" spans="1:17">
      <c r="A32">
        <v>61.878999999999998</v>
      </c>
      <c r="B32">
        <v>1</v>
      </c>
      <c r="C32">
        <f>A32/$A$29</f>
        <v>0.78013817796717011</v>
      </c>
      <c r="D32">
        <f t="shared" ref="D32" si="4">AVERAGE(C32:C34)</f>
        <v>0.78247024774843776</v>
      </c>
      <c r="E32">
        <f t="shared" ref="E32" si="5">STDEV(C32:C34)</f>
        <v>2.316504009611968E-2</v>
      </c>
    </row>
    <row r="33" spans="1:5">
      <c r="A33">
        <f>A32+0.82</f>
        <v>62.698999999999998</v>
      </c>
      <c r="B33">
        <v>1</v>
      </c>
      <c r="C33">
        <f>A33/$A$30</f>
        <v>0.76055945073873699</v>
      </c>
    </row>
    <row r="34" spans="1:5">
      <c r="A34">
        <f>A32-0.28</f>
        <v>61.598999999999997</v>
      </c>
      <c r="B34">
        <v>1</v>
      </c>
      <c r="C34">
        <f>A34/$A$31</f>
        <v>0.80671311453940642</v>
      </c>
    </row>
    <row r="35" spans="1:5">
      <c r="A35">
        <v>58.2654</v>
      </c>
      <c r="B35">
        <v>2</v>
      </c>
      <c r="C35">
        <f>A35/$A$29</f>
        <v>0.7345797927330493</v>
      </c>
      <c r="D35">
        <f t="shared" ref="D35" si="6">AVERAGE(C35:C37)</f>
        <v>0.73611508402642223</v>
      </c>
      <c r="E35">
        <f t="shared" ref="E35" si="7">STDEV(C35:C37)</f>
        <v>8.8553115769550075E-3</v>
      </c>
    </row>
    <row r="36" spans="1:5">
      <c r="A36">
        <f>A35+1.76</f>
        <v>60.025399999999998</v>
      </c>
      <c r="B36">
        <v>2</v>
      </c>
      <c r="C36">
        <f>A36/$A$30</f>
        <v>0.72812780513840702</v>
      </c>
    </row>
    <row r="37" spans="1:5">
      <c r="A37">
        <f>A35-1.33</f>
        <v>56.935400000000001</v>
      </c>
      <c r="B37">
        <v>2</v>
      </c>
      <c r="C37">
        <f>A37/$A$31</f>
        <v>0.74563765420781059</v>
      </c>
    </row>
    <row r="38" spans="1:5">
      <c r="A38">
        <v>53.514000000000003</v>
      </c>
      <c r="B38">
        <v>3</v>
      </c>
      <c r="C38">
        <f>A38/$A$29</f>
        <v>0.67467661816989843</v>
      </c>
      <c r="D38">
        <f t="shared" ref="D38" si="8">AVERAGE(C38:C40)</f>
        <v>0.67457705383364175</v>
      </c>
      <c r="E38">
        <f t="shared" ref="E38" si="9">STDEV(C38:C40)</f>
        <v>1.2462036558329415E-2</v>
      </c>
    </row>
    <row r="39" spans="1:5">
      <c r="A39">
        <f>A38+3.12</f>
        <v>56.634</v>
      </c>
      <c r="B39">
        <v>3</v>
      </c>
      <c r="C39">
        <f>A39/$A$30</f>
        <v>0.68698900992260847</v>
      </c>
    </row>
    <row r="40" spans="1:5">
      <c r="A40">
        <f>A38-2.96</f>
        <v>50.554000000000002</v>
      </c>
      <c r="B40">
        <v>3</v>
      </c>
      <c r="C40">
        <f>A40/$A$31</f>
        <v>0.66206553340841823</v>
      </c>
    </row>
    <row r="41" spans="1:5">
      <c r="A41">
        <v>46.320999999999998</v>
      </c>
      <c r="B41">
        <v>4</v>
      </c>
      <c r="C41">
        <f>A41/$A$29</f>
        <v>0.58399102347512544</v>
      </c>
      <c r="D41">
        <f t="shared" ref="D41" si="10">AVERAGE(C41:C43)</f>
        <v>0.58964137477944789</v>
      </c>
      <c r="E41">
        <f t="shared" ref="E41" si="11">STDEV(C41:C43)</f>
        <v>4.8946319691274597E-3</v>
      </c>
    </row>
    <row r="42" spans="1:5">
      <c r="A42">
        <f>A41+2.53</f>
        <v>48.850999999999999</v>
      </c>
      <c r="B42">
        <v>4</v>
      </c>
      <c r="C42">
        <f>A42/$A$30</f>
        <v>0.59257866517867974</v>
      </c>
    </row>
    <row r="43" spans="1:5">
      <c r="A43">
        <f>A41-1.09</f>
        <v>45.230999999999995</v>
      </c>
      <c r="B43">
        <v>4</v>
      </c>
      <c r="C43">
        <f>A43/$A$31</f>
        <v>0.59235443568453849</v>
      </c>
    </row>
    <row r="44" spans="1:5">
      <c r="A44">
        <v>44.056980000000003</v>
      </c>
      <c r="B44">
        <v>5</v>
      </c>
      <c r="C44">
        <f>A44/$A$29</f>
        <v>0.55544743942106467</v>
      </c>
      <c r="D44">
        <f t="shared" ref="D44" si="12">AVERAGE(C44:C46)</f>
        <v>0.55531138531890867</v>
      </c>
      <c r="E44">
        <f t="shared" ref="E44" si="13">STDEV(C44:C46)</f>
        <v>1.7029302446286809E-2</v>
      </c>
    </row>
    <row r="45" spans="1:5">
      <c r="A45">
        <f>A44+3.12</f>
        <v>47.17698</v>
      </c>
      <c r="B45">
        <v>5</v>
      </c>
      <c r="C45">
        <f>A45/$A$30</f>
        <v>0.57227225308716856</v>
      </c>
    </row>
    <row r="46" spans="1:5">
      <c r="A46">
        <f>A44-2.96</f>
        <v>41.096980000000002</v>
      </c>
      <c r="B46">
        <v>5</v>
      </c>
      <c r="C46">
        <f>A46/$A$31</f>
        <v>0.53821446344849266</v>
      </c>
    </row>
    <row r="47" spans="1:5">
      <c r="A47">
        <v>39.965800000000002</v>
      </c>
      <c r="B47">
        <v>6</v>
      </c>
      <c r="C47">
        <f>A47/$A$29</f>
        <v>0.50386797448246301</v>
      </c>
      <c r="D47">
        <f t="shared" ref="D47" si="14">AVERAGE(C47:C49)</f>
        <v>0.49938671406882423</v>
      </c>
      <c r="E47">
        <f t="shared" ref="E47" si="15">STDEV(C47:C49)</f>
        <v>4.0383947419715014E-3</v>
      </c>
    </row>
    <row r="48" spans="1:5">
      <c r="A48">
        <f>A47+1.11</f>
        <v>41.075800000000001</v>
      </c>
      <c r="B48">
        <v>6</v>
      </c>
      <c r="C48">
        <f>A48/$A$30</f>
        <v>0.49826293699507507</v>
      </c>
    </row>
    <row r="49" spans="1:5">
      <c r="A49">
        <f>A47-2.09</f>
        <v>37.875799999999998</v>
      </c>
      <c r="B49">
        <v>6</v>
      </c>
      <c r="C49">
        <f>A49/$A$31</f>
        <v>0.49602923072893468</v>
      </c>
    </row>
    <row r="50" spans="1:5">
      <c r="A50">
        <v>36.478499999999997</v>
      </c>
      <c r="B50">
        <v>8</v>
      </c>
      <c r="C50">
        <f>A50/$A$29</f>
        <v>0.45990191381527518</v>
      </c>
      <c r="D50">
        <f t="shared" ref="D50" si="16">AVERAGE(C50:C52)</f>
        <v>0.45973661826485396</v>
      </c>
      <c r="E50">
        <f t="shared" ref="E50" si="17">STDEV(C50:C52)</f>
        <v>2.0689327822839595E-2</v>
      </c>
    </row>
    <row r="51" spans="1:5">
      <c r="A51">
        <f>A50+3.12</f>
        <v>39.598499999999994</v>
      </c>
      <c r="B51">
        <v>8</v>
      </c>
      <c r="C51">
        <f>A51/$A$30</f>
        <v>0.48034280307625116</v>
      </c>
    </row>
    <row r="52" spans="1:5">
      <c r="A52">
        <f>A50-2.96</f>
        <v>33.518499999999996</v>
      </c>
      <c r="B52">
        <v>8</v>
      </c>
      <c r="C52">
        <f>A52/$A$31</f>
        <v>0.43896513790303565</v>
      </c>
    </row>
    <row r="53" spans="1:5">
      <c r="A53">
        <v>34.621400000000001</v>
      </c>
      <c r="B53">
        <v>10</v>
      </c>
      <c r="C53">
        <f>A53/$A$29</f>
        <v>0.43648856501676797</v>
      </c>
      <c r="D53">
        <f t="shared" ref="D53" si="18">AVERAGE(C53:C55)</f>
        <v>0.43198668331810791</v>
      </c>
      <c r="E53">
        <f t="shared" ref="E53" si="19">STDEV(C53:C55)</f>
        <v>5.3734936193239559E-3</v>
      </c>
    </row>
    <row r="54" spans="1:5">
      <c r="A54">
        <f>A53+1.11</f>
        <v>35.731400000000001</v>
      </c>
      <c r="B54">
        <v>10</v>
      </c>
      <c r="C54">
        <f>A54/$A$30</f>
        <v>0.43343361071350589</v>
      </c>
    </row>
    <row r="55" spans="1:5">
      <c r="A55">
        <f>A53-2.09</f>
        <v>32.531400000000005</v>
      </c>
      <c r="B55">
        <v>10</v>
      </c>
      <c r="C55">
        <f>A55/$A$31</f>
        <v>0.42603787422404993</v>
      </c>
    </row>
    <row r="56" spans="1:5">
      <c r="A56">
        <v>34.1648</v>
      </c>
      <c r="B56">
        <v>12</v>
      </c>
      <c r="C56">
        <f>A56/$A$29</f>
        <v>0.43073199021659647</v>
      </c>
      <c r="D56">
        <f t="shared" ref="D56" si="20">AVERAGE(C56:C58)</f>
        <v>0.43620617795612521</v>
      </c>
      <c r="E56">
        <f t="shared" ref="E56" si="21">STDEV(C56:C58)</f>
        <v>8.4918876290100836E-3</v>
      </c>
    </row>
    <row r="57" spans="1:5">
      <c r="A57">
        <f>A56+1.44</f>
        <v>35.604799999999997</v>
      </c>
      <c r="B57">
        <v>12</v>
      </c>
      <c r="C57">
        <f>A57/$A$30</f>
        <v>0.43189791115747589</v>
      </c>
    </row>
    <row r="58" spans="1:5">
      <c r="A58">
        <f>A56-0.11</f>
        <v>34.0548</v>
      </c>
      <c r="B58">
        <v>12</v>
      </c>
      <c r="C58">
        <f>A58/$A$31</f>
        <v>0.44598863249430315</v>
      </c>
    </row>
    <row r="59" spans="1:5">
      <c r="A59">
        <v>30.214569999999998</v>
      </c>
      <c r="B59">
        <v>14</v>
      </c>
      <c r="C59">
        <f>A59/$A$29</f>
        <v>0.38092954940870921</v>
      </c>
      <c r="D59">
        <f t="shared" ref="D59" si="22">AVERAGE(C59:C61)</f>
        <v>0.38538208797016077</v>
      </c>
      <c r="E59">
        <f t="shared" ref="E59" si="23">STDEV(C59:C61)</f>
        <v>1.8254559019360721E-2</v>
      </c>
    </row>
    <row r="60" spans="1:5">
      <c r="A60">
        <f>A59+3.21</f>
        <v>33.424569999999996</v>
      </c>
      <c r="B60">
        <v>14</v>
      </c>
      <c r="C60">
        <f>A60/$A$30</f>
        <v>0.4054510056042116</v>
      </c>
    </row>
    <row r="61" spans="1:5">
      <c r="A61">
        <f>A59-1.98</f>
        <v>28.234569999999998</v>
      </c>
      <c r="B61">
        <v>14</v>
      </c>
      <c r="C61">
        <f>A61/$A$31</f>
        <v>0.36976570889756144</v>
      </c>
    </row>
    <row r="62" spans="1:5">
      <c r="A62">
        <v>28.6145</v>
      </c>
      <c r="B62">
        <v>16</v>
      </c>
      <c r="C62">
        <f>A62/$A$29</f>
        <v>0.36075670087495904</v>
      </c>
      <c r="D62">
        <f t="shared" ref="D62" si="24">AVERAGE(C62:C64)</f>
        <v>0.36056106220175366</v>
      </c>
      <c r="E62">
        <f t="shared" ref="E62" si="25">STDEV(C62:C64)</f>
        <v>2.4487245025393605E-2</v>
      </c>
    </row>
    <row r="63" spans="1:5">
      <c r="A63">
        <f>A62+3.12</f>
        <v>31.734500000000001</v>
      </c>
      <c r="B63">
        <v>16</v>
      </c>
      <c r="C63">
        <f>A63/$A$30</f>
        <v>0.38494990174434118</v>
      </c>
    </row>
    <row r="64" spans="1:5">
      <c r="A64">
        <f>A62-2.96</f>
        <v>25.654499999999999</v>
      </c>
      <c r="B64">
        <v>16</v>
      </c>
      <c r="C64">
        <f>A64/$A$31</f>
        <v>0.33597658398596081</v>
      </c>
    </row>
    <row r="65" spans="1:5">
      <c r="A65">
        <v>25.353999999999999</v>
      </c>
      <c r="B65">
        <v>18</v>
      </c>
      <c r="C65">
        <f>A65/$A$29</f>
        <v>0.3196500163897224</v>
      </c>
      <c r="D65">
        <f t="shared" ref="D65" si="26">AVERAGE(C65:C67)</f>
        <v>0.31944179712752446</v>
      </c>
      <c r="E65">
        <f t="shared" ref="E65" si="27">STDEV(C65:C67)</f>
        <v>2.6061902838075079E-2</v>
      </c>
    </row>
    <row r="66" spans="1:5">
      <c r="A66">
        <f>A65+3.12</f>
        <v>28.474</v>
      </c>
      <c r="B66">
        <v>18</v>
      </c>
      <c r="C66">
        <f>A66/$A$30</f>
        <v>0.34539896649603335</v>
      </c>
    </row>
    <row r="67" spans="1:5">
      <c r="A67">
        <f>A65-2.96</f>
        <v>22.393999999999998</v>
      </c>
      <c r="B67">
        <v>18</v>
      </c>
      <c r="C67">
        <f>A67/$A$31</f>
        <v>0.29327640849681758</v>
      </c>
    </row>
    <row r="68" spans="1:5">
      <c r="A68">
        <v>18.254000000000001</v>
      </c>
      <c r="B68">
        <v>20</v>
      </c>
      <c r="C68">
        <f>A68/$A$29</f>
        <v>0.2301369172192945</v>
      </c>
      <c r="D68">
        <f t="shared" ref="D68" si="28">AVERAGE(C68:C70)</f>
        <v>0.23230066061049878</v>
      </c>
      <c r="E68">
        <f t="shared" ref="E68" si="29">STDEV(C68:C70)</f>
        <v>2.7470018671732262E-3</v>
      </c>
    </row>
    <row r="69" spans="1:5">
      <c r="A69">
        <f>A68+0.82</f>
        <v>19.074000000000002</v>
      </c>
      <c r="B69">
        <v>20</v>
      </c>
      <c r="C69">
        <f>A69/$A$30</f>
        <v>0.23137388097721925</v>
      </c>
    </row>
    <row r="70" spans="1:5">
      <c r="A70">
        <f>A68-0.28</f>
        <v>17.974</v>
      </c>
      <c r="B70">
        <v>20</v>
      </c>
      <c r="C70">
        <f>A70/$A$31</f>
        <v>0.23539118363498257</v>
      </c>
    </row>
    <row r="71" spans="1:5">
      <c r="A71">
        <v>12.012499999999999</v>
      </c>
      <c r="B71">
        <v>22</v>
      </c>
      <c r="C71">
        <f>A71/$A$29</f>
        <v>0.15144733856123452</v>
      </c>
      <c r="D71">
        <f t="shared" ref="D71" si="30">AVERAGE(C71:C73)</f>
        <v>0.15070119437459695</v>
      </c>
      <c r="E71">
        <f t="shared" ref="E71" si="31">STDEV(C71:C73)</f>
        <v>7.1829883115996397E-3</v>
      </c>
    </row>
    <row r="72" spans="1:5">
      <c r="A72">
        <f>A71+0.97</f>
        <v>12.9825</v>
      </c>
      <c r="B72">
        <v>22</v>
      </c>
      <c r="C72">
        <f>A72/$A$30</f>
        <v>0.15748198646255368</v>
      </c>
    </row>
    <row r="73" spans="1:5">
      <c r="A73">
        <f>A71-1.08</f>
        <v>10.932499999999999</v>
      </c>
      <c r="B73">
        <v>22</v>
      </c>
      <c r="C73">
        <f>A73/$A$31</f>
        <v>0.14317425810000259</v>
      </c>
    </row>
    <row r="74" spans="1:5">
      <c r="A74">
        <v>11.547800000000001</v>
      </c>
      <c r="B74">
        <v>24</v>
      </c>
      <c r="C74">
        <f>A74/$A$29</f>
        <v>0.14558864318313625</v>
      </c>
      <c r="D74">
        <f t="shared" ref="D74" si="32">AVERAGE(C74:C76)</f>
        <v>0.15110482263125347</v>
      </c>
      <c r="E74">
        <f t="shared" ref="E74" si="33">STDEV(C74:C76)</f>
        <v>1.7567426996404463E-2</v>
      </c>
    </row>
    <row r="75" spans="1:5">
      <c r="A75">
        <f>A74+2.53</f>
        <v>14.0778</v>
      </c>
      <c r="B75">
        <v>24</v>
      </c>
      <c r="C75">
        <f>A75/$A$30</f>
        <v>0.17076833499114485</v>
      </c>
    </row>
    <row r="76" spans="1:5">
      <c r="A76">
        <f>A74-1.09</f>
        <v>10.457800000000001</v>
      </c>
      <c r="B76">
        <v>24</v>
      </c>
      <c r="C76">
        <f>A76/$A$31</f>
        <v>0.1369574897194793</v>
      </c>
    </row>
    <row r="77" spans="1:5">
      <c r="A77">
        <v>10.4214</v>
      </c>
      <c r="B77">
        <v>26</v>
      </c>
      <c r="C77">
        <f>A77/$A$29</f>
        <v>0.13138757911192919</v>
      </c>
      <c r="D77">
        <f t="shared" ref="D77" si="34">AVERAGE(C77:C79)</f>
        <v>0.13179349913915536</v>
      </c>
      <c r="E77">
        <f t="shared" ref="E77" si="35">STDEV(C77:C79)</f>
        <v>2.9339205506051739E-3</v>
      </c>
    </row>
    <row r="78" spans="1:5">
      <c r="A78">
        <f>A77+0.22</f>
        <v>10.641400000000001</v>
      </c>
      <c r="B78">
        <v>26</v>
      </c>
      <c r="C78">
        <f>A78/$A$30</f>
        <v>0.12908367500424561</v>
      </c>
    </row>
    <row r="79" spans="1:5">
      <c r="A79">
        <f>A77-0.12</f>
        <v>10.301400000000001</v>
      </c>
      <c r="B79">
        <v>26</v>
      </c>
      <c r="C79">
        <f>A79/$A$31</f>
        <v>0.13490924330129128</v>
      </c>
    </row>
    <row r="80" spans="1:5">
      <c r="A80">
        <v>10.2491</v>
      </c>
      <c r="B80">
        <v>28</v>
      </c>
      <c r="C80">
        <f>A80/$A$29</f>
        <v>0.12921531052220178</v>
      </c>
      <c r="D80">
        <f t="shared" ref="D80" si="36">AVERAGE(C80:C82)</f>
        <v>0.12964168263055892</v>
      </c>
      <c r="E80">
        <f t="shared" ref="E80" si="37">STDEV(C80:C82)</f>
        <v>2.0457265134380329E-3</v>
      </c>
    </row>
    <row r="81" spans="1:3">
      <c r="A81">
        <f>A80+0.29</f>
        <v>10.539099999999999</v>
      </c>
      <c r="B81">
        <v>28</v>
      </c>
      <c r="C81">
        <f>A81/$A$30</f>
        <v>0.12784274242461</v>
      </c>
    </row>
    <row r="82" spans="1:3">
      <c r="A82">
        <f>A80-0.18</f>
        <v>10.069100000000001</v>
      </c>
      <c r="B82">
        <v>28</v>
      </c>
      <c r="C82">
        <f>A82/$A$31</f>
        <v>0.13186699494486498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051A3-0D60-42EB-AE65-7B20E076874A}">
  <dimension ref="A1:O48"/>
  <sheetViews>
    <sheetView tabSelected="1" topLeftCell="A8" workbookViewId="0">
      <selection activeCell="M16" sqref="M16"/>
    </sheetView>
  </sheetViews>
  <sheetFormatPr defaultRowHeight="14.4"/>
  <sheetData>
    <row r="1" spans="1:15">
      <c r="A1" t="s">
        <v>39</v>
      </c>
      <c r="B1" t="s">
        <v>41</v>
      </c>
      <c r="C1" t="s">
        <v>40</v>
      </c>
      <c r="D1" t="s">
        <v>42</v>
      </c>
      <c r="E1" t="s">
        <v>43</v>
      </c>
      <c r="G1" t="s">
        <v>43</v>
      </c>
      <c r="H1" t="s">
        <v>125</v>
      </c>
      <c r="I1" t="s">
        <v>126</v>
      </c>
      <c r="J1" t="s">
        <v>43</v>
      </c>
      <c r="K1" t="s">
        <v>44</v>
      </c>
      <c r="N1" t="s">
        <v>89</v>
      </c>
      <c r="O1" t="s">
        <v>86</v>
      </c>
    </row>
    <row r="2" spans="1:15">
      <c r="A2">
        <v>79.214500000000001</v>
      </c>
      <c r="B2">
        <v>22.5</v>
      </c>
      <c r="C2">
        <v>62</v>
      </c>
      <c r="D2">
        <v>14.9</v>
      </c>
      <c r="E2">
        <v>0</v>
      </c>
      <c r="G2">
        <v>0</v>
      </c>
      <c r="H2">
        <f>A2/79.2145</f>
        <v>1</v>
      </c>
      <c r="I2">
        <v>0</v>
      </c>
      <c r="J2">
        <v>0</v>
      </c>
      <c r="K2">
        <f>(A2-9.999)/(79.2145-9.999)</f>
        <v>1</v>
      </c>
      <c r="N2">
        <f>G2*3600</f>
        <v>0</v>
      </c>
      <c r="O2">
        <f>LN(H2)</f>
        <v>0</v>
      </c>
    </row>
    <row r="3" spans="1:15">
      <c r="A3">
        <v>64.652100000000004</v>
      </c>
      <c r="B3">
        <v>25.5</v>
      </c>
      <c r="C3">
        <v>63.5</v>
      </c>
      <c r="D3">
        <v>13.3</v>
      </c>
      <c r="E3">
        <v>1</v>
      </c>
      <c r="G3">
        <v>1</v>
      </c>
      <c r="H3">
        <f t="shared" ref="H3:H12" si="0">A3/79.2145</f>
        <v>0.81616496979719622</v>
      </c>
      <c r="I3">
        <v>8.021920982594832E-3</v>
      </c>
      <c r="J3">
        <v>1</v>
      </c>
      <c r="K3">
        <f t="shared" ref="K3:K12" si="1">(A3-9.999)/(79.2145-9.999)</f>
        <v>0.78960781905786992</v>
      </c>
      <c r="N3">
        <f t="shared" ref="N3:N12" si="2">G3*3600</f>
        <v>3600</v>
      </c>
      <c r="O3">
        <f t="shared" ref="O3:O12" si="3">LN(H3)</f>
        <v>-0.20313877558228891</v>
      </c>
    </row>
    <row r="4" spans="1:15">
      <c r="A4">
        <v>55.845199999999998</v>
      </c>
      <c r="B4">
        <v>30.5</v>
      </c>
      <c r="C4">
        <v>65.5</v>
      </c>
      <c r="D4">
        <v>14.8</v>
      </c>
      <c r="E4">
        <v>2</v>
      </c>
      <c r="G4">
        <v>2</v>
      </c>
      <c r="H4">
        <f t="shared" si="0"/>
        <v>0.70498709200966991</v>
      </c>
      <c r="I4">
        <v>8.4589966612620953E-3</v>
      </c>
      <c r="J4">
        <v>2</v>
      </c>
      <c r="K4">
        <f t="shared" si="1"/>
        <v>0.66236897804682471</v>
      </c>
      <c r="N4">
        <f t="shared" si="2"/>
        <v>7200</v>
      </c>
      <c r="O4">
        <f t="shared" si="3"/>
        <v>-0.34957578554362595</v>
      </c>
    </row>
    <row r="5" spans="1:15">
      <c r="A5">
        <v>50.174799999999998</v>
      </c>
      <c r="B5">
        <v>28.9</v>
      </c>
      <c r="C5">
        <v>64.5</v>
      </c>
      <c r="D5">
        <v>13.6</v>
      </c>
      <c r="E5">
        <v>3</v>
      </c>
      <c r="G5">
        <v>3</v>
      </c>
      <c r="H5">
        <f t="shared" si="0"/>
        <v>0.63340423786049271</v>
      </c>
      <c r="I5">
        <v>7.5171126894707889E-3</v>
      </c>
      <c r="J5">
        <v>3</v>
      </c>
      <c r="K5">
        <f t="shared" si="1"/>
        <v>0.58044513150956056</v>
      </c>
      <c r="N5">
        <f t="shared" si="2"/>
        <v>10800</v>
      </c>
      <c r="O5">
        <f t="shared" si="3"/>
        <v>-0.45664645424558664</v>
      </c>
    </row>
    <row r="6" spans="1:15">
      <c r="A6">
        <v>39.231499999999997</v>
      </c>
      <c r="B6">
        <v>51.5</v>
      </c>
      <c r="C6">
        <v>29.5</v>
      </c>
      <c r="D6">
        <v>28.6</v>
      </c>
      <c r="E6">
        <v>4</v>
      </c>
      <c r="G6">
        <v>4</v>
      </c>
      <c r="H6">
        <f t="shared" si="0"/>
        <v>0.49525655025279458</v>
      </c>
      <c r="I6">
        <v>1.1599540496269951E-2</v>
      </c>
      <c r="J6">
        <v>4</v>
      </c>
      <c r="K6">
        <f t="shared" si="1"/>
        <v>0.42234037173754424</v>
      </c>
      <c r="N6">
        <f t="shared" si="2"/>
        <v>14400</v>
      </c>
      <c r="O6">
        <f t="shared" si="3"/>
        <v>-0.70267936733688885</v>
      </c>
    </row>
    <row r="7" spans="1:15">
      <c r="A7">
        <v>34.253999999999998</v>
      </c>
      <c r="B7">
        <v>48</v>
      </c>
      <c r="C7">
        <v>25</v>
      </c>
      <c r="D7">
        <v>22.9</v>
      </c>
      <c r="E7">
        <v>5</v>
      </c>
      <c r="G7">
        <v>5</v>
      </c>
      <c r="H7">
        <f t="shared" si="0"/>
        <v>0.43242083204463827</v>
      </c>
      <c r="I7">
        <v>1.2018931470442766E-2</v>
      </c>
      <c r="J7">
        <v>5</v>
      </c>
      <c r="K7">
        <f t="shared" si="1"/>
        <v>0.35042728868533773</v>
      </c>
      <c r="N7">
        <f t="shared" si="2"/>
        <v>18000</v>
      </c>
      <c r="O7">
        <f t="shared" si="3"/>
        <v>-0.83835601666103798</v>
      </c>
    </row>
    <row r="8" spans="1:15">
      <c r="A8">
        <v>25.235099999999999</v>
      </c>
      <c r="B8">
        <v>57.5</v>
      </c>
      <c r="C8">
        <v>21</v>
      </c>
      <c r="D8">
        <v>27.7</v>
      </c>
      <c r="E8">
        <v>6</v>
      </c>
      <c r="G8">
        <v>6</v>
      </c>
      <c r="H8">
        <f t="shared" si="0"/>
        <v>0.31856667655542859</v>
      </c>
      <c r="I8">
        <v>3.0911374895983865E-2</v>
      </c>
      <c r="J8">
        <v>6</v>
      </c>
      <c r="K8">
        <f t="shared" si="1"/>
        <v>0.22012554991295299</v>
      </c>
      <c r="N8">
        <f t="shared" si="2"/>
        <v>21600</v>
      </c>
      <c r="O8">
        <f t="shared" si="3"/>
        <v>-1.1439234803366924</v>
      </c>
    </row>
    <row r="9" spans="1:15">
      <c r="A9">
        <v>11.845700000000001</v>
      </c>
      <c r="B9">
        <v>48.5</v>
      </c>
      <c r="C9">
        <v>23</v>
      </c>
      <c r="D9">
        <v>21.9</v>
      </c>
      <c r="E9">
        <v>7</v>
      </c>
      <c r="G9">
        <v>7</v>
      </c>
      <c r="H9">
        <f t="shared" si="0"/>
        <v>0.1495395413718448</v>
      </c>
      <c r="I9">
        <v>7.3104366796407907E-3</v>
      </c>
      <c r="J9">
        <v>7</v>
      </c>
      <c r="K9">
        <f t="shared" si="1"/>
        <v>2.6680440074838729E-2</v>
      </c>
      <c r="N9">
        <f t="shared" si="2"/>
        <v>25200</v>
      </c>
      <c r="O9">
        <f t="shared" si="3"/>
        <v>-1.9001944303413458</v>
      </c>
    </row>
    <row r="10" spans="1:15">
      <c r="A10">
        <v>10.325139999999999</v>
      </c>
      <c r="B10">
        <v>48</v>
      </c>
      <c r="C10">
        <v>23</v>
      </c>
      <c r="D10">
        <v>21.9</v>
      </c>
      <c r="E10">
        <v>8</v>
      </c>
      <c r="G10">
        <v>8</v>
      </c>
      <c r="H10">
        <f t="shared" si="0"/>
        <v>0.1303440657960348</v>
      </c>
      <c r="I10">
        <v>2.8058252023803373E-4</v>
      </c>
      <c r="J10">
        <v>8</v>
      </c>
      <c r="K10">
        <f t="shared" si="1"/>
        <v>4.7119503579400382E-3</v>
      </c>
      <c r="N10">
        <f t="shared" si="2"/>
        <v>28800</v>
      </c>
      <c r="O10">
        <f t="shared" si="3"/>
        <v>-2.0375776647940116</v>
      </c>
    </row>
    <row r="11" spans="1:15">
      <c r="A11">
        <v>10.853999999999999</v>
      </c>
      <c r="B11">
        <v>13.7</v>
      </c>
      <c r="C11">
        <v>37</v>
      </c>
      <c r="D11">
        <v>30</v>
      </c>
      <c r="E11">
        <v>9</v>
      </c>
      <c r="G11">
        <v>9</v>
      </c>
      <c r="H11">
        <f t="shared" si="0"/>
        <v>0.13702036874562107</v>
      </c>
      <c r="I11">
        <v>1.8568342556604391E-3</v>
      </c>
      <c r="J11">
        <v>9</v>
      </c>
      <c r="K11">
        <f t="shared" si="1"/>
        <v>1.2352724462006323E-2</v>
      </c>
      <c r="N11">
        <f t="shared" si="2"/>
        <v>32400</v>
      </c>
      <c r="O11">
        <f t="shared" si="3"/>
        <v>-1.987625687230002</v>
      </c>
    </row>
    <row r="12" spans="1:15">
      <c r="A12">
        <v>9.9990000000000006</v>
      </c>
      <c r="B12">
        <v>13.7</v>
      </c>
      <c r="C12">
        <v>37</v>
      </c>
      <c r="D12">
        <v>30</v>
      </c>
      <c r="E12">
        <v>10</v>
      </c>
      <c r="G12">
        <v>10</v>
      </c>
      <c r="H12">
        <f t="shared" si="0"/>
        <v>0.12622689027892622</v>
      </c>
      <c r="I12">
        <v>4.1632144616641628E-3</v>
      </c>
      <c r="J12">
        <v>10</v>
      </c>
      <c r="K12">
        <f t="shared" si="1"/>
        <v>0</v>
      </c>
      <c r="N12">
        <f t="shared" si="2"/>
        <v>36000</v>
      </c>
      <c r="O12">
        <f t="shared" si="3"/>
        <v>-2.0696742748775026</v>
      </c>
    </row>
    <row r="15" spans="1:15">
      <c r="A15" t="s">
        <v>39</v>
      </c>
      <c r="B15" t="s">
        <v>43</v>
      </c>
      <c r="C15" t="s">
        <v>44</v>
      </c>
    </row>
    <row r="16" spans="1:15">
      <c r="A16">
        <v>79.214500000000001</v>
      </c>
      <c r="B16">
        <v>0</v>
      </c>
      <c r="C16">
        <f>A16/$A$16</f>
        <v>1</v>
      </c>
      <c r="D16">
        <f>AVERAGE(C16:C18)</f>
        <v>1</v>
      </c>
      <c r="E16">
        <f>STDEV(C16:C18)</f>
        <v>0</v>
      </c>
    </row>
    <row r="17" spans="1:5">
      <c r="A17">
        <f>A16+2.53</f>
        <v>81.744500000000002</v>
      </c>
      <c r="B17">
        <v>0</v>
      </c>
      <c r="C17">
        <f>A17/$A$17</f>
        <v>1</v>
      </c>
    </row>
    <row r="18" spans="1:5">
      <c r="A18">
        <f>A16-1.09</f>
        <v>78.124499999999998</v>
      </c>
      <c r="B18">
        <v>0</v>
      </c>
      <c r="C18">
        <f>A18/$A$18</f>
        <v>1</v>
      </c>
    </row>
    <row r="19" spans="1:5">
      <c r="A19">
        <v>64.652100000000004</v>
      </c>
      <c r="B19">
        <v>1</v>
      </c>
      <c r="C19">
        <f>A19/$A$16</f>
        <v>0.81616496979719622</v>
      </c>
      <c r="D19">
        <f t="shared" ref="D19" si="4">AVERAGE(C19:C21)</f>
        <v>0.80714948566211964</v>
      </c>
      <c r="E19">
        <f t="shared" ref="E19" si="5">STDEV(C19:C21)</f>
        <v>8.021920982594832E-3</v>
      </c>
    </row>
    <row r="20" spans="1:5">
      <c r="A20">
        <f>A19+1.11</f>
        <v>65.762100000000004</v>
      </c>
      <c r="B20">
        <v>1</v>
      </c>
      <c r="C20">
        <f>A20/$A$17</f>
        <v>0.80448348206913001</v>
      </c>
    </row>
    <row r="21" spans="1:5">
      <c r="A21">
        <f>A19-2.09</f>
        <v>62.562100000000001</v>
      </c>
      <c r="B21">
        <v>1</v>
      </c>
      <c r="C21">
        <f>A21/$A$18</f>
        <v>0.8008000051200328</v>
      </c>
    </row>
    <row r="22" spans="1:5">
      <c r="A22">
        <v>55.845199999999998</v>
      </c>
      <c r="B22">
        <v>2</v>
      </c>
      <c r="C22">
        <f>A22/$A$16</f>
        <v>0.70498709200966991</v>
      </c>
      <c r="D22">
        <f t="shared" ref="D22" si="6">AVERAGE(C22:C24)</f>
        <v>0.69660154192315715</v>
      </c>
      <c r="E22">
        <f t="shared" ref="E22" si="7">STDEV(C22:C24)</f>
        <v>8.4589966612620953E-3</v>
      </c>
    </row>
    <row r="23" spans="1:5">
      <c r="A23">
        <f>A22+1.11</f>
        <v>56.955199999999998</v>
      </c>
      <c r="B23">
        <v>2</v>
      </c>
      <c r="C23">
        <f>A23/$A$17</f>
        <v>0.69674657010563401</v>
      </c>
    </row>
    <row r="24" spans="1:5">
      <c r="A24">
        <f>A22-2.09</f>
        <v>53.755200000000002</v>
      </c>
      <c r="B24">
        <v>2</v>
      </c>
      <c r="C24">
        <f>A24/$A$18</f>
        <v>0.68807096365416742</v>
      </c>
    </row>
    <row r="25" spans="1:5">
      <c r="A25">
        <v>50.174799999999998</v>
      </c>
      <c r="B25">
        <v>3</v>
      </c>
      <c r="C25">
        <f>A25/$A$16</f>
        <v>0.63340423786049271</v>
      </c>
      <c r="D25">
        <f t="shared" ref="D25" si="8">AVERAGE(C25:C27)</f>
        <v>0.63196444601167723</v>
      </c>
      <c r="E25">
        <f t="shared" ref="E25" si="9">STDEV(C25:C27)</f>
        <v>7.5171126894707889E-3</v>
      </c>
    </row>
    <row r="26" spans="1:5">
      <c r="A26">
        <f>A25+0.82</f>
        <v>50.994799999999998</v>
      </c>
      <c r="B26">
        <v>3</v>
      </c>
      <c r="C26">
        <f>A26/$A$17</f>
        <v>0.62383157276636347</v>
      </c>
    </row>
    <row r="27" spans="1:5">
      <c r="A27">
        <f>A25-0.28</f>
        <v>49.894799999999996</v>
      </c>
      <c r="B27">
        <v>3</v>
      </c>
      <c r="C27">
        <f>A27/$A$18</f>
        <v>0.63865752740817539</v>
      </c>
    </row>
    <row r="28" spans="1:5">
      <c r="A28">
        <v>39.231499999999997</v>
      </c>
      <c r="B28">
        <v>4</v>
      </c>
      <c r="C28">
        <f>A28/$A$16</f>
        <v>0.49525655025279458</v>
      </c>
      <c r="D28">
        <f t="shared" ref="D28" si="10">AVERAGE(C28:C30)</f>
        <v>0.49811642751536406</v>
      </c>
      <c r="E28">
        <f t="shared" ref="E28" si="11">STDEV(C28:C30)</f>
        <v>1.1599540496269951E-2</v>
      </c>
    </row>
    <row r="29" spans="1:5">
      <c r="A29">
        <f>A28+2.53</f>
        <v>41.761499999999998</v>
      </c>
      <c r="B29">
        <v>4</v>
      </c>
      <c r="C29">
        <f>A29/$A$17</f>
        <v>0.51087840772162041</v>
      </c>
    </row>
    <row r="30" spans="1:5">
      <c r="A30">
        <f>A28-1.09</f>
        <v>38.141499999999994</v>
      </c>
      <c r="B30">
        <v>4</v>
      </c>
      <c r="C30">
        <f>A30/$A$18</f>
        <v>0.48821432457167718</v>
      </c>
    </row>
    <row r="31" spans="1:5">
      <c r="A31">
        <v>34.253999999999998</v>
      </c>
      <c r="B31">
        <v>5</v>
      </c>
      <c r="C31">
        <f>A31/$A$16</f>
        <v>0.43242083204463827</v>
      </c>
      <c r="D31">
        <f t="shared" ref="D31" si="12">AVERAGE(C31:C33)</f>
        <v>0.42557964286029865</v>
      </c>
      <c r="E31">
        <f t="shared" ref="E31" si="13">STDEV(C31:C33)</f>
        <v>1.2018931470442766E-2</v>
      </c>
    </row>
    <row r="32" spans="1:5">
      <c r="A32">
        <f>A31+1.11</f>
        <v>35.363999999999997</v>
      </c>
      <c r="B32">
        <v>5</v>
      </c>
      <c r="C32">
        <f>A32/$A$17</f>
        <v>0.43261626164451428</v>
      </c>
    </row>
    <row r="33" spans="1:5">
      <c r="A33">
        <f>A31-2.09</f>
        <v>32.164000000000001</v>
      </c>
      <c r="B33">
        <v>5</v>
      </c>
      <c r="C33">
        <f>A33/$A$18</f>
        <v>0.41170183489174333</v>
      </c>
    </row>
    <row r="34" spans="1:5">
      <c r="A34">
        <v>25.235099999999999</v>
      </c>
      <c r="B34">
        <v>6</v>
      </c>
      <c r="C34">
        <f>A34/$A$16</f>
        <v>0.31856667655542859</v>
      </c>
      <c r="D34">
        <f t="shared" ref="D34" si="14">AVERAGE(C34:C36)</f>
        <v>0.31685483154225391</v>
      </c>
      <c r="E34">
        <f t="shared" ref="E34" si="15">STDEV(C34:C36)</f>
        <v>3.0911374895983865E-2</v>
      </c>
    </row>
    <row r="35" spans="1:5">
      <c r="A35">
        <f>A34+3.12</f>
        <v>28.3551</v>
      </c>
      <c r="B35">
        <v>6</v>
      </c>
      <c r="C35">
        <f>A35/$A$17</f>
        <v>0.34687471328346248</v>
      </c>
    </row>
    <row r="36" spans="1:5">
      <c r="A36">
        <f>A34-2.96</f>
        <v>22.275099999999998</v>
      </c>
      <c r="B36">
        <v>6</v>
      </c>
      <c r="C36">
        <f>A36/$A$18</f>
        <v>0.28512310478787062</v>
      </c>
    </row>
    <row r="37" spans="1:5">
      <c r="A37">
        <v>11.845700000000001</v>
      </c>
      <c r="B37">
        <v>7</v>
      </c>
      <c r="C37">
        <f>A37/$A$16</f>
        <v>0.1495395413718448</v>
      </c>
      <c r="D37">
        <f t="shared" ref="D37" si="16">AVERAGE(C37:C39)</f>
        <v>0.1540948684218085</v>
      </c>
      <c r="E37">
        <f t="shared" ref="E37" si="17">STDEV(C37:C39)</f>
        <v>7.3104366796407907E-3</v>
      </c>
    </row>
    <row r="38" spans="1:5">
      <c r="A38">
        <f>A37+1.44</f>
        <v>13.2857</v>
      </c>
      <c r="B38">
        <v>7</v>
      </c>
      <c r="C38">
        <f>A38/$A$17</f>
        <v>0.16252714249888373</v>
      </c>
    </row>
    <row r="39" spans="1:5">
      <c r="A39">
        <f>A37-0.11</f>
        <v>11.735700000000001</v>
      </c>
      <c r="B39">
        <v>7</v>
      </c>
      <c r="C39">
        <f>A39/$A$18</f>
        <v>0.15021792139469695</v>
      </c>
    </row>
    <row r="40" spans="1:5">
      <c r="A40">
        <v>10.325139999999999</v>
      </c>
      <c r="B40">
        <v>8</v>
      </c>
      <c r="C40">
        <f>A40/$A$16</f>
        <v>0.1303440657960348</v>
      </c>
      <c r="D40">
        <f t="shared" ref="D40" si="18">AVERAGE(C40:C42)</f>
        <v>0.13002007760794732</v>
      </c>
      <c r="E40">
        <f t="shared" ref="E40" si="19">STDEV(C40:C42)</f>
        <v>2.8058252023803373E-4</v>
      </c>
    </row>
    <row r="41" spans="1:5">
      <c r="A41">
        <f>A40+0.29</f>
        <v>10.615139999999998</v>
      </c>
      <c r="B41">
        <v>8</v>
      </c>
      <c r="C41">
        <f>A41/$A$17</f>
        <v>0.12985754393261931</v>
      </c>
    </row>
    <row r="42" spans="1:5">
      <c r="A42">
        <f>A40-0.18</f>
        <v>10.14514</v>
      </c>
      <c r="B42">
        <v>8</v>
      </c>
      <c r="C42">
        <f>A42/$A$18</f>
        <v>0.12985862309518781</v>
      </c>
    </row>
    <row r="43" spans="1:5">
      <c r="A43">
        <v>10.853999999999999</v>
      </c>
      <c r="B43">
        <v>9</v>
      </c>
      <c r="C43">
        <f>A43/$A$16</f>
        <v>0.13702036874562107</v>
      </c>
      <c r="D43">
        <f t="shared" ref="D43" si="20">AVERAGE(C43:C45)</f>
        <v>0.13679520979314949</v>
      </c>
      <c r="E43">
        <f t="shared" ref="E43" si="21">STDEV(C43:C45)</f>
        <v>1.8568342556604391E-3</v>
      </c>
    </row>
    <row r="44" spans="1:5">
      <c r="A44">
        <f>A43+0.47</f>
        <v>11.324</v>
      </c>
      <c r="B44">
        <v>9</v>
      </c>
      <c r="C44">
        <f>A44/$A$17</f>
        <v>0.13852919768302455</v>
      </c>
    </row>
    <row r="45" spans="1:5">
      <c r="A45">
        <f>A43-0.32</f>
        <v>10.533999999999999</v>
      </c>
      <c r="B45">
        <v>9</v>
      </c>
      <c r="C45">
        <f>A45/$A$18</f>
        <v>0.13483606295080289</v>
      </c>
    </row>
    <row r="46" spans="1:5">
      <c r="A46">
        <v>9.9990000000000006</v>
      </c>
      <c r="B46">
        <v>10</v>
      </c>
      <c r="C46">
        <f>A46/$A$16</f>
        <v>0.12622689027892622</v>
      </c>
      <c r="D46">
        <f t="shared" ref="D46" si="22">AVERAGE(C46:C48)</f>
        <v>0.12766076616203526</v>
      </c>
      <c r="E46">
        <f t="shared" ref="E46" si="23">STDEV(C46:C48)</f>
        <v>4.1632144616641628E-3</v>
      </c>
    </row>
    <row r="47" spans="1:5">
      <c r="A47">
        <f>A46+0.82</f>
        <v>10.819000000000001</v>
      </c>
      <c r="B47">
        <v>10</v>
      </c>
      <c r="C47">
        <f>A47/$A$17</f>
        <v>0.13235141202160391</v>
      </c>
    </row>
    <row r="48" spans="1:5">
      <c r="A48">
        <f>A46-0.28</f>
        <v>9.7190000000000012</v>
      </c>
      <c r="B48">
        <v>10</v>
      </c>
      <c r="C48">
        <f>A48/$A$18</f>
        <v>0.12440399618557561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3D4F-5779-4017-A819-993CEEDC2A52}">
  <dimension ref="A1:AK34"/>
  <sheetViews>
    <sheetView topLeftCell="A24" workbookViewId="0">
      <selection activeCell="U44" sqref="U44"/>
    </sheetView>
  </sheetViews>
  <sheetFormatPr defaultRowHeight="14.4"/>
  <cols>
    <col min="10" max="10" width="12.88671875" customWidth="1"/>
  </cols>
  <sheetData>
    <row r="1" spans="1:37" ht="15.6">
      <c r="A1" s="18" t="s">
        <v>73</v>
      </c>
      <c r="B1" s="18"/>
      <c r="C1" s="18"/>
      <c r="D1" s="18"/>
      <c r="E1" s="18"/>
      <c r="F1" s="18"/>
      <c r="G1" s="18"/>
      <c r="H1" s="18"/>
      <c r="I1" s="18"/>
      <c r="J1" t="s">
        <v>49</v>
      </c>
      <c r="K1" t="s">
        <v>62</v>
      </c>
      <c r="L1">
        <v>4.7077586698296654E-2</v>
      </c>
      <c r="M1" t="s">
        <v>61</v>
      </c>
      <c r="N1">
        <v>0.12473541175047988</v>
      </c>
      <c r="O1" t="s">
        <v>63</v>
      </c>
      <c r="P1">
        <v>8.4125227249623638E-2</v>
      </c>
      <c r="Q1" t="s">
        <v>64</v>
      </c>
      <c r="R1">
        <v>0.19785227543814601</v>
      </c>
      <c r="T1" t="s">
        <v>53</v>
      </c>
      <c r="V1" s="18"/>
      <c r="W1" s="18"/>
      <c r="X1" s="18"/>
      <c r="Y1" s="18"/>
      <c r="Z1" s="18"/>
      <c r="AA1" s="18"/>
      <c r="AD1" s="5"/>
    </row>
    <row r="2" spans="1:37">
      <c r="A2" s="18" t="s">
        <v>45</v>
      </c>
      <c r="B2" s="18"/>
      <c r="C2" s="4"/>
      <c r="D2" s="18" t="s">
        <v>46</v>
      </c>
      <c r="E2" s="18"/>
      <c r="F2" s="18" t="s">
        <v>47</v>
      </c>
      <c r="G2" s="18"/>
      <c r="H2" s="18" t="s">
        <v>48</v>
      </c>
      <c r="I2" s="18"/>
      <c r="K2" s="18" t="s">
        <v>45</v>
      </c>
      <c r="L2" s="18"/>
      <c r="M2" s="18" t="s">
        <v>46</v>
      </c>
      <c r="N2" s="18"/>
      <c r="O2" s="18" t="s">
        <v>47</v>
      </c>
      <c r="P2" s="18"/>
      <c r="Q2" s="18" t="s">
        <v>48</v>
      </c>
      <c r="R2" s="18"/>
      <c r="T2" s="18" t="s">
        <v>45</v>
      </c>
      <c r="U2" s="18"/>
      <c r="V2" s="18" t="s">
        <v>46</v>
      </c>
      <c r="W2" s="18"/>
      <c r="X2" s="18" t="s">
        <v>47</v>
      </c>
      <c r="Y2" s="18"/>
      <c r="Z2" s="18" t="s">
        <v>48</v>
      </c>
      <c r="AA2" s="18"/>
      <c r="AD2" s="18"/>
      <c r="AE2" s="18"/>
      <c r="AF2" s="18"/>
      <c r="AG2" s="18"/>
      <c r="AH2" s="18"/>
      <c r="AI2" s="18"/>
      <c r="AJ2" s="18"/>
      <c r="AK2" s="18"/>
    </row>
    <row r="3" spans="1:37" ht="15.6">
      <c r="A3" t="s">
        <v>72</v>
      </c>
      <c r="B3" t="s">
        <v>50</v>
      </c>
      <c r="C3" t="s">
        <v>55</v>
      </c>
      <c r="D3" t="s">
        <v>72</v>
      </c>
      <c r="E3" t="s">
        <v>50</v>
      </c>
      <c r="F3" t="s">
        <v>72</v>
      </c>
      <c r="G3" t="s">
        <v>50</v>
      </c>
      <c r="H3" t="s">
        <v>72</v>
      </c>
      <c r="I3" t="s">
        <v>50</v>
      </c>
      <c r="K3" t="s">
        <v>51</v>
      </c>
      <c r="M3" t="s">
        <v>51</v>
      </c>
      <c r="O3" t="s">
        <v>51</v>
      </c>
      <c r="Q3" t="s">
        <v>51</v>
      </c>
      <c r="T3" t="s">
        <v>54</v>
      </c>
      <c r="V3" t="s">
        <v>54</v>
      </c>
      <c r="X3" t="s">
        <v>54</v>
      </c>
      <c r="Z3" t="s">
        <v>54</v>
      </c>
    </row>
    <row r="4" spans="1:37">
      <c r="A4">
        <v>0</v>
      </c>
      <c r="B4">
        <v>1</v>
      </c>
      <c r="C4">
        <f>EXP(-($L$1)*(A4))</f>
        <v>1</v>
      </c>
      <c r="D4">
        <v>0</v>
      </c>
      <c r="E4">
        <v>1</v>
      </c>
      <c r="F4">
        <v>0</v>
      </c>
      <c r="G4">
        <v>1</v>
      </c>
      <c r="H4">
        <v>0</v>
      </c>
      <c r="I4">
        <v>1</v>
      </c>
      <c r="K4">
        <f>EXP(-($L$1)*(A4))</f>
        <v>1</v>
      </c>
      <c r="M4">
        <f>EXP(-($N$1)*(D4))</f>
        <v>1</v>
      </c>
      <c r="O4">
        <f>EXP(-($P$1)*(F4))</f>
        <v>1</v>
      </c>
      <c r="Q4">
        <f>EXP(-($R$1)*(H4))</f>
        <v>1</v>
      </c>
      <c r="T4">
        <f>(B4-K4)^2</f>
        <v>0</v>
      </c>
      <c r="U4">
        <f>(B4-$K$24)^2</f>
        <v>0.18080437704297925</v>
      </c>
      <c r="V4">
        <f>(E4-M4)^2</f>
        <v>0</v>
      </c>
      <c r="W4">
        <f>(V4-$M$14)^2</f>
        <v>0.34173389643752966</v>
      </c>
      <c r="X4">
        <f>(G4-O4)^2</f>
        <v>0</v>
      </c>
      <c r="Y4">
        <f>(G4-$O$22)^2</f>
        <v>0.29083150776421257</v>
      </c>
      <c r="Z4">
        <f>(I4-Q4)^2</f>
        <v>0</v>
      </c>
      <c r="AA4">
        <f>(I4-$Q$15)^2</f>
        <v>0.30362708905643632</v>
      </c>
    </row>
    <row r="5" spans="1:37">
      <c r="A5">
        <v>1</v>
      </c>
      <c r="B5">
        <v>0.84208722400184877</v>
      </c>
      <c r="C5">
        <f t="shared" ref="C5:C23" si="0">EXP(-($L$1)*(A5))</f>
        <v>0.95401337597088931</v>
      </c>
      <c r="D5">
        <v>1</v>
      </c>
      <c r="E5">
        <v>0.8719047990821901</v>
      </c>
      <c r="F5">
        <v>1</v>
      </c>
      <c r="G5">
        <v>0.78247024774843776</v>
      </c>
      <c r="H5">
        <v>1</v>
      </c>
      <c r="I5">
        <v>0.80714948566211964</v>
      </c>
      <c r="K5">
        <f t="shared" ref="K5:K23" si="1">EXP(-($L$1)*(A5))</f>
        <v>0.95401337597088931</v>
      </c>
      <c r="M5">
        <f t="shared" ref="M5:M13" si="2">EXP(-($N$1)*(D5))</f>
        <v>0.88273043178843646</v>
      </c>
      <c r="O5">
        <f t="shared" ref="O5:O21" si="3">EXP(-($P$1)*(F5))</f>
        <v>0.91931612545660291</v>
      </c>
      <c r="Q5">
        <f t="shared" ref="Q5:Q14" si="4">EXP(-($R$1)*(H5))</f>
        <v>0.8204910508666643</v>
      </c>
      <c r="T5">
        <f t="shared" ref="T5:T22" si="5">(B5-K5)^2</f>
        <v>1.2527463494596758E-2</v>
      </c>
      <c r="U5">
        <f t="shared" ref="U5:U23" si="6">(B5-$K$24)^2</f>
        <v>7.1448329567423571E-2</v>
      </c>
      <c r="V5">
        <f t="shared" ref="V5:V13" si="7">(E5-M5)^2</f>
        <v>1.1719432349055108E-4</v>
      </c>
      <c r="W5">
        <f t="shared" ref="W5:W13" si="8">(V5-$M$14)^2</f>
        <v>0.34159689123272224</v>
      </c>
      <c r="X5">
        <f t="shared" ref="X5:X21" si="9">(G5-O5)^2</f>
        <v>1.872679424571809E-2</v>
      </c>
      <c r="Y5">
        <f t="shared" ref="Y5:Y21" si="10">(G5-$O$22)^2</f>
        <v>0.10352834661810206</v>
      </c>
      <c r="Z5">
        <f t="shared" ref="Z5:Z14" si="11">(I5-Q5)^2</f>
        <v>1.7799736210711675E-4</v>
      </c>
      <c r="AA5">
        <f t="shared" ref="AA5:AA14" si="12">(I5-$Q$15)^2</f>
        <v>0.12828801213852842</v>
      </c>
    </row>
    <row r="6" spans="1:37">
      <c r="A6">
        <v>2</v>
      </c>
      <c r="B6">
        <v>0.85583101299828412</v>
      </c>
      <c r="C6">
        <f t="shared" si="0"/>
        <v>0.9101415215313734</v>
      </c>
      <c r="D6">
        <v>2</v>
      </c>
      <c r="E6">
        <v>0.87300358352871843</v>
      </c>
      <c r="F6">
        <v>2</v>
      </c>
      <c r="G6">
        <v>0.73611508402642223</v>
      </c>
      <c r="H6">
        <v>2</v>
      </c>
      <c r="I6">
        <v>0.69660154192315715</v>
      </c>
      <c r="K6">
        <f t="shared" si="1"/>
        <v>0.9101415215313734</v>
      </c>
      <c r="M6">
        <f t="shared" si="2"/>
        <v>0.77921301520539943</v>
      </c>
      <c r="O6">
        <f t="shared" si="3"/>
        <v>0.84514213852454045</v>
      </c>
      <c r="Q6">
        <f t="shared" si="4"/>
        <v>0.67320556455228309</v>
      </c>
      <c r="T6">
        <f t="shared" si="5"/>
        <v>2.9496313371227627E-3</v>
      </c>
      <c r="U6">
        <f t="shared" si="6"/>
        <v>7.8984601518079262E-2</v>
      </c>
      <c r="V6">
        <f t="shared" si="7"/>
        <v>8.7966707064111704E-3</v>
      </c>
      <c r="W6">
        <f t="shared" si="8"/>
        <v>0.33152656052363272</v>
      </c>
      <c r="X6">
        <f t="shared" si="9"/>
        <v>1.1886898612535642E-2</v>
      </c>
      <c r="Y6">
        <f t="shared" si="10"/>
        <v>7.5846838682968543E-2</v>
      </c>
      <c r="Z6">
        <f t="shared" si="11"/>
        <v>5.4737175713845138E-4</v>
      </c>
      <c r="AA6">
        <f t="shared" si="12"/>
        <v>6.1318247447733752E-2</v>
      </c>
    </row>
    <row r="7" spans="1:37">
      <c r="A7">
        <v>3</v>
      </c>
      <c r="B7">
        <v>0.89411921590304944</v>
      </c>
      <c r="C7">
        <f t="shared" si="0"/>
        <v>0.86828718556742734</v>
      </c>
      <c r="D7">
        <v>3</v>
      </c>
      <c r="E7">
        <v>0.8085873453509933</v>
      </c>
      <c r="F7">
        <v>3</v>
      </c>
      <c r="G7">
        <v>0.67457705383364175</v>
      </c>
      <c r="H7">
        <v>3</v>
      </c>
      <c r="I7">
        <v>0.63196444601167723</v>
      </c>
      <c r="K7">
        <f t="shared" si="1"/>
        <v>0.86828718556742734</v>
      </c>
      <c r="M7">
        <f t="shared" si="2"/>
        <v>0.68783504136743168</v>
      </c>
      <c r="O7">
        <f t="shared" si="3"/>
        <v>0.77695279624848812</v>
      </c>
      <c r="Q7">
        <f t="shared" si="4"/>
        <v>0.55235914110878881</v>
      </c>
      <c r="T7">
        <f t="shared" si="5"/>
        <v>6.6729379126049995E-4</v>
      </c>
      <c r="U7">
        <f t="shared" si="6"/>
        <v>0.10197177366282809</v>
      </c>
      <c r="V7">
        <f t="shared" si="7"/>
        <v>1.4581118917338473E-2</v>
      </c>
      <c r="W7">
        <f t="shared" si="8"/>
        <v>0.32489884147893228</v>
      </c>
      <c r="X7">
        <f t="shared" si="9"/>
        <v>1.0480792634990974E-2</v>
      </c>
      <c r="Y7">
        <f t="shared" si="10"/>
        <v>4.5738245713767174E-2</v>
      </c>
      <c r="Z7">
        <f t="shared" si="11"/>
        <v>6.337004568681831E-3</v>
      </c>
      <c r="AA7">
        <f t="shared" si="12"/>
        <v>3.348465198171463E-2</v>
      </c>
    </row>
    <row r="8" spans="1:37">
      <c r="A8">
        <v>4</v>
      </c>
      <c r="B8">
        <v>0.80782806424512987</v>
      </c>
      <c r="C8">
        <f t="shared" si="0"/>
        <v>0.82835758921544345</v>
      </c>
      <c r="D8">
        <v>4</v>
      </c>
      <c r="E8">
        <v>0.66526042465241864</v>
      </c>
      <c r="F8">
        <v>4</v>
      </c>
      <c r="G8">
        <v>0.58964137477944789</v>
      </c>
      <c r="H8">
        <v>4</v>
      </c>
      <c r="I8">
        <v>0.49811642751536406</v>
      </c>
      <c r="K8">
        <f t="shared" si="1"/>
        <v>0.82835758921544345</v>
      </c>
      <c r="M8">
        <f t="shared" si="2"/>
        <v>0.60717292306548998</v>
      </c>
      <c r="O8">
        <f t="shared" si="3"/>
        <v>0.71426523430983357</v>
      </c>
      <c r="Q8">
        <f t="shared" si="4"/>
        <v>0.45320573214415827</v>
      </c>
      <c r="T8">
        <f t="shared" si="5"/>
        <v>4.2146139550672853E-4</v>
      </c>
      <c r="U8">
        <f t="shared" si="6"/>
        <v>5.4307195885327258E-2</v>
      </c>
      <c r="V8">
        <f t="shared" si="7"/>
        <v>3.3741578406114394E-3</v>
      </c>
      <c r="W8">
        <f t="shared" si="8"/>
        <v>0.33780035030488498</v>
      </c>
      <c r="X8">
        <f t="shared" si="9"/>
        <v>1.5531106364249302E-2</v>
      </c>
      <c r="Y8">
        <f t="shared" si="10"/>
        <v>1.6622774314178312E-2</v>
      </c>
      <c r="Z8">
        <f t="shared" si="11"/>
        <v>2.0169705587252452E-3</v>
      </c>
      <c r="AA8">
        <f t="shared" si="12"/>
        <v>2.4147495544650554E-3</v>
      </c>
    </row>
    <row r="9" spans="1:37">
      <c r="A9">
        <v>5</v>
      </c>
      <c r="B9">
        <v>0.77924179723414255</v>
      </c>
      <c r="C9">
        <f t="shared" si="0"/>
        <v>0.79026422019853237</v>
      </c>
      <c r="D9">
        <v>5</v>
      </c>
      <c r="E9">
        <v>0.60194953462483713</v>
      </c>
      <c r="F9">
        <v>5</v>
      </c>
      <c r="G9">
        <v>0.55531138531890867</v>
      </c>
      <c r="H9">
        <v>5</v>
      </c>
      <c r="I9">
        <v>0.42557964286029865</v>
      </c>
      <c r="K9">
        <f t="shared" si="1"/>
        <v>0.79026422019853237</v>
      </c>
      <c r="M9">
        <f t="shared" si="2"/>
        <v>0.53597001654784704</v>
      </c>
      <c r="O9">
        <f t="shared" si="3"/>
        <v>0.65663554775406885</v>
      </c>
      <c r="Q9">
        <f t="shared" si="4"/>
        <v>0.37185124742575643</v>
      </c>
      <c r="T9">
        <f t="shared" si="5"/>
        <v>1.2149380800590811E-4</v>
      </c>
      <c r="U9">
        <f t="shared" si="6"/>
        <v>4.1800937892966787E-2</v>
      </c>
      <c r="V9">
        <f t="shared" si="7"/>
        <v>4.353296805671863E-3</v>
      </c>
      <c r="W9">
        <f t="shared" si="8"/>
        <v>0.33666314624338367</v>
      </c>
      <c r="X9">
        <f t="shared" si="9"/>
        <v>1.0266585893186726E-2</v>
      </c>
      <c r="Y9">
        <f t="shared" si="10"/>
        <v>8.9490368299808866E-3</v>
      </c>
      <c r="Z9">
        <f t="shared" si="11"/>
        <v>2.8867404759705373E-3</v>
      </c>
      <c r="AA9">
        <f t="shared" si="12"/>
        <v>5.474047926405369E-4</v>
      </c>
    </row>
    <row r="10" spans="1:37">
      <c r="A10">
        <v>6</v>
      </c>
      <c r="B10">
        <v>0.74887565034061343</v>
      </c>
      <c r="C10">
        <f t="shared" si="0"/>
        <v>0.7539226366206041</v>
      </c>
      <c r="D10">
        <v>6</v>
      </c>
      <c r="E10">
        <v>0.66656424213610876</v>
      </c>
      <c r="F10">
        <v>6</v>
      </c>
      <c r="G10">
        <v>0.49938671406882423</v>
      </c>
      <c r="H10">
        <v>6</v>
      </c>
      <c r="I10">
        <v>0.31685483154225391</v>
      </c>
      <c r="K10">
        <f t="shared" si="1"/>
        <v>0.7539226366206041</v>
      </c>
      <c r="M10">
        <f t="shared" si="2"/>
        <v>0.47311704413293648</v>
      </c>
      <c r="O10">
        <f t="shared" si="3"/>
        <v>0.60365564759834478</v>
      </c>
      <c r="Q10">
        <f t="shared" si="4"/>
        <v>0.30510062076643885</v>
      </c>
      <c r="T10">
        <f t="shared" si="5"/>
        <v>2.5472070510414089E-5</v>
      </c>
      <c r="U10">
        <f t="shared" si="6"/>
        <v>3.0306154671097065E-2</v>
      </c>
      <c r="V10">
        <f t="shared" si="7"/>
        <v>3.7421818415278543E-2</v>
      </c>
      <c r="W10">
        <f t="shared" si="8"/>
        <v>0.2993821880284413</v>
      </c>
      <c r="X10">
        <f t="shared" si="9"/>
        <v>1.0872010499383574E-2</v>
      </c>
      <c r="Y10">
        <f t="shared" si="10"/>
        <v>1.4957306985516785E-3</v>
      </c>
      <c r="Z10">
        <f t="shared" si="11"/>
        <v>1.3816147096228703E-4</v>
      </c>
      <c r="AA10">
        <f t="shared" si="12"/>
        <v>1.7456089358176698E-2</v>
      </c>
    </row>
    <row r="11" spans="1:37">
      <c r="A11">
        <v>8</v>
      </c>
      <c r="B11">
        <v>0.7573010895075255</v>
      </c>
      <c r="C11">
        <f t="shared" si="0"/>
        <v>0.68617629561082139</v>
      </c>
      <c r="D11">
        <v>8</v>
      </c>
      <c r="E11">
        <v>0.17383457194399796</v>
      </c>
      <c r="F11">
        <v>8</v>
      </c>
      <c r="G11">
        <v>0.45973661826485396</v>
      </c>
      <c r="H11">
        <v>7</v>
      </c>
      <c r="I11">
        <v>0.1540948684218085</v>
      </c>
      <c r="K11">
        <f t="shared" si="1"/>
        <v>0.68617629561082139</v>
      </c>
      <c r="M11">
        <f t="shared" si="2"/>
        <v>0.36865895850389147</v>
      </c>
      <c r="O11">
        <f t="shared" si="3"/>
        <v>0.51017482494368149</v>
      </c>
      <c r="Q11">
        <f t="shared" si="4"/>
        <v>0.25033232895272706</v>
      </c>
      <c r="T11">
        <f t="shared" si="5"/>
        <v>5.0587363068486397E-3</v>
      </c>
      <c r="U11">
        <f t="shared" si="6"/>
        <v>3.3310655314362878E-2</v>
      </c>
      <c r="V11">
        <f t="shared" si="7"/>
        <v>3.7956541598438816E-2</v>
      </c>
      <c r="W11">
        <f t="shared" si="8"/>
        <v>0.29879731751842564</v>
      </c>
      <c r="X11">
        <f t="shared" si="9"/>
        <v>2.5440126929761227E-3</v>
      </c>
      <c r="Y11">
        <f t="shared" si="10"/>
        <v>9.5144039299161607E-7</v>
      </c>
      <c r="Z11">
        <f t="shared" si="11"/>
        <v>9.261648809440106E-3</v>
      </c>
      <c r="AA11">
        <f t="shared" si="12"/>
        <v>8.6955074158308804E-2</v>
      </c>
    </row>
    <row r="12" spans="1:37">
      <c r="A12">
        <v>10</v>
      </c>
      <c r="B12">
        <v>0.72542054364670383</v>
      </c>
      <c r="C12">
        <f t="shared" si="0"/>
        <v>0.62451753772599439</v>
      </c>
      <c r="D12">
        <v>10</v>
      </c>
      <c r="E12">
        <v>0.13761229117340132</v>
      </c>
      <c r="F12">
        <v>10</v>
      </c>
      <c r="G12">
        <v>0.43198668331810791</v>
      </c>
      <c r="H12">
        <v>8</v>
      </c>
      <c r="I12">
        <v>0.13002007760794732</v>
      </c>
      <c r="K12">
        <f t="shared" si="1"/>
        <v>0.62451753772599439</v>
      </c>
      <c r="M12">
        <f t="shared" si="2"/>
        <v>0.28726385863829945</v>
      </c>
      <c r="O12">
        <f t="shared" si="3"/>
        <v>0.4311702425742861</v>
      </c>
      <c r="Q12">
        <f t="shared" si="4"/>
        <v>0.20539543564832252</v>
      </c>
      <c r="T12">
        <f t="shared" si="5"/>
        <v>1.0181416603834726E-2</v>
      </c>
      <c r="U12">
        <f t="shared" si="6"/>
        <v>2.2689855749777787E-2</v>
      </c>
      <c r="V12">
        <f t="shared" si="7"/>
        <v>2.2395591644700959E-2</v>
      </c>
      <c r="W12">
        <f t="shared" si="8"/>
        <v>0.31605142443662182</v>
      </c>
      <c r="X12">
        <f t="shared" si="9"/>
        <v>6.6657548817231257E-7</v>
      </c>
      <c r="Y12">
        <f t="shared" si="10"/>
        <v>8.2514590539802728E-4</v>
      </c>
      <c r="Z12">
        <f t="shared" si="11"/>
        <v>5.6814445997147552E-3</v>
      </c>
      <c r="AA12">
        <f t="shared" si="12"/>
        <v>0.10173308853421396</v>
      </c>
    </row>
    <row r="13" spans="1:37">
      <c r="A13">
        <v>12</v>
      </c>
      <c r="B13">
        <v>0.657386688720347</v>
      </c>
      <c r="C13">
        <f t="shared" si="0"/>
        <v>0.56839934200896347</v>
      </c>
      <c r="D13">
        <v>12</v>
      </c>
      <c r="E13">
        <v>0.13138949241803621</v>
      </c>
      <c r="F13">
        <v>12</v>
      </c>
      <c r="G13">
        <v>0.43620617795612521</v>
      </c>
      <c r="H13">
        <v>9</v>
      </c>
      <c r="I13">
        <v>0.13679520979314949</v>
      </c>
      <c r="K13">
        <f t="shared" si="1"/>
        <v>0.56839934200896347</v>
      </c>
      <c r="M13">
        <f t="shared" si="2"/>
        <v>0.22383973744908697</v>
      </c>
      <c r="O13">
        <f t="shared" si="3"/>
        <v>0.36440014087737699</v>
      </c>
      <c r="Q13">
        <f t="shared" si="4"/>
        <v>0.16852511683830848</v>
      </c>
      <c r="T13">
        <f t="shared" si="5"/>
        <v>7.9187478747319816E-3</v>
      </c>
      <c r="U13">
        <f t="shared" si="6"/>
        <v>6.8223747868195713E-3</v>
      </c>
      <c r="V13">
        <f t="shared" si="7"/>
        <v>8.5470478063013264E-3</v>
      </c>
      <c r="W13">
        <f t="shared" si="8"/>
        <v>0.33181408029546883</v>
      </c>
      <c r="X13">
        <f t="shared" si="9"/>
        <v>5.1561069609545639E-3</v>
      </c>
      <c r="Y13">
        <f t="shared" si="10"/>
        <v>6.0053709441877949E-4</v>
      </c>
      <c r="Z13">
        <f t="shared" si="11"/>
        <v>1.00678700109443E-3</v>
      </c>
      <c r="AA13">
        <f t="shared" si="12"/>
        <v>9.7457049458937503E-2</v>
      </c>
    </row>
    <row r="14" spans="1:37">
      <c r="A14">
        <v>14</v>
      </c>
      <c r="B14">
        <v>0.65840012454856434</v>
      </c>
      <c r="C14">
        <f t="shared" si="0"/>
        <v>0.51732384197346948</v>
      </c>
      <c r="F14">
        <v>14</v>
      </c>
      <c r="G14">
        <v>0.38538208797016077</v>
      </c>
      <c r="H14">
        <v>10</v>
      </c>
      <c r="I14">
        <v>0.12766076616203526</v>
      </c>
      <c r="K14">
        <f t="shared" si="1"/>
        <v>0.51732384197346948</v>
      </c>
      <c r="L14" t="s">
        <v>56</v>
      </c>
      <c r="M14">
        <f>AVERAGE(M4:M13)</f>
        <v>0.58458010266988192</v>
      </c>
      <c r="O14">
        <f t="shared" si="3"/>
        <v>0.30796991433975029</v>
      </c>
      <c r="Q14">
        <f t="shared" si="4"/>
        <v>0.13827335021209111</v>
      </c>
      <c r="T14">
        <f t="shared" si="5"/>
        <v>1.9902517505208012E-2</v>
      </c>
      <c r="U14">
        <f t="shared" si="6"/>
        <v>6.9908167114951514E-3</v>
      </c>
      <c r="X14">
        <f t="shared" si="9"/>
        <v>5.9926446261848185E-3</v>
      </c>
      <c r="Y14">
        <f t="shared" si="10"/>
        <v>5.6746011192147653E-3</v>
      </c>
      <c r="Z14">
        <f t="shared" si="11"/>
        <v>1.1262694021949997E-4</v>
      </c>
      <c r="AA14">
        <f t="shared" si="12"/>
        <v>0.10324368914094494</v>
      </c>
    </row>
    <row r="15" spans="1:37">
      <c r="A15">
        <v>16</v>
      </c>
      <c r="B15">
        <v>0.53930532137147458</v>
      </c>
      <c r="C15">
        <f t="shared" si="0"/>
        <v>0.47083790865818931</v>
      </c>
      <c r="F15">
        <v>16</v>
      </c>
      <c r="G15">
        <v>0.36056106220175366</v>
      </c>
      <c r="K15">
        <f t="shared" si="1"/>
        <v>0.47083790865818931</v>
      </c>
      <c r="O15">
        <f t="shared" si="3"/>
        <v>0.26027835200631605</v>
      </c>
      <c r="P15" t="s">
        <v>56</v>
      </c>
      <c r="Q15">
        <f>AVERAGE(Q4:Q14)</f>
        <v>0.44897632622868522</v>
      </c>
      <c r="T15">
        <f t="shared" si="5"/>
        <v>4.6877866036513375E-3</v>
      </c>
      <c r="U15">
        <f t="shared" si="6"/>
        <v>1.2590929075463895E-3</v>
      </c>
      <c r="X15">
        <f t="shared" si="9"/>
        <v>1.0056621964142125E-2</v>
      </c>
      <c r="Y15">
        <f t="shared" si="10"/>
        <v>1.0030217617930907E-2</v>
      </c>
    </row>
    <row r="16" spans="1:37">
      <c r="A16">
        <v>18</v>
      </c>
      <c r="B16">
        <v>0.50581451079406126</v>
      </c>
      <c r="C16">
        <f t="shared" si="0"/>
        <v>0.42852913058081427</v>
      </c>
      <c r="F16">
        <v>18</v>
      </c>
      <c r="G16">
        <v>0.31944179712752446</v>
      </c>
      <c r="K16">
        <f t="shared" si="1"/>
        <v>0.42852913058081427</v>
      </c>
      <c r="O16">
        <f t="shared" si="3"/>
        <v>0.21997220302626108</v>
      </c>
      <c r="T16">
        <f t="shared" si="5"/>
        <v>5.9730299947061494E-3</v>
      </c>
      <c r="U16">
        <f t="shared" si="6"/>
        <v>4.7574829963720304E-3</v>
      </c>
      <c r="X16">
        <f t="shared" si="9"/>
        <v>9.8942001506700916E-3</v>
      </c>
      <c r="Y16">
        <f t="shared" si="10"/>
        <v>1.9957280483047016E-2</v>
      </c>
    </row>
    <row r="17" spans="1:27">
      <c r="A17">
        <v>20</v>
      </c>
      <c r="B17">
        <v>0.40482099376610842</v>
      </c>
      <c r="C17">
        <f t="shared" si="0"/>
        <v>0.39002215492733888</v>
      </c>
      <c r="F17">
        <v>20</v>
      </c>
      <c r="G17">
        <v>0.23230066061049878</v>
      </c>
      <c r="K17">
        <f t="shared" si="1"/>
        <v>0.39002215492733888</v>
      </c>
      <c r="O17">
        <f t="shared" si="3"/>
        <v>0.18590777808156872</v>
      </c>
      <c r="T17">
        <f t="shared" si="5"/>
        <v>2.1900563097587364E-4</v>
      </c>
      <c r="U17">
        <f t="shared" si="6"/>
        <v>2.8889130129548805E-2</v>
      </c>
      <c r="X17">
        <f t="shared" si="9"/>
        <v>2.1522995493431043E-3</v>
      </c>
      <c r="Y17">
        <f t="shared" si="10"/>
        <v>5.2171756556009412E-2</v>
      </c>
    </row>
    <row r="18" spans="1:27">
      <c r="A18">
        <v>22</v>
      </c>
      <c r="B18">
        <v>0.40515242573112892</v>
      </c>
      <c r="C18">
        <f t="shared" si="0"/>
        <v>0.35497535751651321</v>
      </c>
      <c r="F18">
        <v>22</v>
      </c>
      <c r="G18">
        <v>0.15070119437459695</v>
      </c>
      <c r="K18">
        <f t="shared" si="1"/>
        <v>0.35497535751651321</v>
      </c>
      <c r="O18">
        <f t="shared" si="3"/>
        <v>0.15711849713620266</v>
      </c>
      <c r="T18">
        <f t="shared" si="5"/>
        <v>2.5177381746141979E-3</v>
      </c>
      <c r="U18">
        <f t="shared" si="6"/>
        <v>2.8776574302479516E-2</v>
      </c>
      <c r="X18">
        <f t="shared" si="9"/>
        <v>4.1181774734112256E-5</v>
      </c>
      <c r="Y18">
        <f t="shared" si="10"/>
        <v>9.610672212709416E-2</v>
      </c>
    </row>
    <row r="19" spans="1:27">
      <c r="A19">
        <v>24</v>
      </c>
      <c r="B19">
        <v>0.25103593126455687</v>
      </c>
      <c r="C19">
        <f t="shared" si="0"/>
        <v>0.3230778119962226</v>
      </c>
      <c r="F19">
        <v>24</v>
      </c>
      <c r="G19">
        <v>0.15110482263125347</v>
      </c>
      <c r="K19">
        <f t="shared" si="1"/>
        <v>0.3230778119962226</v>
      </c>
      <c r="O19">
        <f t="shared" si="3"/>
        <v>0.13278746267145219</v>
      </c>
      <c r="T19">
        <f t="shared" si="5"/>
        <v>5.1900325793555503E-3</v>
      </c>
      <c r="U19">
        <f t="shared" si="6"/>
        <v>0.10481606282327598</v>
      </c>
      <c r="X19">
        <f t="shared" si="9"/>
        <v>3.3552567589693086E-4</v>
      </c>
      <c r="Y19">
        <f t="shared" si="10"/>
        <v>9.5856626771501224E-2</v>
      </c>
    </row>
    <row r="20" spans="1:27">
      <c r="A20">
        <v>26</v>
      </c>
      <c r="B20">
        <v>0.16550448692936906</v>
      </c>
      <c r="C20">
        <f t="shared" si="0"/>
        <v>0.29404653138326903</v>
      </c>
      <c r="F20">
        <v>26</v>
      </c>
      <c r="G20">
        <v>0.13179349913915536</v>
      </c>
      <c r="K20">
        <f t="shared" si="1"/>
        <v>0.29404653138326903</v>
      </c>
      <c r="O20">
        <f t="shared" si="3"/>
        <v>0.11222428017139872</v>
      </c>
      <c r="T20">
        <f t="shared" si="5"/>
        <v>1.6523057192388394E-2</v>
      </c>
      <c r="U20">
        <f t="shared" si="6"/>
        <v>0.16751382946283722</v>
      </c>
      <c r="X20">
        <f t="shared" si="9"/>
        <v>3.8295433100800618E-4</v>
      </c>
      <c r="Y20">
        <f t="shared" si="10"/>
        <v>0.10818740410479034</v>
      </c>
    </row>
    <row r="21" spans="1:27">
      <c r="A21">
        <v>28</v>
      </c>
      <c r="B21">
        <v>0.13092609034474734</v>
      </c>
      <c r="C21">
        <f t="shared" si="0"/>
        <v>0.26762395747419127</v>
      </c>
      <c r="F21">
        <v>28</v>
      </c>
      <c r="G21">
        <v>0.12964168263055892</v>
      </c>
      <c r="K21">
        <f t="shared" si="1"/>
        <v>0.26762395747419127</v>
      </c>
      <c r="O21">
        <f t="shared" si="3"/>
        <v>9.4845468138433114E-2</v>
      </c>
      <c r="T21">
        <f t="shared" si="5"/>
        <v>1.8686306877739107E-2</v>
      </c>
      <c r="U21">
        <f t="shared" si="6"/>
        <v>0.19701430081232318</v>
      </c>
      <c r="X21">
        <f t="shared" si="9"/>
        <v>1.2107765429820259E-3</v>
      </c>
      <c r="Y21">
        <f t="shared" si="10"/>
        <v>0.10960757909567884</v>
      </c>
    </row>
    <row r="22" spans="1:27">
      <c r="A22">
        <v>30</v>
      </c>
      <c r="B22">
        <v>0.12918285933370885</v>
      </c>
      <c r="C22">
        <f t="shared" si="0"/>
        <v>0.24357567585380799</v>
      </c>
      <c r="K22">
        <f t="shared" si="1"/>
        <v>0.24357567585380799</v>
      </c>
      <c r="N22" t="s">
        <v>56</v>
      </c>
      <c r="O22">
        <f>AVERAGE(O4:O21)</f>
        <v>0.46071203632547802</v>
      </c>
      <c r="T22">
        <f t="shared" si="5"/>
        <v>1.3085716471401066E-2</v>
      </c>
      <c r="U22">
        <f t="shared" si="6"/>
        <v>0.19856485091585699</v>
      </c>
    </row>
    <row r="23" spans="1:27">
      <c r="A23">
        <v>32</v>
      </c>
      <c r="B23">
        <v>0.13792761311581958</v>
      </c>
      <c r="C23">
        <f t="shared" si="0"/>
        <v>0.22168833622961742</v>
      </c>
      <c r="K23">
        <f t="shared" si="1"/>
        <v>0.22168833622961742</v>
      </c>
      <c r="T23">
        <f>(B23-K23)^2</f>
        <v>7.0158587365463081E-3</v>
      </c>
      <c r="U23">
        <f t="shared" si="6"/>
        <v>0.1908478893072727</v>
      </c>
    </row>
    <row r="24" spans="1:27">
      <c r="A24">
        <f>AVERAGE(A4:A23)</f>
        <v>14.05</v>
      </c>
      <c r="B24">
        <f>AVERAGE(B4:B23)</f>
        <v>0.56980808218985901</v>
      </c>
      <c r="J24" t="s">
        <v>56</v>
      </c>
      <c r="K24">
        <f>AVERAGE(K4:K23)</f>
        <v>0.57478902055217429</v>
      </c>
    </row>
    <row r="26" spans="1:27">
      <c r="S26" t="s">
        <v>53</v>
      </c>
      <c r="T26">
        <f>SUM(T4:T23)</f>
        <v>0.13367276644900442</v>
      </c>
      <c r="U26">
        <f>SUM(U4:U23)</f>
        <v>1.5518762864606697</v>
      </c>
      <c r="V26">
        <f>SUM(V4:V13)</f>
        <v>0.13754343805824315</v>
      </c>
      <c r="W26">
        <f>SUM(W4:W13)</f>
        <v>3.2602646965000432</v>
      </c>
      <c r="X26">
        <f>SUM(X4:X21)</f>
        <v>0.11553117909444437</v>
      </c>
      <c r="Y26">
        <f>SUM(Y4:Y21)</f>
        <v>1.0420313029372377</v>
      </c>
      <c r="Z26">
        <f>SUM(Z4:Z14)</f>
        <v>2.8166753544054259E-2</v>
      </c>
      <c r="AA26">
        <f>SUM(AA4:AA14)</f>
        <v>0.93652514562210054</v>
      </c>
    </row>
    <row r="28" spans="1:27">
      <c r="S28" t="s">
        <v>57</v>
      </c>
      <c r="T28">
        <f>(T26/20)^(1/2)</f>
        <v>8.1753521773989771E-2</v>
      </c>
      <c r="V28">
        <f>SQRT(V26/10)</f>
        <v>0.11727891458324602</v>
      </c>
      <c r="X28">
        <f>SQRT(X26/18)</f>
        <v>8.011491021389365E-2</v>
      </c>
      <c r="Z28">
        <f>SQRT(Z26/11)</f>
        <v>5.0602509409617101E-2</v>
      </c>
    </row>
    <row r="30" spans="1:27" ht="16.2">
      <c r="S30" s="5" t="s">
        <v>58</v>
      </c>
      <c r="T30">
        <f>T26/(20-1)</f>
        <v>7.0354087604739164E-3</v>
      </c>
      <c r="V30">
        <f>V26/(10-1)</f>
        <v>1.5282604228693684E-2</v>
      </c>
      <c r="X30">
        <f>X26/(18-1)</f>
        <v>6.795951711437904E-3</v>
      </c>
      <c r="Z30">
        <f>Z26/(11-1)</f>
        <v>2.8166753544054258E-3</v>
      </c>
    </row>
    <row r="32" spans="1:27" ht="16.2">
      <c r="S32" t="s">
        <v>60</v>
      </c>
      <c r="T32">
        <f>1-(T26/U26)</f>
        <v>0.91386377405516717</v>
      </c>
      <c r="V32">
        <f>1-(V26/W26)</f>
        <v>0.9578121867816749</v>
      </c>
      <c r="X32">
        <f>1-(X26/Y26)</f>
        <v>0.88912887859626721</v>
      </c>
      <c r="Z32">
        <f>1-(Z26/AA26)</f>
        <v>0.96992418871428798</v>
      </c>
    </row>
    <row r="34" spans="19:26">
      <c r="S34" t="s">
        <v>65</v>
      </c>
      <c r="T34">
        <v>4.7077586698296654E-2</v>
      </c>
      <c r="V34">
        <v>0.12473541175047988</v>
      </c>
      <c r="X34">
        <v>8.4125227249623638E-2</v>
      </c>
      <c r="Z34">
        <v>0.19785227543814601</v>
      </c>
    </row>
  </sheetData>
  <mergeCells count="18">
    <mergeCell ref="AD2:AE2"/>
    <mergeCell ref="AF2:AG2"/>
    <mergeCell ref="AH2:AI2"/>
    <mergeCell ref="AJ2:AK2"/>
    <mergeCell ref="Q2:R2"/>
    <mergeCell ref="T2:U2"/>
    <mergeCell ref="V2:W2"/>
    <mergeCell ref="X2:Y2"/>
    <mergeCell ref="Z2:AA2"/>
    <mergeCell ref="V1:AA1"/>
    <mergeCell ref="A2:B2"/>
    <mergeCell ref="D2:E2"/>
    <mergeCell ref="F2:G2"/>
    <mergeCell ref="H2:I2"/>
    <mergeCell ref="A1:I1"/>
    <mergeCell ref="K2:L2"/>
    <mergeCell ref="M2:N2"/>
    <mergeCell ref="O2:P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5CC07-80A6-4165-99EE-302AD2C3FACF}">
  <dimension ref="A1:BG47"/>
  <sheetViews>
    <sheetView topLeftCell="L3" zoomScaleNormal="100" workbookViewId="0">
      <selection activeCell="Q21" sqref="Q21"/>
    </sheetView>
  </sheetViews>
  <sheetFormatPr defaultRowHeight="14.4"/>
  <cols>
    <col min="31" max="31" width="12" bestFit="1" customWidth="1"/>
  </cols>
  <sheetData>
    <row r="1" spans="1:59" ht="16.2">
      <c r="A1" s="7" t="s">
        <v>70</v>
      </c>
      <c r="C1" s="18" t="s">
        <v>71</v>
      </c>
      <c r="D1" s="18"/>
      <c r="E1" s="18"/>
      <c r="F1" s="18"/>
      <c r="G1" s="18"/>
      <c r="H1" s="18"/>
      <c r="I1" s="18"/>
      <c r="J1" s="18"/>
      <c r="AA1" s="7" t="s">
        <v>70</v>
      </c>
      <c r="AC1" s="18" t="s">
        <v>71</v>
      </c>
      <c r="AD1" s="18"/>
      <c r="AE1" s="18"/>
      <c r="AF1" s="18"/>
      <c r="AG1" s="18"/>
      <c r="AH1" s="18"/>
      <c r="AI1" s="18"/>
      <c r="AJ1" s="18"/>
    </row>
    <row r="2" spans="1:59">
      <c r="C2" s="18" t="s">
        <v>45</v>
      </c>
      <c r="D2" s="18"/>
      <c r="E2" s="18" t="s">
        <v>46</v>
      </c>
      <c r="F2" s="18"/>
      <c r="G2" s="18" t="s">
        <v>47</v>
      </c>
      <c r="H2" s="18"/>
      <c r="I2" s="18" t="s">
        <v>48</v>
      </c>
      <c r="J2" s="18"/>
      <c r="L2" s="8" t="s">
        <v>45</v>
      </c>
      <c r="M2" s="8" t="s">
        <v>46</v>
      </c>
      <c r="N2" s="8" t="s">
        <v>47</v>
      </c>
      <c r="O2" s="8" t="s">
        <v>48</v>
      </c>
      <c r="Q2" t="s">
        <v>45</v>
      </c>
      <c r="S2" t="s">
        <v>46</v>
      </c>
      <c r="U2" t="s">
        <v>47</v>
      </c>
      <c r="W2" t="s">
        <v>48</v>
      </c>
      <c r="AC2" s="18" t="s">
        <v>45</v>
      </c>
      <c r="AD2" s="18"/>
      <c r="AE2" s="18" t="s">
        <v>46</v>
      </c>
      <c r="AF2" s="18"/>
      <c r="AG2" s="18" t="s">
        <v>47</v>
      </c>
      <c r="AH2" s="18"/>
      <c r="AI2" s="18" t="s">
        <v>48</v>
      </c>
      <c r="AJ2" s="18"/>
      <c r="AL2" s="8" t="s">
        <v>45</v>
      </c>
      <c r="AM2" s="8" t="s">
        <v>46</v>
      </c>
      <c r="AN2" s="8" t="s">
        <v>47</v>
      </c>
      <c r="AO2" s="8" t="s">
        <v>48</v>
      </c>
      <c r="AQ2" t="s">
        <v>45</v>
      </c>
      <c r="AS2" t="s">
        <v>46</v>
      </c>
      <c r="AU2" t="s">
        <v>47</v>
      </c>
      <c r="AW2" t="s">
        <v>48</v>
      </c>
    </row>
    <row r="3" spans="1:59" ht="15.6">
      <c r="C3" t="s">
        <v>38</v>
      </c>
      <c r="D3" t="s">
        <v>50</v>
      </c>
      <c r="E3" t="s">
        <v>72</v>
      </c>
      <c r="F3" t="s">
        <v>50</v>
      </c>
      <c r="G3" t="s">
        <v>72</v>
      </c>
      <c r="H3" t="s">
        <v>50</v>
      </c>
      <c r="I3" t="s">
        <v>72</v>
      </c>
      <c r="J3" t="s">
        <v>50</v>
      </c>
      <c r="L3" t="s">
        <v>51</v>
      </c>
      <c r="M3" t="s">
        <v>51</v>
      </c>
      <c r="N3" t="s">
        <v>51</v>
      </c>
      <c r="O3" t="s">
        <v>51</v>
      </c>
      <c r="Q3" t="s">
        <v>54</v>
      </c>
      <c r="R3">
        <f>SUM(R4:R23)</f>
        <v>1.5592388534423551</v>
      </c>
      <c r="S3" t="s">
        <v>54</v>
      </c>
      <c r="T3">
        <f>SUM(T4:T13)</f>
        <v>3.5699478545957279</v>
      </c>
      <c r="U3" t="s">
        <v>54</v>
      </c>
      <c r="V3">
        <f>SUM(V4:V21)</f>
        <v>1.0382581410574756</v>
      </c>
      <c r="W3" t="s">
        <v>54</v>
      </c>
      <c r="X3">
        <f>SUM(X4:X14)</f>
        <v>0.93673099945037808</v>
      </c>
      <c r="AC3" t="s">
        <v>72</v>
      </c>
      <c r="AD3" t="s">
        <v>50</v>
      </c>
      <c r="AE3" t="s">
        <v>72</v>
      </c>
      <c r="AF3" t="s">
        <v>50</v>
      </c>
      <c r="AG3" t="s">
        <v>72</v>
      </c>
      <c r="AH3" t="s">
        <v>50</v>
      </c>
      <c r="AI3" t="s">
        <v>72</v>
      </c>
      <c r="AJ3" t="s">
        <v>50</v>
      </c>
      <c r="AL3" t="s">
        <v>51</v>
      </c>
      <c r="AM3" t="s">
        <v>51</v>
      </c>
      <c r="AN3" t="s">
        <v>51</v>
      </c>
      <c r="AO3" t="s">
        <v>51</v>
      </c>
      <c r="AQ3" t="s">
        <v>138</v>
      </c>
      <c r="AR3">
        <f>SUM(AR4:AR17)</f>
        <v>1.3063672746869284</v>
      </c>
      <c r="AS3" t="s">
        <v>54</v>
      </c>
      <c r="AT3">
        <f>SUM(AT4:AT10)</f>
        <v>2.7743569213823576</v>
      </c>
      <c r="AU3" t="s">
        <v>54</v>
      </c>
      <c r="AV3">
        <f>SUM(AV4:AV16)</f>
        <v>0.8474302075508825</v>
      </c>
      <c r="AW3" t="s">
        <v>54</v>
      </c>
      <c r="AX3">
        <f>SUM(AX4:AX11)</f>
        <v>0.79817584036301281</v>
      </c>
      <c r="BA3" t="s">
        <v>54</v>
      </c>
    </row>
    <row r="4" spans="1:59">
      <c r="C4">
        <v>0</v>
      </c>
      <c r="D4">
        <v>1</v>
      </c>
      <c r="E4">
        <v>0</v>
      </c>
      <c r="F4">
        <v>1</v>
      </c>
      <c r="G4">
        <v>0</v>
      </c>
      <c r="H4">
        <v>1</v>
      </c>
      <c r="I4">
        <v>0</v>
      </c>
      <c r="J4">
        <v>1</v>
      </c>
      <c r="L4">
        <f>EXP(-($R$33)*(C4)^($R$35))</f>
        <v>1</v>
      </c>
      <c r="M4">
        <f>EXP(-($T$33)*(E4)^($T$35))</f>
        <v>1</v>
      </c>
      <c r="N4">
        <f>EXP(-$V$33*G4^$V$35)</f>
        <v>1</v>
      </c>
      <c r="O4">
        <f>EXP(-$X$33*I4^$X$35)</f>
        <v>1</v>
      </c>
      <c r="Q4">
        <f>(D4-L4)^2</f>
        <v>0</v>
      </c>
      <c r="R4">
        <f>(D4-$L$24)^2</f>
        <v>0.16840292265098478</v>
      </c>
      <c r="S4">
        <f>(F4-M4)^2</f>
        <v>0</v>
      </c>
      <c r="T4">
        <f>(S4-$M$24)^2</f>
        <v>0.36456176715102068</v>
      </c>
      <c r="U4">
        <f>(H4-N4)^2</f>
        <v>0</v>
      </c>
      <c r="V4">
        <f>(H4-$N$24)^2</f>
        <v>0.30360804552532483</v>
      </c>
      <c r="W4">
        <f>(J4-O4)^2</f>
        <v>0</v>
      </c>
      <c r="X4">
        <f>(J4-$O$24)^2</f>
        <v>0.30006371042671603</v>
      </c>
      <c r="AC4">
        <v>0</v>
      </c>
      <c r="AD4">
        <v>1</v>
      </c>
      <c r="AE4">
        <v>0</v>
      </c>
      <c r="AF4">
        <v>1</v>
      </c>
      <c r="AG4">
        <v>0</v>
      </c>
      <c r="AH4">
        <v>1</v>
      </c>
      <c r="AI4">
        <v>0</v>
      </c>
      <c r="AJ4">
        <v>1</v>
      </c>
      <c r="AL4">
        <f>EXP(-($AR$39)*(AC4)^($AR$41))</f>
        <v>1</v>
      </c>
      <c r="AM4">
        <f>EXP(-($AT$39)*(AE4)^($AT$41))</f>
        <v>1</v>
      </c>
      <c r="AN4">
        <f>EXP(-$AV$39*AG4^$AV$41)</f>
        <v>1</v>
      </c>
      <c r="AO4">
        <f>EXP(-$AX$39*AI4^$AX$41)</f>
        <v>1</v>
      </c>
      <c r="AQ4">
        <f>(AD4-AL4)^2</f>
        <v>0</v>
      </c>
      <c r="AR4">
        <f>(AD4-$AL$18)^2</f>
        <v>0.17457143693386293</v>
      </c>
      <c r="AS4">
        <f>(AF4-AM4)^2</f>
        <v>0</v>
      </c>
      <c r="AT4">
        <f>(AS4-$AM$18)^2</f>
        <v>0.40346002183843421</v>
      </c>
      <c r="AU4">
        <f>(AH4-AN4)^2</f>
        <v>0</v>
      </c>
      <c r="AV4">
        <f>(AH4-$AN$18)^2</f>
        <v>0.30358142628626555</v>
      </c>
      <c r="AW4">
        <f>(AJ4-AO4)^2</f>
        <v>0</v>
      </c>
      <c r="AX4">
        <f>(AJ4-$AO$18)^2</f>
        <v>0.28099010411408903</v>
      </c>
      <c r="BA4">
        <f>AD4-AL4</f>
        <v>0</v>
      </c>
      <c r="BC4">
        <f>AF4-AM4</f>
        <v>0</v>
      </c>
      <c r="BE4">
        <f>AH4-AN4</f>
        <v>0</v>
      </c>
      <c r="BG4">
        <f>AJ4-AO4</f>
        <v>0</v>
      </c>
    </row>
    <row r="5" spans="1:59">
      <c r="C5">
        <v>1</v>
      </c>
      <c r="D5">
        <v>0.84208722400184877</v>
      </c>
      <c r="E5">
        <v>1</v>
      </c>
      <c r="F5">
        <v>0.8719047990821901</v>
      </c>
      <c r="G5">
        <v>1</v>
      </c>
      <c r="H5">
        <v>0.78247024774843776</v>
      </c>
      <c r="I5">
        <v>1</v>
      </c>
      <c r="J5">
        <v>0.80714948566211964</v>
      </c>
      <c r="L5">
        <f t="shared" ref="L5:L23" si="0">EXP(-($R$33)*(C5)^($R$35))</f>
        <v>0.98258800275563707</v>
      </c>
      <c r="M5">
        <f t="shared" ref="M5:M13" si="1">EXP(-($T$33)*(E5)^($T$35))</f>
        <v>0.97056226442403826</v>
      </c>
      <c r="N5">
        <f t="shared" ref="N5:N21" si="2">EXP(-$V$33*G5^$V$35)</f>
        <v>0.82414532432737497</v>
      </c>
      <c r="O5">
        <f t="shared" ref="O5:O13" si="3">EXP(-$X$33*I5^$X$35)</f>
        <v>0.8702091672678548</v>
      </c>
      <c r="Q5">
        <f t="shared" ref="Q5:Q23" si="4">(D5-L5)^2</f>
        <v>1.9740468830420972E-2</v>
      </c>
      <c r="R5">
        <f t="shared" ref="R5:R23" si="5">(D5-$L$24)^2</f>
        <v>6.3734272068533382E-2</v>
      </c>
      <c r="S5">
        <f t="shared" ref="S5:S13" si="6">(F5-M5)^2</f>
        <v>9.7332954676779705E-3</v>
      </c>
      <c r="T5">
        <f t="shared" ref="T5:T13" si="7">(S5-$M$24)^2</f>
        <v>0.35290278087384314</v>
      </c>
      <c r="U5">
        <f t="shared" ref="U5:U20" si="8">(H5-N5)^2</f>
        <v>1.7368120078602807E-3</v>
      </c>
      <c r="V5">
        <f t="shared" ref="V5:V21" si="9">(H5-$N$24)^2</f>
        <v>0.11120667016601264</v>
      </c>
      <c r="W5">
        <f t="shared" ref="W5:W14" si="10">(J5-O5)^2</f>
        <v>3.9765234442166938E-3</v>
      </c>
      <c r="X5">
        <f t="shared" ref="X5:X14" si="11">(J5-$O$24)^2</f>
        <v>0.12597544650024919</v>
      </c>
      <c r="AC5">
        <v>1</v>
      </c>
      <c r="AD5">
        <v>0.84208722400184877</v>
      </c>
      <c r="AE5">
        <v>1</v>
      </c>
      <c r="AF5">
        <v>0.8719047990821901</v>
      </c>
      <c r="AG5">
        <v>1</v>
      </c>
      <c r="AH5">
        <v>0.78247024774843776</v>
      </c>
      <c r="AI5">
        <v>1</v>
      </c>
      <c r="AJ5">
        <v>0.80714948566211964</v>
      </c>
      <c r="AL5">
        <f t="shared" ref="AL5:AL17" si="12">EXP(-($AR$39)*(AC5)^($AR$41))</f>
        <v>0.98313047106250362</v>
      </c>
      <c r="AM5">
        <f t="shared" ref="AM5:AM10" si="13">EXP(-($AT$39)*(AE5)^($AT$41))</f>
        <v>0.9733510305639006</v>
      </c>
      <c r="AN5">
        <f t="shared" ref="AN5:AN16" si="14">EXP(-$AV$39*AG5^$AV$41)</f>
        <v>0.82064042935702419</v>
      </c>
      <c r="AO5">
        <f t="shared" ref="AO5:AO11" si="15">EXP(-$AX$39*AI5^$AX$41)</f>
        <v>0.84473430456333498</v>
      </c>
      <c r="AQ5">
        <f t="shared" ref="AQ5:AQ17" si="16">(AD5-AL5)^2</f>
        <v>1.9893197541412923E-2</v>
      </c>
      <c r="AR5">
        <f t="shared" ref="AR5:AR17" si="17">(AD5-$AL$18)^2</f>
        <v>6.7550449153449085E-2</v>
      </c>
      <c r="AS5">
        <f t="shared" ref="AS5:AS22" si="18">(AF5-AM5)^2</f>
        <v>1.0291337881840791E-2</v>
      </c>
      <c r="AT5">
        <f t="shared" ref="AT5:AT10" si="19">(AS5-$AM$18)^2</f>
        <v>0.39049212595946137</v>
      </c>
      <c r="AU5">
        <f t="shared" ref="AU5:AU24" si="20">(AH5-AN5)^2</f>
        <v>1.4569627640324697E-3</v>
      </c>
      <c r="AV5">
        <f t="shared" ref="AV5:AV16" si="21">(AH5-$AN$18)^2</f>
        <v>0.11119056006709217</v>
      </c>
      <c r="AW5">
        <f t="shared" ref="AW5:AW22" si="22">(AJ5-AO5)^2</f>
        <v>1.4126186118371541E-3</v>
      </c>
      <c r="AX5">
        <f t="shared" ref="AX5:AX11" si="23">(AJ5-$AO$18)^2</f>
        <v>0.11372709634066568</v>
      </c>
      <c r="BA5">
        <f t="shared" ref="BA5:BA17" si="24">AD5-AL5</f>
        <v>-0.14104324706065485</v>
      </c>
      <c r="BC5">
        <f t="shared" ref="BC5:BC10" si="25">AF5-AM5</f>
        <v>-0.1014462314817105</v>
      </c>
      <c r="BE5">
        <f t="shared" ref="BE5:BE16" si="26">AH5-AN5</f>
        <v>-3.8170181608586429E-2</v>
      </c>
      <c r="BG5">
        <f t="shared" ref="BG5:BG11" si="27">AJ5-AO5</f>
        <v>-3.7584818901215344E-2</v>
      </c>
    </row>
    <row r="6" spans="1:59">
      <c r="C6">
        <v>2</v>
      </c>
      <c r="D6">
        <v>0.85583101299828412</v>
      </c>
      <c r="E6">
        <v>2</v>
      </c>
      <c r="F6">
        <v>0.87300358352871843</v>
      </c>
      <c r="G6">
        <v>2</v>
      </c>
      <c r="H6">
        <v>0.73611508402642223</v>
      </c>
      <c r="I6">
        <v>2</v>
      </c>
      <c r="J6">
        <v>0.69660154192315715</v>
      </c>
      <c r="L6">
        <f t="shared" si="0"/>
        <v>0.95657092808363986</v>
      </c>
      <c r="M6">
        <f t="shared" si="1"/>
        <v>0.90299341716843839</v>
      </c>
      <c r="N6">
        <f t="shared" si="2"/>
        <v>0.73585762024045809</v>
      </c>
      <c r="O6">
        <f t="shared" si="3"/>
        <v>0.7245046365344141</v>
      </c>
      <c r="Q6">
        <f t="shared" si="4"/>
        <v>1.0148530491404684E-2</v>
      </c>
      <c r="R6">
        <f t="shared" si="5"/>
        <v>7.0862580867163127E-2</v>
      </c>
      <c r="S6">
        <f t="shared" si="6"/>
        <v>8.9939012173807927E-4</v>
      </c>
      <c r="T6">
        <f t="shared" si="7"/>
        <v>0.36347649141960353</v>
      </c>
      <c r="U6">
        <f t="shared" si="8"/>
        <v>6.6287601082988714E-8</v>
      </c>
      <c r="V6">
        <f t="shared" si="9"/>
        <v>8.2438742777463103E-2</v>
      </c>
      <c r="W6">
        <f t="shared" si="10"/>
        <v>7.7858268888475674E-4</v>
      </c>
      <c r="X6">
        <f t="shared" si="11"/>
        <v>5.9722686919244011E-2</v>
      </c>
      <c r="AC6">
        <v>2</v>
      </c>
      <c r="AD6">
        <v>0.85583101299828412</v>
      </c>
      <c r="AE6">
        <v>3</v>
      </c>
      <c r="AF6">
        <v>0.8085873453509933</v>
      </c>
      <c r="AG6">
        <v>3</v>
      </c>
      <c r="AH6">
        <v>0.67457705383364175</v>
      </c>
      <c r="AI6">
        <v>2</v>
      </c>
      <c r="AJ6">
        <v>0.69660154192315715</v>
      </c>
      <c r="AL6">
        <f t="shared" si="12"/>
        <v>0.95736879153575682</v>
      </c>
      <c r="AM6">
        <f t="shared" si="13"/>
        <v>0.83302586364816011</v>
      </c>
      <c r="AN6">
        <f t="shared" si="14"/>
        <v>0.66547452155431419</v>
      </c>
      <c r="AO6">
        <f t="shared" si="15"/>
        <v>0.69379727453928541</v>
      </c>
      <c r="AQ6">
        <f t="shared" si="16"/>
        <v>1.0309920470324852E-2</v>
      </c>
      <c r="AR6">
        <f t="shared" si="17"/>
        <v>7.4883491393644322E-2</v>
      </c>
      <c r="AS6">
        <f t="shared" si="18"/>
        <v>5.9724117656095703E-4</v>
      </c>
      <c r="AT6">
        <f t="shared" si="19"/>
        <v>0.40270166122662299</v>
      </c>
      <c r="AU6">
        <f t="shared" si="20"/>
        <v>8.2856093896200135E-5</v>
      </c>
      <c r="AV6">
        <f t="shared" si="21"/>
        <v>5.0876994007542746E-2</v>
      </c>
      <c r="AW6">
        <f t="shared" si="22"/>
        <v>7.8639155602468482E-6</v>
      </c>
      <c r="AX6">
        <f t="shared" si="23"/>
        <v>5.1386786958723528E-2</v>
      </c>
      <c r="BA6">
        <f t="shared" si="24"/>
        <v>-0.1015377785374727</v>
      </c>
      <c r="BC6">
        <f t="shared" si="25"/>
        <v>-2.4438518297166811E-2</v>
      </c>
      <c r="BE6">
        <f t="shared" si="26"/>
        <v>9.1025322793275576E-3</v>
      </c>
      <c r="BG6">
        <f t="shared" si="27"/>
        <v>2.8042673838717391E-3</v>
      </c>
    </row>
    <row r="7" spans="1:59">
      <c r="C7">
        <v>3</v>
      </c>
      <c r="D7">
        <v>0.89411921590304944</v>
      </c>
      <c r="E7">
        <v>3</v>
      </c>
      <c r="F7">
        <v>0.8085873453509933</v>
      </c>
      <c r="G7">
        <v>3</v>
      </c>
      <c r="H7">
        <v>0.67457705383364175</v>
      </c>
      <c r="I7">
        <v>3</v>
      </c>
      <c r="J7">
        <v>0.63196444601167723</v>
      </c>
      <c r="L7">
        <f t="shared" si="0"/>
        <v>0.92646603840810837</v>
      </c>
      <c r="M7">
        <f t="shared" si="1"/>
        <v>0.811145301702628</v>
      </c>
      <c r="N7">
        <f t="shared" si="2"/>
        <v>0.66919029928794904</v>
      </c>
      <c r="O7">
        <f t="shared" si="3"/>
        <v>0.59037718017845586</v>
      </c>
      <c r="Q7">
        <f t="shared" si="4"/>
        <v>1.0463169261737872E-3</v>
      </c>
      <c r="R7">
        <f t="shared" si="5"/>
        <v>9.2713226836598286E-2</v>
      </c>
      <c r="S7">
        <f t="shared" si="6"/>
        <v>6.5431406968682726E-6</v>
      </c>
      <c r="T7">
        <f t="shared" si="7"/>
        <v>0.36455386583445976</v>
      </c>
      <c r="U7">
        <f t="shared" si="8"/>
        <v>2.9017124535541039E-5</v>
      </c>
      <c r="V7">
        <f t="shared" si="9"/>
        <v>5.0887891648474702E-2</v>
      </c>
      <c r="W7">
        <f t="shared" si="10"/>
        <v>1.7295006794830212E-3</v>
      </c>
      <c r="X7">
        <f t="shared" si="11"/>
        <v>3.230832248080439E-2</v>
      </c>
      <c r="AC7">
        <v>4</v>
      </c>
      <c r="AD7">
        <v>0.80782806424512987</v>
      </c>
      <c r="AE7">
        <v>4</v>
      </c>
      <c r="AF7">
        <v>0.66526042465241864</v>
      </c>
      <c r="AG7">
        <v>4</v>
      </c>
      <c r="AH7">
        <v>0.58964137477944789</v>
      </c>
      <c r="AI7">
        <v>4</v>
      </c>
      <c r="AJ7">
        <v>0.49811642751536406</v>
      </c>
      <c r="AL7">
        <f t="shared" si="12"/>
        <v>0.89443618761072763</v>
      </c>
      <c r="AM7">
        <f t="shared" si="13"/>
        <v>0.73980006608911608</v>
      </c>
      <c r="AN7">
        <f t="shared" si="14"/>
        <v>0.61132928141688037</v>
      </c>
      <c r="AO7">
        <f t="shared" si="15"/>
        <v>0.4529144326953955</v>
      </c>
      <c r="AQ7">
        <f t="shared" si="16"/>
        <v>7.5009670329105995E-3</v>
      </c>
      <c r="AR7">
        <f t="shared" si="17"/>
        <v>5.0915906420892401E-2</v>
      </c>
      <c r="AS7">
        <f t="shared" si="18"/>
        <v>5.5561581455114226E-3</v>
      </c>
      <c r="AT7">
        <f t="shared" si="19"/>
        <v>0.3964325157794425</v>
      </c>
      <c r="AU7">
        <f t="shared" si="20"/>
        <v>4.7036529431398761E-4</v>
      </c>
      <c r="AV7">
        <f t="shared" si="21"/>
        <v>1.9775000393244001E-2</v>
      </c>
      <c r="AW7">
        <f t="shared" si="22"/>
        <v>2.0432203357044648E-3</v>
      </c>
      <c r="AX7">
        <f t="shared" si="23"/>
        <v>7.953203483985668E-4</v>
      </c>
      <c r="BA7">
        <f t="shared" si="24"/>
        <v>-8.6608123365597756E-2</v>
      </c>
      <c r="BC7">
        <f t="shared" si="25"/>
        <v>-7.4539641436697446E-2</v>
      </c>
      <c r="BE7">
        <f t="shared" si="26"/>
        <v>-2.1687906637432475E-2</v>
      </c>
      <c r="BG7">
        <f t="shared" si="27"/>
        <v>4.5201994819968561E-2</v>
      </c>
    </row>
    <row r="8" spans="1:59">
      <c r="C8">
        <v>4</v>
      </c>
      <c r="D8">
        <v>0.80782806424512987</v>
      </c>
      <c r="E8">
        <v>4</v>
      </c>
      <c r="F8">
        <v>0.66526042465241864</v>
      </c>
      <c r="G8">
        <v>4</v>
      </c>
      <c r="H8">
        <v>0.58964137477944789</v>
      </c>
      <c r="I8">
        <v>4</v>
      </c>
      <c r="J8">
        <v>0.49811642751536406</v>
      </c>
      <c r="L8">
        <f t="shared" si="0"/>
        <v>0.89383718820235614</v>
      </c>
      <c r="M8">
        <f t="shared" si="1"/>
        <v>0.70576760107888181</v>
      </c>
      <c r="N8">
        <f t="shared" si="2"/>
        <v>0.6148279655060821</v>
      </c>
      <c r="O8">
        <f t="shared" si="3"/>
        <v>0.47376225005327183</v>
      </c>
      <c r="Q8">
        <f t="shared" si="4"/>
        <v>7.3975694038895127E-3</v>
      </c>
      <c r="R8">
        <f t="shared" si="5"/>
        <v>4.761006863789366E-2</v>
      </c>
      <c r="S8">
        <f t="shared" si="6"/>
        <v>1.6408313420446141E-3</v>
      </c>
      <c r="T8">
        <f t="shared" si="7"/>
        <v>0.36258302598872866</v>
      </c>
      <c r="U8">
        <f t="shared" si="8"/>
        <v>6.3436435243097622E-4</v>
      </c>
      <c r="V8">
        <f t="shared" si="9"/>
        <v>1.9781794683049411E-2</v>
      </c>
      <c r="W8">
        <f t="shared" si="10"/>
        <v>5.9312595985508117E-4</v>
      </c>
      <c r="X8">
        <f t="shared" si="11"/>
        <v>2.1065475822194001E-3</v>
      </c>
      <c r="AC8">
        <v>5</v>
      </c>
      <c r="AD8">
        <v>0.77924179723414255</v>
      </c>
      <c r="AE8">
        <v>6</v>
      </c>
      <c r="AF8">
        <v>0.66656424213610876</v>
      </c>
      <c r="AG8">
        <v>6</v>
      </c>
      <c r="AH8">
        <v>0.49938671406882423</v>
      </c>
      <c r="AI8">
        <v>6</v>
      </c>
      <c r="AJ8">
        <v>0.31685483154225391</v>
      </c>
      <c r="AL8">
        <f t="shared" si="12"/>
        <v>0.85984731267208514</v>
      </c>
      <c r="AM8">
        <f t="shared" si="13"/>
        <v>0.54321811163758837</v>
      </c>
      <c r="AN8">
        <f t="shared" si="14"/>
        <v>0.52593079644183749</v>
      </c>
      <c r="AO8">
        <f t="shared" si="15"/>
        <v>0.28793996480736378</v>
      </c>
      <c r="AQ8">
        <f t="shared" si="16"/>
        <v>6.497249119016401E-3</v>
      </c>
      <c r="AR8">
        <f t="shared" si="17"/>
        <v>3.8832354188151404E-2</v>
      </c>
      <c r="AS8">
        <f t="shared" si="18"/>
        <v>1.5214267908958022E-2</v>
      </c>
      <c r="AT8">
        <f t="shared" si="19"/>
        <v>0.38436374536200113</v>
      </c>
      <c r="AU8">
        <f t="shared" si="20"/>
        <v>7.0458830902531307E-4</v>
      </c>
      <c r="AV8">
        <f t="shared" si="21"/>
        <v>2.5370313046090406E-3</v>
      </c>
      <c r="AW8">
        <f t="shared" si="22"/>
        <v>8.3606951829645593E-4</v>
      </c>
      <c r="AX8">
        <f t="shared" si="23"/>
        <v>2.3427416066578138E-2</v>
      </c>
      <c r="BA8">
        <f t="shared" si="24"/>
        <v>-8.0605515437942588E-2</v>
      </c>
      <c r="BC8">
        <f t="shared" si="25"/>
        <v>0.12334613049852039</v>
      </c>
      <c r="BE8">
        <f t="shared" si="26"/>
        <v>-2.6544082373013256E-2</v>
      </c>
      <c r="BG8">
        <f t="shared" si="27"/>
        <v>2.8914866734890132E-2</v>
      </c>
    </row>
    <row r="9" spans="1:59">
      <c r="C9">
        <v>5</v>
      </c>
      <c r="D9">
        <v>0.77924179723414255</v>
      </c>
      <c r="E9">
        <v>5</v>
      </c>
      <c r="F9">
        <v>0.60194953462483713</v>
      </c>
      <c r="G9">
        <v>5</v>
      </c>
      <c r="H9">
        <v>0.55531138531890867</v>
      </c>
      <c r="I9">
        <v>5</v>
      </c>
      <c r="J9">
        <v>0.42557964286029865</v>
      </c>
      <c r="L9">
        <f t="shared" si="0"/>
        <v>0.85961189687806405</v>
      </c>
      <c r="M9">
        <f t="shared" si="1"/>
        <v>0.59603098002732469</v>
      </c>
      <c r="N9">
        <f t="shared" si="2"/>
        <v>0.56878341148542666</v>
      </c>
      <c r="O9">
        <f t="shared" si="3"/>
        <v>0.3755904679521811</v>
      </c>
      <c r="Q9">
        <f t="shared" si="4"/>
        <v>6.459352916773871E-3</v>
      </c>
      <c r="R9">
        <f t="shared" si="5"/>
        <v>3.5952349836398403E-2</v>
      </c>
      <c r="S9">
        <f t="shared" si="6"/>
        <v>3.5029288523735746E-5</v>
      </c>
      <c r="T9">
        <f t="shared" si="7"/>
        <v>0.36451946774446869</v>
      </c>
      <c r="U9">
        <f t="shared" si="8"/>
        <v>1.8149548903134547E-4</v>
      </c>
      <c r="V9">
        <f t="shared" si="9"/>
        <v>1.1303470063551157E-2</v>
      </c>
      <c r="W9">
        <f t="shared" si="10"/>
        <v>2.4989176079943695E-3</v>
      </c>
      <c r="X9">
        <f t="shared" si="11"/>
        <v>7.096705965137463E-4</v>
      </c>
      <c r="AC9">
        <v>8</v>
      </c>
      <c r="AD9">
        <v>0.7573010895075255</v>
      </c>
      <c r="AE9">
        <v>10</v>
      </c>
      <c r="AF9">
        <v>0.13761229117340132</v>
      </c>
      <c r="AG9">
        <v>8</v>
      </c>
      <c r="AH9">
        <v>0.45973661826485396</v>
      </c>
      <c r="AI9">
        <v>7</v>
      </c>
      <c r="AJ9">
        <v>0.1540948684218085</v>
      </c>
      <c r="AL9">
        <f t="shared" si="12"/>
        <v>0.75150460137323005</v>
      </c>
      <c r="AM9">
        <f t="shared" si="13"/>
        <v>0.22666441268062992</v>
      </c>
      <c r="AN9">
        <f t="shared" si="14"/>
        <v>0.46001832495283085</v>
      </c>
      <c r="AO9">
        <f t="shared" si="15"/>
        <v>0.22796127576827385</v>
      </c>
      <c r="AQ9">
        <f t="shared" si="16"/>
        <v>3.3599274691027975E-5</v>
      </c>
      <c r="AR9">
        <f t="shared" si="17"/>
        <v>3.0666509337726692E-2</v>
      </c>
      <c r="AS9">
        <f t="shared" si="18"/>
        <v>7.9302803449382078E-3</v>
      </c>
      <c r="AT9">
        <f t="shared" si="19"/>
        <v>0.39344852047338086</v>
      </c>
      <c r="AU9">
        <f t="shared" si="20"/>
        <v>7.9358658050909069E-8</v>
      </c>
      <c r="AV9">
        <f t="shared" si="21"/>
        <v>1.1489387368876276E-4</v>
      </c>
      <c r="AW9">
        <f t="shared" si="22"/>
        <v>5.4562461342739501E-3</v>
      </c>
      <c r="AX9">
        <f t="shared" si="23"/>
        <v>9.9742357363520467E-2</v>
      </c>
      <c r="BA9">
        <f t="shared" si="24"/>
        <v>5.7964881342954522E-3</v>
      </c>
      <c r="BC9">
        <f t="shared" si="25"/>
        <v>-8.9052121507228604E-2</v>
      </c>
      <c r="BE9">
        <f t="shared" si="26"/>
        <v>-2.8170668797689036E-4</v>
      </c>
      <c r="BG9">
        <f t="shared" si="27"/>
        <v>-7.3866407346465351E-2</v>
      </c>
    </row>
    <row r="10" spans="1:59">
      <c r="C10">
        <v>6</v>
      </c>
      <c r="D10">
        <v>0.74887565034061343</v>
      </c>
      <c r="E10">
        <v>6</v>
      </c>
      <c r="F10">
        <v>0.66656424213610876</v>
      </c>
      <c r="G10">
        <v>6</v>
      </c>
      <c r="H10">
        <v>0.49938671406882423</v>
      </c>
      <c r="I10">
        <v>6</v>
      </c>
      <c r="J10">
        <v>0.31685483154225391</v>
      </c>
      <c r="L10">
        <f t="shared" si="0"/>
        <v>0.82443090811313025</v>
      </c>
      <c r="M10">
        <f t="shared" si="1"/>
        <v>0.48929365063989755</v>
      </c>
      <c r="N10">
        <f t="shared" si="2"/>
        <v>0.52886662507559234</v>
      </c>
      <c r="O10">
        <f t="shared" si="3"/>
        <v>0.29475001342249818</v>
      </c>
      <c r="Q10">
        <f t="shared" si="4"/>
        <v>5.7085969770714626E-3</v>
      </c>
      <c r="R10">
        <f t="shared" si="5"/>
        <v>2.5358938791064566E-2</v>
      </c>
      <c r="S10">
        <f t="shared" si="6"/>
        <v>3.1424862609416591E-2</v>
      </c>
      <c r="T10">
        <f t="shared" si="7"/>
        <v>0.32760128461998961</v>
      </c>
      <c r="U10">
        <f t="shared" si="8"/>
        <v>8.6906515296696768E-4</v>
      </c>
      <c r="V10">
        <f t="shared" si="9"/>
        <v>2.5394652764912135E-3</v>
      </c>
      <c r="W10">
        <f t="shared" si="10"/>
        <v>4.8862298410748135E-4</v>
      </c>
      <c r="X10">
        <f t="shared" si="11"/>
        <v>1.8323535580964043E-2</v>
      </c>
      <c r="AC10">
        <v>10</v>
      </c>
      <c r="AD10">
        <v>0.72542054364670383</v>
      </c>
      <c r="AE10">
        <v>12</v>
      </c>
      <c r="AF10">
        <v>0.13138949241803621</v>
      </c>
      <c r="AG10">
        <v>12</v>
      </c>
      <c r="AH10">
        <v>0.43620617795612521</v>
      </c>
      <c r="AI10">
        <v>9</v>
      </c>
      <c r="AJ10">
        <v>0.13679520979314949</v>
      </c>
      <c r="AL10">
        <f t="shared" si="12"/>
        <v>0.67931566408227217</v>
      </c>
      <c r="AM10">
        <f t="shared" si="13"/>
        <v>0.13023572263835981</v>
      </c>
      <c r="AN10">
        <f t="shared" si="14"/>
        <v>0.36280081480979803</v>
      </c>
      <c r="AO10">
        <f t="shared" si="15"/>
        <v>0.14128390088721629</v>
      </c>
      <c r="AQ10">
        <f t="shared" si="16"/>
        <v>2.1256599196507477E-3</v>
      </c>
      <c r="AR10">
        <f t="shared" si="17"/>
        <v>2.0517128106637288E-2</v>
      </c>
      <c r="AS10">
        <f t="shared" si="18"/>
        <v>1.3311847044945417E-6</v>
      </c>
      <c r="AT10">
        <f t="shared" si="19"/>
        <v>0.40345833074301446</v>
      </c>
      <c r="AU10">
        <f t="shared" si="20"/>
        <v>5.3883473386441673E-3</v>
      </c>
      <c r="AV10">
        <f t="shared" si="21"/>
        <v>1.6413669281039464E-4</v>
      </c>
      <c r="AW10">
        <f t="shared" si="22"/>
        <v>2.0148347737954596E-5</v>
      </c>
      <c r="AX10">
        <f t="shared" si="23"/>
        <v>0.11096879658243691</v>
      </c>
      <c r="BA10">
        <f t="shared" si="24"/>
        <v>4.6104879564431656E-2</v>
      </c>
      <c r="BC10">
        <f t="shared" si="25"/>
        <v>1.1537697796764057E-3</v>
      </c>
      <c r="BE10">
        <f t="shared" si="26"/>
        <v>7.3405363146327174E-2</v>
      </c>
      <c r="BG10">
        <f t="shared" si="27"/>
        <v>-4.488691094066799E-3</v>
      </c>
    </row>
    <row r="11" spans="1:59">
      <c r="C11">
        <v>8</v>
      </c>
      <c r="D11">
        <v>0.7573010895075255</v>
      </c>
      <c r="E11">
        <v>8</v>
      </c>
      <c r="F11">
        <v>0.17383457194399796</v>
      </c>
      <c r="G11">
        <v>8</v>
      </c>
      <c r="H11">
        <v>0.45973661826485396</v>
      </c>
      <c r="I11">
        <v>7</v>
      </c>
      <c r="J11">
        <v>0.1540948684218085</v>
      </c>
      <c r="L11">
        <f t="shared" si="0"/>
        <v>0.75299990222105928</v>
      </c>
      <c r="M11">
        <f t="shared" si="1"/>
        <v>0.30421167767786383</v>
      </c>
      <c r="N11">
        <f t="shared" si="2"/>
        <v>0.46237337947641555</v>
      </c>
      <c r="O11">
        <f t="shared" si="3"/>
        <v>0.22928413935485387</v>
      </c>
      <c r="Q11">
        <f t="shared" si="4"/>
        <v>1.8500212073258676E-5</v>
      </c>
      <c r="R11">
        <f t="shared" si="5"/>
        <v>2.8113343283943625E-2</v>
      </c>
      <c r="S11">
        <f t="shared" si="6"/>
        <v>1.6998189699539642E-2</v>
      </c>
      <c r="T11">
        <f t="shared" si="7"/>
        <v>0.34432404849231707</v>
      </c>
      <c r="U11">
        <f t="shared" si="8"/>
        <v>6.9525096867957389E-6</v>
      </c>
      <c r="V11">
        <f t="shared" si="9"/>
        <v>1.1541229880547153E-4</v>
      </c>
      <c r="W11">
        <f t="shared" si="10"/>
        <v>5.6534264634429008E-3</v>
      </c>
      <c r="X11">
        <f t="shared" si="11"/>
        <v>8.8878168467161664E-2</v>
      </c>
      <c r="AC11">
        <v>14</v>
      </c>
      <c r="AD11">
        <v>0.65840012454856434</v>
      </c>
      <c r="AG11">
        <v>14</v>
      </c>
      <c r="AH11">
        <v>0.38538208797016077</v>
      </c>
      <c r="AI11">
        <v>10</v>
      </c>
      <c r="AJ11">
        <v>0.12766076616203526</v>
      </c>
      <c r="AL11">
        <f t="shared" si="12"/>
        <v>0.54316801587081553</v>
      </c>
      <c r="AN11">
        <f t="shared" si="14"/>
        <v>0.32558505822464323</v>
      </c>
      <c r="AO11">
        <f t="shared" si="15"/>
        <v>0.11068887021393782</v>
      </c>
      <c r="AQ11">
        <f t="shared" si="16"/>
        <v>1.327843887032051E-2</v>
      </c>
      <c r="AR11">
        <f t="shared" si="17"/>
        <v>5.8091214810165187E-3</v>
      </c>
      <c r="AU11">
        <f t="shared" si="20"/>
        <v>3.5756847663863094E-3</v>
      </c>
      <c r="AV11">
        <f t="shared" si="21"/>
        <v>4.0494990444836839E-3</v>
      </c>
      <c r="AW11">
        <f t="shared" si="22"/>
        <v>2.880452520730461E-4</v>
      </c>
      <c r="AX11">
        <f t="shared" si="23"/>
        <v>0.11713796258860038</v>
      </c>
      <c r="BA11">
        <f t="shared" si="24"/>
        <v>0.1152321086777488</v>
      </c>
      <c r="BE11">
        <f t="shared" si="26"/>
        <v>5.9797029745517538E-2</v>
      </c>
      <c r="BG11">
        <f t="shared" si="27"/>
        <v>1.6971895948097435E-2</v>
      </c>
    </row>
    <row r="12" spans="1:59">
      <c r="C12">
        <v>10</v>
      </c>
      <c r="D12">
        <v>0.72542054364670383</v>
      </c>
      <c r="E12">
        <v>10</v>
      </c>
      <c r="F12">
        <v>0.13761229117340132</v>
      </c>
      <c r="G12">
        <v>10</v>
      </c>
      <c r="H12">
        <v>0.43198668331810791</v>
      </c>
      <c r="I12">
        <v>8</v>
      </c>
      <c r="J12">
        <v>0.13002007760794732</v>
      </c>
      <c r="L12">
        <f t="shared" si="0"/>
        <v>0.68223640420641352</v>
      </c>
      <c r="M12">
        <f t="shared" si="1"/>
        <v>0.1708194416767928</v>
      </c>
      <c r="N12">
        <f t="shared" si="2"/>
        <v>0.40867695162024886</v>
      </c>
      <c r="O12">
        <f t="shared" si="3"/>
        <v>0.17697601431583349</v>
      </c>
      <c r="Q12">
        <f t="shared" si="4"/>
        <v>1.8648698991984374E-3</v>
      </c>
      <c r="R12">
        <f t="shared" si="5"/>
        <v>1.8438868490574221E-2</v>
      </c>
      <c r="S12">
        <f t="shared" si="6"/>
        <v>1.1027148445548933E-3</v>
      </c>
      <c r="T12">
        <f t="shared" si="7"/>
        <v>0.36323136782928284</v>
      </c>
      <c r="U12">
        <f t="shared" si="8"/>
        <v>5.4334359182617493E-4</v>
      </c>
      <c r="V12">
        <f t="shared" si="9"/>
        <v>2.8923544082332922E-4</v>
      </c>
      <c r="W12">
        <f t="shared" si="10"/>
        <v>2.2048599921150121E-3</v>
      </c>
      <c r="X12">
        <f t="shared" si="11"/>
        <v>0.10381233000824079</v>
      </c>
      <c r="AC12">
        <v>20</v>
      </c>
      <c r="AD12">
        <v>0.40482099376610842</v>
      </c>
      <c r="AG12">
        <v>18</v>
      </c>
      <c r="AH12">
        <v>0.31944179712752446</v>
      </c>
      <c r="AL12">
        <f t="shared" si="12"/>
        <v>0.37152070651441238</v>
      </c>
      <c r="AN12">
        <f t="shared" si="14"/>
        <v>0.26609476615575572</v>
      </c>
      <c r="AQ12">
        <f t="shared" si="16"/>
        <v>1.1089091310454696E-3</v>
      </c>
      <c r="AR12">
        <f t="shared" si="17"/>
        <v>3.1457115088506835E-2</v>
      </c>
      <c r="AU12">
        <f t="shared" si="20"/>
        <v>2.8459057135028529E-3</v>
      </c>
      <c r="AV12">
        <f t="shared" si="21"/>
        <v>1.678993074441314E-2</v>
      </c>
      <c r="BA12">
        <f t="shared" si="24"/>
        <v>3.3300287251696037E-2</v>
      </c>
      <c r="BE12">
        <f t="shared" si="26"/>
        <v>5.3347030971768739E-2</v>
      </c>
    </row>
    <row r="13" spans="1:59">
      <c r="C13">
        <v>12</v>
      </c>
      <c r="D13">
        <v>0.657386688720347</v>
      </c>
      <c r="E13">
        <v>12</v>
      </c>
      <c r="F13">
        <v>0.13138949241803621</v>
      </c>
      <c r="G13">
        <v>12</v>
      </c>
      <c r="H13">
        <v>0.43620617795612521</v>
      </c>
      <c r="I13">
        <v>9</v>
      </c>
      <c r="J13">
        <v>0.13679520979314949</v>
      </c>
      <c r="L13">
        <f t="shared" si="0"/>
        <v>0.6138488375318506</v>
      </c>
      <c r="M13">
        <f t="shared" si="1"/>
        <v>8.7070722252773097E-2</v>
      </c>
      <c r="N13">
        <f t="shared" si="2"/>
        <v>0.36413780124834855</v>
      </c>
      <c r="O13">
        <f t="shared" si="3"/>
        <v>0.13564816433623819</v>
      </c>
      <c r="Q13">
        <f t="shared" si="4"/>
        <v>1.8955444861116575E-3</v>
      </c>
      <c r="R13">
        <f t="shared" si="5"/>
        <v>4.5908674474132863E-3</v>
      </c>
      <c r="S13">
        <f t="shared" si="6"/>
        <v>1.9641533889614162E-3</v>
      </c>
      <c r="T13">
        <f t="shared" si="7"/>
        <v>0.36219375464201414</v>
      </c>
      <c r="U13">
        <f t="shared" si="8"/>
        <v>5.1938509212940054E-3</v>
      </c>
      <c r="V13">
        <f t="shared" si="9"/>
        <v>1.6351833230504175E-4</v>
      </c>
      <c r="W13">
        <f t="shared" si="10"/>
        <v>1.3157132802208525E-6</v>
      </c>
      <c r="X13">
        <f t="shared" si="11"/>
        <v>9.9492347968201847E-2</v>
      </c>
      <c r="AC13">
        <v>22</v>
      </c>
      <c r="AD13">
        <v>0.40515242573112892</v>
      </c>
      <c r="AG13">
        <v>20</v>
      </c>
      <c r="AH13">
        <v>0.23230066061049878</v>
      </c>
      <c r="AL13">
        <f t="shared" si="12"/>
        <v>0.32406391003061924</v>
      </c>
      <c r="AN13">
        <f t="shared" si="14"/>
        <v>0.24197155414897076</v>
      </c>
      <c r="AQ13">
        <f t="shared" si="16"/>
        <v>6.5753473785118048E-3</v>
      </c>
      <c r="AR13">
        <f t="shared" si="17"/>
        <v>3.1339658369674298E-2</v>
      </c>
      <c r="AU13">
        <f t="shared" si="20"/>
        <v>9.3526181832459001E-5</v>
      </c>
      <c r="AV13">
        <f t="shared" si="21"/>
        <v>4.6966302154720335E-2</v>
      </c>
      <c r="BA13">
        <f t="shared" si="24"/>
        <v>8.1088515700509678E-2</v>
      </c>
      <c r="BE13">
        <f t="shared" si="26"/>
        <v>-9.6708935384719752E-3</v>
      </c>
    </row>
    <row r="14" spans="1:59">
      <c r="C14">
        <v>14</v>
      </c>
      <c r="D14">
        <v>0.65840012454856434</v>
      </c>
      <c r="G14">
        <v>14</v>
      </c>
      <c r="H14">
        <v>0.38538208797016077</v>
      </c>
      <c r="I14">
        <v>10</v>
      </c>
      <c r="J14">
        <v>0.12766076616203526</v>
      </c>
      <c r="L14">
        <f t="shared" si="0"/>
        <v>0.54893422852125351</v>
      </c>
      <c r="N14">
        <f t="shared" si="2"/>
        <v>0.32650146471303332</v>
      </c>
      <c r="O14">
        <f>EXP(-$X$33*I14^$X$35)</f>
        <v>0.10331011462898665</v>
      </c>
      <c r="Q14">
        <f t="shared" si="4"/>
        <v>1.1982782393062025E-2</v>
      </c>
      <c r="R14">
        <f t="shared" si="5"/>
        <v>4.729227094562429E-3</v>
      </c>
      <c r="U14">
        <f t="shared" si="8"/>
        <v>3.4669277951477782E-3</v>
      </c>
      <c r="V14">
        <f t="shared" si="9"/>
        <v>4.0464253072836171E-3</v>
      </c>
      <c r="W14">
        <f t="shared" si="10"/>
        <v>5.9295423008396244E-4</v>
      </c>
      <c r="X14">
        <f t="shared" si="11"/>
        <v>0.10533823292006302</v>
      </c>
      <c r="AC14">
        <v>26</v>
      </c>
      <c r="AD14">
        <v>0.16550448692936906</v>
      </c>
      <c r="AG14">
        <v>24</v>
      </c>
      <c r="AH14">
        <v>0.15110482263125347</v>
      </c>
      <c r="AL14">
        <f t="shared" si="12"/>
        <v>0.24331002347039773</v>
      </c>
      <c r="AN14">
        <f t="shared" si="14"/>
        <v>0.20194087093361199</v>
      </c>
      <c r="AQ14">
        <f t="shared" si="16"/>
        <v>6.0537015164373485E-3</v>
      </c>
      <c r="AR14">
        <f t="shared" si="17"/>
        <v>0.17362059287695425</v>
      </c>
      <c r="AU14">
        <f t="shared" si="20"/>
        <v>2.5843038069997288E-3</v>
      </c>
      <c r="AV14">
        <f t="shared" si="21"/>
        <v>8.8752119608358812E-2</v>
      </c>
      <c r="BA14">
        <f t="shared" si="24"/>
        <v>-7.7805536541028675E-2</v>
      </c>
      <c r="BE14">
        <f t="shared" si="26"/>
        <v>-5.0836048302358522E-2</v>
      </c>
    </row>
    <row r="15" spans="1:59">
      <c r="C15">
        <v>16</v>
      </c>
      <c r="D15">
        <v>0.53930532137147458</v>
      </c>
      <c r="G15">
        <v>16</v>
      </c>
      <c r="H15">
        <v>0.36056106220175366</v>
      </c>
      <c r="L15">
        <f t="shared" si="0"/>
        <v>0.48817105243254244</v>
      </c>
      <c r="N15">
        <f t="shared" si="2"/>
        <v>0.29425614718828697</v>
      </c>
      <c r="Q15">
        <f t="shared" si="4"/>
        <v>2.6147134599190398E-3</v>
      </c>
      <c r="R15">
        <f t="shared" si="5"/>
        <v>2.532648606554997E-3</v>
      </c>
      <c r="U15">
        <f t="shared" si="8"/>
        <v>4.396341754943041E-3</v>
      </c>
      <c r="V15">
        <f t="shared" si="9"/>
        <v>7.8203149155448085E-3</v>
      </c>
      <c r="AC15">
        <v>28</v>
      </c>
      <c r="AD15">
        <v>0.13092609034474734</v>
      </c>
      <c r="AG15">
        <v>26</v>
      </c>
      <c r="AH15">
        <v>0.13179349913915536</v>
      </c>
      <c r="AL15">
        <f t="shared" si="12"/>
        <v>0.20952775687620565</v>
      </c>
      <c r="AN15">
        <f t="shared" si="14"/>
        <v>0.18520532805077936</v>
      </c>
      <c r="AQ15">
        <f t="shared" si="16"/>
        <v>6.1782219815225735E-3</v>
      </c>
      <c r="AR15">
        <f t="shared" si="17"/>
        <v>0.20363237573798204</v>
      </c>
      <c r="AU15">
        <f t="shared" si="20"/>
        <v>2.8528234676845929E-3</v>
      </c>
      <c r="AV15">
        <f t="shared" si="21"/>
        <v>0.10063123312333634</v>
      </c>
      <c r="BA15">
        <f t="shared" si="24"/>
        <v>-7.8601666531458309E-2</v>
      </c>
      <c r="BE15">
        <f t="shared" si="26"/>
        <v>-5.3411828911623993E-2</v>
      </c>
    </row>
    <row r="16" spans="1:59">
      <c r="C16">
        <v>18</v>
      </c>
      <c r="D16">
        <v>0.50581451079406126</v>
      </c>
      <c r="G16">
        <v>18</v>
      </c>
      <c r="H16">
        <v>0.31944179712752446</v>
      </c>
      <c r="L16">
        <f t="shared" si="0"/>
        <v>0.43193783750288384</v>
      </c>
      <c r="N16">
        <f t="shared" si="2"/>
        <v>0.26633121887989047</v>
      </c>
      <c r="Q16">
        <f t="shared" si="4"/>
        <v>5.4577628565713673E-3</v>
      </c>
      <c r="R16">
        <f t="shared" si="5"/>
        <v>7.025161687999988E-3</v>
      </c>
      <c r="U16">
        <f t="shared" si="8"/>
        <v>2.8207335217980524E-3</v>
      </c>
      <c r="V16">
        <f t="shared" si="9"/>
        <v>1.6783671347550062E-2</v>
      </c>
      <c r="AC16">
        <v>30</v>
      </c>
      <c r="AD16">
        <v>0.12918285933370885</v>
      </c>
      <c r="AG16">
        <v>28</v>
      </c>
      <c r="AH16">
        <v>0.12964168263055892</v>
      </c>
      <c r="AL16">
        <f t="shared" si="12"/>
        <v>0.17974109538740229</v>
      </c>
      <c r="AN16">
        <f t="shared" si="14"/>
        <v>0.17023916355430488</v>
      </c>
      <c r="AQ16">
        <f t="shared" si="16"/>
        <v>2.5561352328609876E-3</v>
      </c>
      <c r="AR16">
        <f t="shared" si="17"/>
        <v>0.2052087030368534</v>
      </c>
      <c r="AU16">
        <f t="shared" si="20"/>
        <v>1.6481554573539172E-3</v>
      </c>
      <c r="AV16">
        <f t="shared" si="21"/>
        <v>0.10200108025031766</v>
      </c>
      <c r="BA16">
        <f t="shared" si="24"/>
        <v>-5.0558236053693445E-2</v>
      </c>
      <c r="BE16">
        <f t="shared" si="26"/>
        <v>-4.059748092374596E-2</v>
      </c>
    </row>
    <row r="17" spans="2:53">
      <c r="C17">
        <v>20</v>
      </c>
      <c r="D17">
        <v>0.40482099376610842</v>
      </c>
      <c r="G17">
        <v>20</v>
      </c>
      <c r="H17">
        <v>0.23230066061049878</v>
      </c>
      <c r="L17">
        <f t="shared" si="0"/>
        <v>0.38039417392815628</v>
      </c>
      <c r="N17">
        <f t="shared" si="2"/>
        <v>0.24193758919030581</v>
      </c>
      <c r="Q17">
        <f t="shared" si="4"/>
        <v>5.9666952739577221E-4</v>
      </c>
      <c r="R17">
        <f t="shared" si="5"/>
        <v>3.4154645411333617E-2</v>
      </c>
      <c r="U17">
        <f t="shared" si="8"/>
        <v>9.2870392452301434E-5</v>
      </c>
      <c r="V17">
        <f t="shared" si="9"/>
        <v>4.6955832858264088E-2</v>
      </c>
      <c r="AC17">
        <v>32</v>
      </c>
      <c r="AD17">
        <v>0.13792761311581958</v>
      </c>
      <c r="AL17">
        <f t="shared" si="12"/>
        <v>0.15362090534934131</v>
      </c>
      <c r="AQ17">
        <f t="shared" si="16"/>
        <v>2.4627942112671338E-4</v>
      </c>
      <c r="AR17">
        <f t="shared" si="17"/>
        <v>0.19736243256157687</v>
      </c>
      <c r="BA17">
        <f t="shared" si="24"/>
        <v>-1.5693292233521727E-2</v>
      </c>
    </row>
    <row r="18" spans="2:53">
      <c r="C18">
        <v>22</v>
      </c>
      <c r="D18">
        <v>0.40515242573112892</v>
      </c>
      <c r="G18">
        <v>22</v>
      </c>
      <c r="H18">
        <v>0.15070119437459695</v>
      </c>
      <c r="L18">
        <f t="shared" si="0"/>
        <v>0.33353967309777344</v>
      </c>
      <c r="N18">
        <f t="shared" si="2"/>
        <v>0.22047564252245261</v>
      </c>
      <c r="Q18">
        <f t="shared" si="4"/>
        <v>5.1283863397261625E-3</v>
      </c>
      <c r="R18">
        <f t="shared" si="5"/>
        <v>3.4032251538208255E-2</v>
      </c>
      <c r="U18">
        <f t="shared" si="8"/>
        <v>4.8684736143377984E-3</v>
      </c>
      <c r="V18">
        <f t="shared" si="9"/>
        <v>8.8978363214176778E-2</v>
      </c>
      <c r="AK18" t="s">
        <v>127</v>
      </c>
      <c r="AL18">
        <f>AVERAGE(AL4:AL17)</f>
        <v>0.58218253155969779</v>
      </c>
      <c r="AM18">
        <f>AVERAGE(AM4:AM10)</f>
        <v>0.63518502960825063</v>
      </c>
      <c r="AN18">
        <f>AVERAGE(AN4:AN16)</f>
        <v>0.44901776227698087</v>
      </c>
      <c r="AO18">
        <f>AVERAGE(AO4:AO11)</f>
        <v>0.46991500293435101</v>
      </c>
    </row>
    <row r="19" spans="2:53">
      <c r="C19">
        <v>24</v>
      </c>
      <c r="D19">
        <v>0.25103593126455687</v>
      </c>
      <c r="G19">
        <v>24</v>
      </c>
      <c r="H19">
        <v>0.15110482263125347</v>
      </c>
      <c r="L19">
        <f t="shared" si="0"/>
        <v>0.29125849626701134</v>
      </c>
      <c r="N19">
        <f t="shared" si="2"/>
        <v>0.2014786176884498</v>
      </c>
      <c r="Q19">
        <f t="shared" si="4"/>
        <v>1.6178547353766751E-3</v>
      </c>
      <c r="R19">
        <f t="shared" si="5"/>
        <v>0.11464645019738637</v>
      </c>
      <c r="U19">
        <f t="shared" si="8"/>
        <v>2.5375192284644173E-3</v>
      </c>
      <c r="V19">
        <f t="shared" si="9"/>
        <v>8.8737727637274513E-2</v>
      </c>
    </row>
    <row r="20" spans="2:53">
      <c r="C20">
        <v>26</v>
      </c>
      <c r="D20">
        <v>0.16550448692936906</v>
      </c>
      <c r="G20">
        <v>26</v>
      </c>
      <c r="H20">
        <v>0.13179349913915536</v>
      </c>
      <c r="L20">
        <f t="shared" si="0"/>
        <v>0.25335365470585658</v>
      </c>
      <c r="N20">
        <f t="shared" si="2"/>
        <v>0.1845759971506748</v>
      </c>
      <c r="Q20">
        <f t="shared" si="4"/>
        <v>7.7174762790214527E-3</v>
      </c>
      <c r="R20">
        <f t="shared" si="5"/>
        <v>0.17988308567707345</v>
      </c>
      <c r="U20">
        <f t="shared" si="8"/>
        <v>2.785992096336053E-3</v>
      </c>
      <c r="V20">
        <f t="shared" si="9"/>
        <v>0.10061590819755166</v>
      </c>
      <c r="AC20" s="11">
        <v>3</v>
      </c>
      <c r="AD20" s="11">
        <v>0.89411921590304944</v>
      </c>
      <c r="AE20" s="11">
        <v>2</v>
      </c>
      <c r="AF20" s="11">
        <v>0.87300358352871843</v>
      </c>
      <c r="AG20" s="11">
        <v>2</v>
      </c>
      <c r="AH20" s="11">
        <v>0.73611508402642223</v>
      </c>
      <c r="AI20" s="11">
        <v>3</v>
      </c>
      <c r="AJ20" s="11">
        <v>0.63196444601167723</v>
      </c>
      <c r="AL20">
        <f t="shared" ref="AL20:AL25" si="28">EXP(-($AR$39)*(AC20)^($AR$41))</f>
        <v>0.92726636683772845</v>
      </c>
      <c r="AM20">
        <f t="shared" ref="AM20:AM22" si="29">EXP(-($AT$39)*(AE20)^($AT$41))</f>
        <v>0.91372686856006502</v>
      </c>
      <c r="AN20">
        <f t="shared" ref="AN20:AN24" si="30">EXP(-$AV$39*AG20^$AV$41)</f>
        <v>0.73205968916838871</v>
      </c>
      <c r="AO20">
        <f t="shared" ref="AO20:AO22" si="31">EXP(-$AX$39*AI20^$AX$41)</f>
        <v>0.56290899668013106</v>
      </c>
      <c r="AQ20">
        <f>(AD20-AL20)^2/AL20</f>
        <v>1.1849169282753358E-3</v>
      </c>
      <c r="AR20">
        <f t="shared" ref="AR20:AR24" si="32">(AD20-$AL$18)^2</f>
        <v>9.7304495039123806E-2</v>
      </c>
      <c r="AS20">
        <f t="shared" si="18"/>
        <v>1.6583859437442972E-3</v>
      </c>
      <c r="AT20">
        <f t="shared" ref="AT20:AT22" si="33">(AS20-$AM$18)^2</f>
        <v>0.40135600823281431</v>
      </c>
      <c r="AU20">
        <f t="shared" si="20"/>
        <v>1.644622745456474E-5</v>
      </c>
      <c r="AV20">
        <f t="shared" ref="AV20:AV24" si="34">(AH20-$AN$18)^2</f>
        <v>8.2424872155702253E-2</v>
      </c>
      <c r="AW20">
        <f t="shared" si="22"/>
        <v>4.7686550823817404E-3</v>
      </c>
      <c r="AX20">
        <f t="shared" ref="AX20:AX22" si="35">(AJ20-$AO$18)^2</f>
        <v>2.6260022001671591E-2</v>
      </c>
    </row>
    <row r="21" spans="2:53">
      <c r="C21">
        <v>28</v>
      </c>
      <c r="D21">
        <v>0.13092609034474734</v>
      </c>
      <c r="G21">
        <v>28</v>
      </c>
      <c r="H21">
        <v>0.12964168263055892</v>
      </c>
      <c r="L21">
        <f t="shared" si="0"/>
        <v>0.21957364721046702</v>
      </c>
      <c r="N21">
        <f t="shared" si="2"/>
        <v>0.16946886389075871</v>
      </c>
      <c r="Q21">
        <f t="shared" si="4"/>
        <v>7.8583893382610046E-3</v>
      </c>
      <c r="R21">
        <f t="shared" si="5"/>
        <v>0.21040996333025952</v>
      </c>
      <c r="U21">
        <f>(H21-N21)^2</f>
        <v>1.5862043671328097E-3</v>
      </c>
      <c r="V21">
        <f t="shared" si="9"/>
        <v>0.10198565136752932</v>
      </c>
      <c r="AC21" s="11">
        <v>6</v>
      </c>
      <c r="AD21" s="11">
        <v>0.74887565034061343</v>
      </c>
      <c r="AE21" s="11">
        <v>5</v>
      </c>
      <c r="AF21" s="11">
        <v>0.60194953462483713</v>
      </c>
      <c r="AG21" s="11">
        <v>5</v>
      </c>
      <c r="AH21" s="11">
        <v>0.55531138531890867</v>
      </c>
      <c r="AI21" s="11">
        <v>5</v>
      </c>
      <c r="AJ21" s="11">
        <v>0.42557964286029865</v>
      </c>
      <c r="AL21">
        <f t="shared" si="28"/>
        <v>0.82417613834189796</v>
      </c>
      <c r="AM21">
        <f t="shared" si="29"/>
        <v>0.64123804062019518</v>
      </c>
      <c r="AN21">
        <f t="shared" si="30"/>
        <v>0.56555636111155927</v>
      </c>
      <c r="AO21">
        <f>EXP(-$AX$39*AI21^$AX$41)</f>
        <v>0.36207750289128765</v>
      </c>
      <c r="AQ21">
        <f t="shared" ref="AQ21:AQ25" si="36">(AD21-AL21)^2/AL21</f>
        <v>6.8797957492909203E-3</v>
      </c>
      <c r="AR21">
        <f t="shared" si="32"/>
        <v>2.7786595848908451E-2</v>
      </c>
      <c r="AS21">
        <f t="shared" si="18"/>
        <v>1.5435867033472851E-3</v>
      </c>
      <c r="AT21">
        <f t="shared" si="33"/>
        <v>0.40150147816660786</v>
      </c>
      <c r="AU21">
        <f t="shared" si="20"/>
        <v>1.0495952899199682E-4</v>
      </c>
      <c r="AV21">
        <f t="shared" si="34"/>
        <v>1.1298334299379445E-2</v>
      </c>
      <c r="AW21">
        <f t="shared" si="22"/>
        <v>4.0325217806438636E-3</v>
      </c>
      <c r="AX21">
        <f t="shared" si="35"/>
        <v>1.9656241528958765E-3</v>
      </c>
    </row>
    <row r="22" spans="2:53">
      <c r="C22">
        <v>30</v>
      </c>
      <c r="D22">
        <v>0.12918285933370885</v>
      </c>
      <c r="L22">
        <f t="shared" si="0"/>
        <v>0.18963314543050203</v>
      </c>
      <c r="Q22">
        <f t="shared" si="4"/>
        <v>3.6542370891841465E-3</v>
      </c>
      <c r="R22">
        <f t="shared" si="5"/>
        <v>0.21201225855430975</v>
      </c>
      <c r="AC22" s="11">
        <v>12</v>
      </c>
      <c r="AD22" s="11">
        <v>0.657386688720347</v>
      </c>
      <c r="AE22" s="11">
        <v>8</v>
      </c>
      <c r="AF22" s="11">
        <v>0.17383457194399796</v>
      </c>
      <c r="AG22" s="11">
        <v>10</v>
      </c>
      <c r="AH22" s="11">
        <v>0.43198668331810791</v>
      </c>
      <c r="AI22" s="11">
        <v>8</v>
      </c>
      <c r="AJ22" s="11">
        <v>0.13002007760794732</v>
      </c>
      <c r="AL22">
        <f t="shared" si="28"/>
        <v>0.60946828258665442</v>
      </c>
      <c r="AM22">
        <f t="shared" si="29"/>
        <v>0.3654269517978479</v>
      </c>
      <c r="AN22">
        <f t="shared" si="30"/>
        <v>0.40686002792653525</v>
      </c>
      <c r="AO22">
        <f t="shared" si="31"/>
        <v>0.17977452441208441</v>
      </c>
      <c r="AQ22">
        <f t="shared" si="36"/>
        <v>3.767503103932297E-3</v>
      </c>
      <c r="AR22">
        <f t="shared" si="32"/>
        <v>5.655665254243626E-3</v>
      </c>
      <c r="AS22">
        <f t="shared" si="18"/>
        <v>3.6707640018061927E-2</v>
      </c>
      <c r="AT22">
        <f t="shared" si="33"/>
        <v>0.35817518585068653</v>
      </c>
      <c r="AU22">
        <f t="shared" si="20"/>
        <v>6.3134881116684745E-4</v>
      </c>
      <c r="AV22">
        <f t="shared" si="34"/>
        <v>2.9005765050336524E-4</v>
      </c>
      <c r="AW22">
        <f t="shared" si="22"/>
        <v>2.4755049767857082E-3</v>
      </c>
      <c r="AX22">
        <f t="shared" si="35"/>
        <v>0.11552856026264155</v>
      </c>
    </row>
    <row r="23" spans="2:53">
      <c r="C23">
        <v>32</v>
      </c>
      <c r="D23">
        <v>0.13792761311581958</v>
      </c>
      <c r="L23">
        <f t="shared" si="0"/>
        <v>0.16322895269237708</v>
      </c>
      <c r="Q23">
        <f t="shared" si="4"/>
        <v>6.4015778436827501E-4</v>
      </c>
      <c r="R23">
        <f t="shared" si="5"/>
        <v>0.20403572243409945</v>
      </c>
      <c r="AC23" s="11">
        <v>16</v>
      </c>
      <c r="AD23" s="11">
        <v>0.53930532137147502</v>
      </c>
      <c r="AG23" s="11">
        <v>16</v>
      </c>
      <c r="AH23" s="11">
        <v>0.36056106220175366</v>
      </c>
      <c r="AL23">
        <f t="shared" si="28"/>
        <v>0.48116728879620779</v>
      </c>
      <c r="AN23">
        <f t="shared" si="30"/>
        <v>0.29370478495083524</v>
      </c>
      <c r="AQ23">
        <f t="shared" si="36"/>
        <v>7.0246479975375094E-3</v>
      </c>
      <c r="AR23">
        <f t="shared" si="32"/>
        <v>1.8384551535250344E-3</v>
      </c>
      <c r="AU23">
        <f t="shared" si="20"/>
        <v>4.469761807851671E-3</v>
      </c>
      <c r="AV23">
        <f t="shared" si="34"/>
        <v>7.8245877881987017E-3</v>
      </c>
    </row>
    <row r="24" spans="2:53">
      <c r="B24" t="s">
        <v>56</v>
      </c>
      <c r="K24" t="s">
        <v>76</v>
      </c>
      <c r="L24">
        <f>AVERAGE(L4:L23)</f>
        <v>0.58963074840945406</v>
      </c>
      <c r="M24">
        <f>AVERAGE(M4:M13)</f>
        <v>0.60378950566486389</v>
      </c>
      <c r="N24">
        <f>AVERAGE(N4:N21)</f>
        <v>0.44899360663843041</v>
      </c>
      <c r="O24">
        <f>AVERAGE(O4:O14)</f>
        <v>0.45221928618587165</v>
      </c>
      <c r="R24" t="s">
        <v>45</v>
      </c>
      <c r="T24" t="s">
        <v>46</v>
      </c>
      <c r="V24" t="s">
        <v>47</v>
      </c>
      <c r="X24" t="s">
        <v>48</v>
      </c>
      <c r="AC24" s="11">
        <v>18</v>
      </c>
      <c r="AD24" s="11">
        <v>0.50581451079406126</v>
      </c>
      <c r="AG24" s="11">
        <v>22</v>
      </c>
      <c r="AH24" s="11">
        <v>0.15070119437459695</v>
      </c>
      <c r="AL24">
        <f t="shared" si="28"/>
        <v>0.42389047881411762</v>
      </c>
      <c r="AN24">
        <f t="shared" si="30"/>
        <v>0.22074088641669282</v>
      </c>
      <c r="AQ24">
        <f t="shared" si="36"/>
        <v>1.5833210112732782E-2</v>
      </c>
      <c r="AR24">
        <f t="shared" si="32"/>
        <v>5.8320745956606931E-3</v>
      </c>
      <c r="AU24">
        <f t="shared" si="20"/>
        <v>4.905558461351627E-3</v>
      </c>
      <c r="AV24">
        <f t="shared" si="34"/>
        <v>8.8992774685057632E-2</v>
      </c>
    </row>
    <row r="25" spans="2:53">
      <c r="Q25" t="s">
        <v>53</v>
      </c>
      <c r="R25">
        <f>SUM(Q4:Q23)</f>
        <v>0.10154817994600358</v>
      </c>
      <c r="T25">
        <f>SUM(S4:S13)</f>
        <v>6.3805009903153825E-2</v>
      </c>
      <c r="V25">
        <f>SUM(U4:U21)</f>
        <v>3.175003020784542E-2</v>
      </c>
      <c r="X25">
        <f>SUM(W4:W14)</f>
        <v>1.85178297634635E-2</v>
      </c>
      <c r="AC25" s="11">
        <v>24</v>
      </c>
      <c r="AD25" s="11">
        <v>0.25103593126455687</v>
      </c>
      <c r="AL25">
        <f t="shared" si="28"/>
        <v>0.2813978175678874</v>
      </c>
      <c r="AQ25">
        <f t="shared" si="36"/>
        <v>3.2759463021562866E-3</v>
      </c>
      <c r="AR25">
        <f>(AD25-$AL$18)^2</f>
        <v>0.10965807088702982</v>
      </c>
    </row>
    <row r="27" spans="2:53">
      <c r="Q27" t="s">
        <v>57</v>
      </c>
      <c r="R27">
        <f>SQRT(R25/20)</f>
        <v>7.1255940084319846E-2</v>
      </c>
      <c r="T27">
        <f>(T25/10)^0.5</f>
        <v>7.9878038222751704E-2</v>
      </c>
      <c r="V27">
        <f>(V25/18)^0.5</f>
        <v>4.1998697207205407E-2</v>
      </c>
      <c r="X27">
        <f>(X25/11)^0.5</f>
        <v>4.1029733967036304E-2</v>
      </c>
      <c r="AL27">
        <f>AVERAGE(AL20:AL25)</f>
        <v>0.59122772882408237</v>
      </c>
      <c r="AM27">
        <f t="shared" ref="AM27:AN27" si="37">AVERAGE(AM20:AM25)</f>
        <v>0.64013062032603607</v>
      </c>
      <c r="AN27">
        <f t="shared" si="37"/>
        <v>0.44378434991480226</v>
      </c>
      <c r="AO27">
        <f>AVERAGE(AO20:AO25)</f>
        <v>0.36825367466116771</v>
      </c>
      <c r="AQ27" s="11">
        <f>SUM(AQ20:AQ25)</f>
        <v>3.7966020193925129E-2</v>
      </c>
      <c r="AR27" s="11"/>
      <c r="AS27" s="11">
        <f>SUM(AS20:AS25)</f>
        <v>3.9909612665153513E-2</v>
      </c>
      <c r="AT27" s="11"/>
      <c r="AU27" s="11">
        <f>SUM(AU20:AU25)</f>
        <v>1.0128074836816707E-2</v>
      </c>
      <c r="AV27" s="11"/>
      <c r="AW27" s="11">
        <f>SUM(AW20:AW25)</f>
        <v>1.1276681839811311E-2</v>
      </c>
    </row>
    <row r="28" spans="2:53">
      <c r="AC28">
        <f>(AD20-AL20)^2/AL20</f>
        <v>1.1849169282753358E-3</v>
      </c>
      <c r="AD28">
        <f>(AF20-AM20)^2/AM20</f>
        <v>1.8149690031089209E-3</v>
      </c>
      <c r="AE28">
        <f>(AH20-AN20)^2/AN20</f>
        <v>2.2465691934557227E-5</v>
      </c>
      <c r="AF28">
        <f>(AJ20-AO20)^2/AO20</f>
        <v>8.4714494003575048E-3</v>
      </c>
      <c r="AQ28" s="11" t="s">
        <v>142</v>
      </c>
      <c r="AR28" s="11"/>
      <c r="AS28" s="11" t="s">
        <v>142</v>
      </c>
      <c r="AT28" s="11"/>
      <c r="AU28" s="11" t="s">
        <v>142</v>
      </c>
      <c r="AV28" s="11"/>
      <c r="AW28" s="11" t="s">
        <v>142</v>
      </c>
    </row>
    <row r="29" spans="2:53" ht="16.2">
      <c r="Q29" t="s">
        <v>77</v>
      </c>
      <c r="R29">
        <f>R25/(20-2)</f>
        <v>5.6415655525557549E-3</v>
      </c>
      <c r="T29">
        <f>T25/(10-2)</f>
        <v>7.9756262378942282E-3</v>
      </c>
      <c r="V29">
        <f>(V25/(18-2))</f>
        <v>1.9843768879903387E-3</v>
      </c>
      <c r="X29">
        <f>X25/(11-2)</f>
        <v>2.0575366403848333E-3</v>
      </c>
      <c r="AC29">
        <f t="shared" ref="AC29:AC33" si="38">(AD21-AL21)^2/AL21</f>
        <v>6.8797957492909203E-3</v>
      </c>
      <c r="AD29">
        <f t="shared" ref="AD29:AD30" si="39">(AF21-AM21)^2/AM21</f>
        <v>2.407197648246746E-3</v>
      </c>
      <c r="AE29">
        <f t="shared" ref="AE29:AE32" si="40">(AH21-AN21)^2/AN21</f>
        <v>1.8558632916038044E-4</v>
      </c>
      <c r="AF29">
        <f t="shared" ref="AF29:AF30" si="41">(AJ21-AO21)^2/AO21</f>
        <v>1.1137178500301943E-2</v>
      </c>
      <c r="AP29" t="s">
        <v>75</v>
      </c>
      <c r="AR29">
        <v>14</v>
      </c>
      <c r="AT29">
        <v>7</v>
      </c>
      <c r="AV29">
        <v>13</v>
      </c>
      <c r="AX29">
        <v>8</v>
      </c>
    </row>
    <row r="30" spans="2:53">
      <c r="AC30">
        <f t="shared" si="38"/>
        <v>3.767503103932297E-3</v>
      </c>
      <c r="AD30">
        <f t="shared" si="39"/>
        <v>0.10045137567841023</v>
      </c>
      <c r="AE30">
        <f t="shared" si="40"/>
        <v>1.5517592484677483E-3</v>
      </c>
      <c r="AF30">
        <f t="shared" si="41"/>
        <v>1.3770054377177956E-2</v>
      </c>
      <c r="AR30" t="s">
        <v>45</v>
      </c>
      <c r="AT30" t="s">
        <v>46</v>
      </c>
      <c r="AV30" t="s">
        <v>47</v>
      </c>
      <c r="AX30" t="s">
        <v>48</v>
      </c>
    </row>
    <row r="31" spans="2:53" ht="16.2">
      <c r="Q31" t="s">
        <v>60</v>
      </c>
      <c r="R31">
        <f>(1-(R25/R3))</f>
        <v>0.93487323656551136</v>
      </c>
      <c r="T31">
        <f>(1-(T25/T3))</f>
        <v>0.98212718714616087</v>
      </c>
      <c r="V31">
        <f>1-(V25/V3)</f>
        <v>0.96941990729250849</v>
      </c>
      <c r="X31">
        <f>1-(X25/X3)</f>
        <v>0.98023143274394808</v>
      </c>
      <c r="AC31">
        <f t="shared" si="38"/>
        <v>7.0246479975375094E-3</v>
      </c>
      <c r="AE31">
        <f t="shared" si="40"/>
        <v>1.5218552903725717E-2</v>
      </c>
      <c r="AK31">
        <f>SQRT(AQ20)</f>
        <v>3.4422622332927158E-2</v>
      </c>
      <c r="AL31">
        <f>AS20/AM20</f>
        <v>1.8149690031089209E-3</v>
      </c>
      <c r="AN31">
        <f>SQRT(AW20)</f>
        <v>6.905544933154617E-2</v>
      </c>
      <c r="AQ31" t="s">
        <v>53</v>
      </c>
      <c r="AR31">
        <f>SUM(AQ4:AQ17)</f>
        <v>8.2357626889831947E-2</v>
      </c>
      <c r="AT31">
        <f>SUM(AS4:AS10)</f>
        <v>3.9590616642513898E-2</v>
      </c>
      <c r="AV31">
        <f>SUM(AU4:AU16)</f>
        <v>2.1703598552330051E-2</v>
      </c>
      <c r="AX31">
        <f>SUM(AW4:AW11)</f>
        <v>1.0064212115483272E-2</v>
      </c>
    </row>
    <row r="32" spans="2:53">
      <c r="AC32">
        <f t="shared" si="38"/>
        <v>1.5833210112732782E-2</v>
      </c>
      <c r="AE32">
        <f t="shared" si="40"/>
        <v>2.22231528602789E-2</v>
      </c>
      <c r="AK32">
        <f t="shared" ref="AK32:AK36" si="42">SQRT(AQ21)</f>
        <v>8.2944534173692963E-2</v>
      </c>
      <c r="AL32">
        <f t="shared" ref="AL32:AL33" si="43">AS21/AM21</f>
        <v>2.407197648246746E-3</v>
      </c>
      <c r="AM32">
        <f t="shared" ref="AM32:AM35" si="44">SQRT(AU21)</f>
        <v>1.0244975792650601E-2</v>
      </c>
      <c r="AN32">
        <f t="shared" ref="AN32:AN33" si="45">SQRT(AW21)</f>
        <v>6.3502139969010996E-2</v>
      </c>
    </row>
    <row r="33" spans="17:50">
      <c r="Q33" t="s">
        <v>65</v>
      </c>
      <c r="R33">
        <v>1.7565369015149632E-2</v>
      </c>
      <c r="T33">
        <v>2.9879721373821597E-2</v>
      </c>
      <c r="V33">
        <v>0.19340840014808139</v>
      </c>
      <c r="X33">
        <v>0.13902167408332097</v>
      </c>
      <c r="AC33">
        <f t="shared" si="38"/>
        <v>3.2759463021562866E-3</v>
      </c>
      <c r="AK33">
        <f t="shared" si="42"/>
        <v>6.1379989442262833E-2</v>
      </c>
      <c r="AL33">
        <f t="shared" si="43"/>
        <v>0.10045137567841023</v>
      </c>
      <c r="AM33">
        <f t="shared" si="44"/>
        <v>2.5126655391572661E-2</v>
      </c>
      <c r="AN33">
        <f t="shared" si="45"/>
        <v>4.9754446804137098E-2</v>
      </c>
      <c r="AP33" t="s">
        <v>139</v>
      </c>
      <c r="AQ33" t="s">
        <v>57</v>
      </c>
      <c r="AR33">
        <f>SQRT(AR31/14)</f>
        <v>7.6698680790402096E-2</v>
      </c>
      <c r="AT33">
        <f>(AT31/7)^0.5</f>
        <v>7.5205068828517033E-2</v>
      </c>
      <c r="AV33">
        <f>(AV31/13)^0.5</f>
        <v>4.0859608183981225E-2</v>
      </c>
      <c r="AX33">
        <f>(AX31/8)^0.5</f>
        <v>3.5468669476531101E-2</v>
      </c>
    </row>
    <row r="34" spans="17:50">
      <c r="AK34">
        <f t="shared" si="42"/>
        <v>8.3813173174254116E-2</v>
      </c>
      <c r="AM34">
        <f t="shared" si="44"/>
        <v>6.6856277250918417E-2</v>
      </c>
    </row>
    <row r="35" spans="17:50" ht="16.2">
      <c r="Q35" t="s">
        <v>75</v>
      </c>
      <c r="R35">
        <v>1.3378368090798285</v>
      </c>
      <c r="T35">
        <v>1.7718964236165213</v>
      </c>
      <c r="V35">
        <v>0.66526534129659776</v>
      </c>
      <c r="X35">
        <v>1.2129471682053168</v>
      </c>
      <c r="AK35">
        <f t="shared" si="42"/>
        <v>0.12583008429120907</v>
      </c>
      <c r="AM35">
        <f t="shared" si="44"/>
        <v>7.0039692042095869E-2</v>
      </c>
      <c r="AQ35" t="s">
        <v>77</v>
      </c>
      <c r="AR35">
        <f>AR31/(14-2)</f>
        <v>6.8631355741526623E-3</v>
      </c>
      <c r="AT35">
        <f>AT31/(7-2)</f>
        <v>7.9181233285027797E-3</v>
      </c>
      <c r="AV35">
        <f>(AV31/(13-2))</f>
        <v>1.9730544138481863E-3</v>
      </c>
      <c r="AX35">
        <f>AX31/(8-2)</f>
        <v>1.6773686859138787E-3</v>
      </c>
    </row>
    <row r="36" spans="17:50">
      <c r="AK36">
        <f t="shared" si="42"/>
        <v>5.723588299446674E-2</v>
      </c>
    </row>
    <row r="37" spans="17:50" ht="16.2">
      <c r="AQ37" t="s">
        <v>60</v>
      </c>
      <c r="AR37">
        <f>(1-(AR31/AR3))</f>
        <v>0.93695675903273912</v>
      </c>
      <c r="AT37">
        <f>(1-(AT31/AT3))</f>
        <v>0.98572980414402223</v>
      </c>
      <c r="AV37">
        <f>1-(AV31/AV3)</f>
        <v>0.97438892505961694</v>
      </c>
      <c r="AX37">
        <f>1-(AX31/AX3)</f>
        <v>0.98739098378258849</v>
      </c>
    </row>
    <row r="39" spans="17:50" ht="15.6">
      <c r="AQ39" t="s">
        <v>133</v>
      </c>
      <c r="AR39">
        <v>1.7013440213683246E-2</v>
      </c>
      <c r="AS39" t="s">
        <v>61</v>
      </c>
      <c r="AT39">
        <v>2.701049046701217E-2</v>
      </c>
      <c r="AU39" t="s">
        <v>63</v>
      </c>
      <c r="AV39">
        <v>0.19767023214353804</v>
      </c>
      <c r="AW39" t="s">
        <v>64</v>
      </c>
      <c r="AX39">
        <v>0.16873313353864303</v>
      </c>
    </row>
    <row r="41" spans="17:50" ht="15.6">
      <c r="AQ41" t="s">
        <v>134</v>
      </c>
      <c r="AR41">
        <v>1.3565476246719113</v>
      </c>
      <c r="AS41" t="s">
        <v>137</v>
      </c>
      <c r="AT41">
        <v>1.7399847443955287</v>
      </c>
      <c r="AU41" t="s">
        <v>136</v>
      </c>
      <c r="AV41">
        <v>0.65795659121838479</v>
      </c>
      <c r="AW41" t="s">
        <v>135</v>
      </c>
      <c r="AX41">
        <v>1.1154259817084409</v>
      </c>
    </row>
    <row r="44" spans="17:50">
      <c r="AP44" t="s">
        <v>140</v>
      </c>
      <c r="AR44">
        <f>CONFIDENCE(0.05,AR33,AR29)</f>
        <v>4.0176487708975903E-2</v>
      </c>
      <c r="AT44">
        <f>CONFIDENCE(0.05,AT33,AT29)</f>
        <v>5.5711670912652445E-2</v>
      </c>
      <c r="AV44">
        <f>CONFIDENCE(0.05,AV33,AV29)</f>
        <v>2.2211127881606816E-2</v>
      </c>
      <c r="AX44">
        <f>CONFIDENCE(0.05,AX33,AX29)</f>
        <v>2.4578082336059563E-2</v>
      </c>
    </row>
    <row r="47" spans="17:50">
      <c r="AR47">
        <f>TDIST(AR35,13,2)</f>
        <v>0.99462825572150271</v>
      </c>
      <c r="AT47">
        <f>TDIST(AT35,6,2)</f>
        <v>0.99393902330333117</v>
      </c>
      <c r="AV47">
        <f>TDIST(AV35,12,2)</f>
        <v>0.99845815256149928</v>
      </c>
      <c r="AX47">
        <f>TDIST(AX35,7,2)</f>
        <v>0.99870845548421983</v>
      </c>
    </row>
  </sheetData>
  <mergeCells count="10">
    <mergeCell ref="AC1:AJ1"/>
    <mergeCell ref="AC2:AD2"/>
    <mergeCell ref="AE2:AF2"/>
    <mergeCell ref="AG2:AH2"/>
    <mergeCell ref="AI2:AJ2"/>
    <mergeCell ref="C1:J1"/>
    <mergeCell ref="C2:D2"/>
    <mergeCell ref="E2:F2"/>
    <mergeCell ref="G2:H2"/>
    <mergeCell ref="I2:J2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Forkwa</vt:lpstr>
      <vt:lpstr>Suilpuwa</vt:lpstr>
      <vt:lpstr>Sun_Dry</vt:lpstr>
      <vt:lpstr>Sheet1</vt:lpstr>
      <vt:lpstr>Solar dry</vt:lpstr>
      <vt:lpstr>BSD</vt:lpstr>
      <vt:lpstr>BCD</vt:lpstr>
      <vt:lpstr>Newton</vt:lpstr>
      <vt:lpstr>Page</vt:lpstr>
      <vt:lpstr>Henderson and Pabis</vt:lpstr>
      <vt:lpstr>Two Term Exponential</vt:lpstr>
      <vt:lpstr>Aghbashlo et al</vt:lpstr>
      <vt:lpstr>Wang and Singh</vt:lpstr>
      <vt:lpstr>Logarithmic</vt:lpstr>
      <vt:lpstr>Sheet2</vt:lpstr>
      <vt:lpstr>Quartic model</vt:lpstr>
      <vt:lpstr>Sheet3</vt:lpstr>
      <vt:lpstr>sd</vt:lpstr>
      <vt:lpstr>cd</vt:lpstr>
      <vt:lpstr>b+sd</vt:lpstr>
      <vt:lpstr>b+cd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NJOWE</dc:creator>
  <cp:lastModifiedBy>NJOWE YISA</cp:lastModifiedBy>
  <dcterms:created xsi:type="dcterms:W3CDTF">2020-02-17T09:54:10Z</dcterms:created>
  <dcterms:modified xsi:type="dcterms:W3CDTF">2023-05-15T23:05:51Z</dcterms:modified>
</cp:coreProperties>
</file>