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tables/table10.xml" ContentType="application/vnd.openxmlformats-officedocument.spreadsheetml.table+xml"/>
  <Override PartName="/xl/drawings/drawing3.xml" ContentType="application/vnd.openxmlformats-officedocument.drawing+xml"/>
  <Override PartName="/xl/tables/table11.xml" ContentType="application/vnd.openxmlformats-officedocument.spreadsheetml.tab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223e45f10d991d/Desktop/Masters/Experiments/3. CO-CO2 Test/Optimization Study/"/>
    </mc:Choice>
  </mc:AlternateContent>
  <xr:revisionPtr revIDLastSave="1204" documentId="13_ncr:40009_{8A952547-68E4-4EE9-A331-B8EE38749F73}" xr6:coauthVersionLast="47" xr6:coauthVersionMax="47" xr10:uidLastSave="{E6BDBA64-E7C2-4A24-ABD8-B7A8F5927D83}"/>
  <bookViews>
    <workbookView xWindow="-108" yWindow="-108" windowWidth="23256" windowHeight="12456" xr2:uid="{00000000-000D-0000-FFFF-FFFF00000000}"/>
  </bookViews>
  <sheets>
    <sheet name="CO-CO2 Test work calculations" sheetId="1" r:id="rId1"/>
    <sheet name="Mass loss model" sheetId="2" r:id="rId2"/>
    <sheet name="Model vs data" sheetId="3" r:id="rId3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'CO-CO2 Test work calculations'!$O$16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23" i="1"/>
  <c r="T18" i="1"/>
  <c r="T19" i="1"/>
  <c r="T20" i="1"/>
  <c r="T21" i="1"/>
  <c r="T22" i="1"/>
  <c r="T23" i="1"/>
  <c r="T24" i="1"/>
  <c r="T25" i="1"/>
  <c r="T26" i="1"/>
  <c r="T27" i="1"/>
  <c r="T28" i="1"/>
  <c r="T17" i="1"/>
  <c r="Q2" i="1"/>
  <c r="I14" i="1"/>
  <c r="R41" i="1"/>
  <c r="S41" i="1"/>
  <c r="T41" i="1"/>
  <c r="U41" i="1"/>
  <c r="R39" i="1"/>
  <c r="S39" i="1"/>
  <c r="T39" i="1"/>
  <c r="U39" i="1"/>
  <c r="J52" i="1"/>
  <c r="K52" i="1"/>
  <c r="L52" i="1"/>
  <c r="M52" i="1"/>
  <c r="J54" i="1"/>
  <c r="K54" i="1"/>
  <c r="L54" i="1"/>
  <c r="M54" i="1"/>
  <c r="S16" i="1"/>
  <c r="I36" i="1"/>
  <c r="Q39" i="1" s="1"/>
  <c r="I37" i="1"/>
  <c r="Q41" i="1" s="1"/>
  <c r="I38" i="1"/>
  <c r="I39" i="1"/>
  <c r="I40" i="1"/>
  <c r="I41" i="1"/>
  <c r="I42" i="1"/>
  <c r="I43" i="1"/>
  <c r="I44" i="1"/>
  <c r="I45" i="1"/>
  <c r="R27" i="1"/>
  <c r="G30" i="3"/>
  <c r="G31" i="3"/>
  <c r="G32" i="3"/>
  <c r="H32" i="3" s="1"/>
  <c r="G33" i="3"/>
  <c r="G34" i="3"/>
  <c r="G35" i="3"/>
  <c r="G36" i="3"/>
  <c r="H36" i="3" s="1"/>
  <c r="G37" i="3"/>
  <c r="H37" i="3" s="1"/>
  <c r="G38" i="3"/>
  <c r="G29" i="3"/>
  <c r="H29" i="3" s="1"/>
  <c r="H38" i="3"/>
  <c r="H35" i="3"/>
  <c r="H34" i="3"/>
  <c r="H33" i="3"/>
  <c r="H31" i="3"/>
  <c r="H30" i="3"/>
  <c r="G17" i="3"/>
  <c r="H17" i="3" s="1"/>
  <c r="G18" i="3"/>
  <c r="H18" i="3" s="1"/>
  <c r="G19" i="3"/>
  <c r="G20" i="3"/>
  <c r="G21" i="3"/>
  <c r="G22" i="3"/>
  <c r="G23" i="3"/>
  <c r="H23" i="3" s="1"/>
  <c r="G24" i="3"/>
  <c r="H24" i="3" s="1"/>
  <c r="G25" i="3"/>
  <c r="H25" i="3" s="1"/>
  <c r="G16" i="3"/>
  <c r="H16" i="3" s="1"/>
  <c r="H22" i="3"/>
  <c r="H21" i="3"/>
  <c r="H20" i="3"/>
  <c r="H19" i="3"/>
  <c r="G3" i="3"/>
  <c r="H3" i="3" s="1"/>
  <c r="G4" i="3"/>
  <c r="H4" i="3" s="1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2" i="3"/>
  <c r="H2" i="3" s="1"/>
  <c r="S25" i="1"/>
  <c r="I54" i="1" l="1"/>
  <c r="I52" i="1"/>
  <c r="S26" i="1"/>
  <c r="S27" i="1"/>
  <c r="R26" i="1"/>
  <c r="H12" i="1"/>
  <c r="H13" i="1"/>
  <c r="H14" i="1"/>
  <c r="I12" i="1"/>
  <c r="I13" i="1"/>
  <c r="J12" i="1"/>
  <c r="J13" i="1"/>
  <c r="J14" i="1"/>
  <c r="F12" i="1"/>
  <c r="F13" i="1"/>
  <c r="F14" i="1"/>
  <c r="P14" i="1"/>
  <c r="K14" i="1" s="1"/>
  <c r="P13" i="1"/>
  <c r="G13" i="1" s="1"/>
  <c r="P12" i="1"/>
  <c r="K12" i="1" s="1"/>
  <c r="R25" i="1"/>
  <c r="G16" i="1"/>
  <c r="R16" i="1"/>
  <c r="G5" i="1"/>
  <c r="G2" i="1"/>
  <c r="K2" i="1"/>
  <c r="J2" i="1"/>
  <c r="I2" i="1"/>
  <c r="R18" i="1"/>
  <c r="S17" i="1"/>
  <c r="S18" i="1"/>
  <c r="S19" i="1"/>
  <c r="S20" i="1"/>
  <c r="S21" i="1"/>
  <c r="S22" i="1"/>
  <c r="S23" i="1"/>
  <c r="S24" i="1"/>
  <c r="R17" i="1"/>
  <c r="R19" i="1"/>
  <c r="R20" i="1"/>
  <c r="R21" i="1"/>
  <c r="R22" i="1"/>
  <c r="R23" i="1"/>
  <c r="R24" i="1"/>
  <c r="G14" i="1" l="1"/>
  <c r="G12" i="1"/>
  <c r="K13" i="1"/>
  <c r="H5" i="1"/>
  <c r="I5" i="1"/>
  <c r="I3" i="1"/>
  <c r="I4" i="1"/>
  <c r="I6" i="1"/>
  <c r="I7" i="1"/>
  <c r="I8" i="1"/>
  <c r="I9" i="1"/>
  <c r="I10" i="1"/>
  <c r="I11" i="1"/>
  <c r="H2" i="1"/>
  <c r="H3" i="1"/>
  <c r="H4" i="1"/>
  <c r="H6" i="1"/>
  <c r="H7" i="1"/>
  <c r="H8" i="1"/>
  <c r="H9" i="1"/>
  <c r="H10" i="1"/>
  <c r="H11" i="1"/>
  <c r="J3" i="1"/>
  <c r="J4" i="1"/>
  <c r="J5" i="1"/>
  <c r="J6" i="1"/>
  <c r="J7" i="1"/>
  <c r="J8" i="1"/>
  <c r="J9" i="1"/>
  <c r="J10" i="1"/>
  <c r="J11" i="1"/>
  <c r="F10" i="1" l="1"/>
  <c r="C29" i="1" l="1"/>
  <c r="C21" i="1"/>
  <c r="K6" i="2"/>
  <c r="A33" i="2"/>
  <c r="A29" i="2"/>
  <c r="F2" i="1"/>
  <c r="F3" i="1"/>
  <c r="F4" i="1"/>
  <c r="F5" i="1"/>
  <c r="F6" i="1"/>
  <c r="F7" i="1"/>
  <c r="F8" i="1"/>
  <c r="F9" i="1"/>
  <c r="F11" i="1"/>
  <c r="E16" i="1"/>
  <c r="K3" i="1" l="1"/>
  <c r="K4" i="1"/>
  <c r="K9" i="1"/>
  <c r="G11" i="1"/>
  <c r="G8" i="1"/>
  <c r="K10" i="1"/>
  <c r="G7" i="1"/>
  <c r="K6" i="1"/>
  <c r="C25" i="1"/>
  <c r="C26" i="1" s="1"/>
  <c r="B30" i="1" s="1"/>
  <c r="C30" i="1" s="1"/>
  <c r="K5" i="1"/>
  <c r="G9" i="1"/>
  <c r="G6" i="1"/>
  <c r="G3" i="1"/>
  <c r="K8" i="1" l="1"/>
  <c r="G4" i="1"/>
  <c r="K11" i="1"/>
  <c r="K7" i="1"/>
  <c r="G10" i="1"/>
</calcChain>
</file>

<file path=xl/sharedStrings.xml><?xml version="1.0" encoding="utf-8"?>
<sst xmlns="http://schemas.openxmlformats.org/spreadsheetml/2006/main" count="187" uniqueCount="133">
  <si>
    <t>std.order</t>
  </si>
  <si>
    <t>x1</t>
  </si>
  <si>
    <t>x2</t>
  </si>
  <si>
    <t>Reductant</t>
  </si>
  <si>
    <t>TMn</t>
  </si>
  <si>
    <t>Enrichment Ratio</t>
  </si>
  <si>
    <t>Separation efficiency</t>
  </si>
  <si>
    <t>Mass of mag sep feed (g)</t>
  </si>
  <si>
    <t>Mass of non-magnetics (g)</t>
  </si>
  <si>
    <t>Mn in feed to mag sep (wt frac)</t>
  </si>
  <si>
    <t>Mn in non-mag (wt frac)</t>
  </si>
  <si>
    <t>Fe in non-mag (wt frac)</t>
  </si>
  <si>
    <t>Review metric</t>
  </si>
  <si>
    <t>Data needed</t>
  </si>
  <si>
    <t>How to get this data</t>
  </si>
  <si>
    <t>Mass of mag sep product</t>
  </si>
  <si>
    <t>Mn grade in product</t>
  </si>
  <si>
    <t>Mass of  feed to mag sep</t>
  </si>
  <si>
    <t>Weigh feed to mag sep</t>
  </si>
  <si>
    <t>Mn grade in feed to mag sep</t>
  </si>
  <si>
    <t>XRF of feed material 
(should be the same for all the samples)</t>
  </si>
  <si>
    <t>Mn/Fe ratio</t>
  </si>
  <si>
    <t>Mn and Fe in product</t>
  </si>
  <si>
    <t>CO Reductant</t>
  </si>
  <si>
    <t>Mn Recovery to non-mag</t>
  </si>
  <si>
    <t>TMn in non-mag</t>
  </si>
  <si>
    <t>Mn/Fe in non-mag</t>
  </si>
  <si>
    <t>Weigh mag sep product (non-mag stream)</t>
  </si>
  <si>
    <t>XRF on product (non-mag stream)</t>
  </si>
  <si>
    <t>Recovery of Mn to non-mag</t>
  </si>
  <si>
    <t>Recovery of Fe to mag</t>
  </si>
  <si>
    <t>mass of mag stream</t>
  </si>
  <si>
    <t>Fe in mag stream</t>
  </si>
  <si>
    <t>XRF on mag stream</t>
  </si>
  <si>
    <t>Mass of feed to mag sep</t>
  </si>
  <si>
    <t>Fe in feed</t>
  </si>
  <si>
    <t>should be the same for all the samples</t>
  </si>
  <si>
    <t>Mass of mag stream</t>
  </si>
  <si>
    <t>Weigh mag stream</t>
  </si>
  <si>
    <t>T (K)</t>
  </si>
  <si>
    <t>Initial Mass</t>
  </si>
  <si>
    <t>Mass after reduction</t>
  </si>
  <si>
    <t>Mass loss %</t>
  </si>
  <si>
    <t>rsm(formula = Y ~ FO(x1, x2) + TWI(x1, x2) + PQ(x1, x2), data = Mass_loss_model_data)</t>
  </si>
  <si>
    <t>---</t>
  </si>
  <si>
    <t>Signif. codes:  0 ‘***’ 0.001 ‘**’ 0.01 ‘*’ 0.05 ‘.’ 0.1 ‘ ’ 1</t>
  </si>
  <si>
    <t>Multiple R-squared:  0.9909,</t>
  </si>
  <si>
    <t xml:space="preserve">Adjusted R-squared:  0.9832 </t>
  </si>
  <si>
    <t>F-statistic: 130.1 on 5 and 6 DF,  p-value: 4.963e-06</t>
  </si>
  <si>
    <t>Analysis of Variance Table</t>
  </si>
  <si>
    <t>Response: Y</t>
  </si>
  <si>
    <t>Stationary point of response surface:</t>
  </si>
  <si>
    <t>Stationary point in original units:</t>
  </si>
  <si>
    <t>Eigenanalysis:</t>
  </si>
  <si>
    <t>eigen() decomposition</t>
  </si>
  <si>
    <t>$values</t>
  </si>
  <si>
    <t>[1]  0.06416929 -0.47327299</t>
  </si>
  <si>
    <t>$vectors</t>
  </si>
  <si>
    <t xml:space="preserve">         [,1]       [,2]</t>
  </si>
  <si>
    <t>x1 -0.9669414 -0.2549987</t>
  </si>
  <si>
    <t>x2 -0.2549987  0.9669414</t>
  </si>
  <si>
    <t>Pr(&gt;|t|)</t>
  </si>
  <si>
    <t>***</t>
  </si>
  <si>
    <t>*</t>
  </si>
  <si>
    <t>Pr(&gt;F)</t>
  </si>
  <si>
    <t>Estimate</t>
  </si>
  <si>
    <t>x1:x2</t>
  </si>
  <si>
    <t>x1^2</t>
  </si>
  <si>
    <t>x2^2</t>
  </si>
  <si>
    <t>Residuals</t>
  </si>
  <si>
    <t>Std. Error</t>
  </si>
  <si>
    <t>t value</t>
  </si>
  <si>
    <t>(Intercept)</t>
  </si>
  <si>
    <t>FO(x1, x2)</t>
  </si>
  <si>
    <t>TWI(x1, x2)</t>
  </si>
  <si>
    <t>PQ(x1, x2)</t>
  </si>
  <si>
    <t>Lack of fit</t>
  </si>
  <si>
    <t>Pure error</t>
  </si>
  <si>
    <t>T</t>
  </si>
  <si>
    <t>Df</t>
  </si>
  <si>
    <t>Sum Sq</t>
  </si>
  <si>
    <t>Mean Sq</t>
  </si>
  <si>
    <t>F value</t>
  </si>
  <si>
    <t>Column1</t>
  </si>
  <si>
    <t>H2 gas calcs</t>
  </si>
  <si>
    <t>Reductant ratio</t>
  </si>
  <si>
    <t>H2O flow</t>
  </si>
  <si>
    <t>5g/10 min</t>
  </si>
  <si>
    <t>mol/min</t>
  </si>
  <si>
    <t>Volumn</t>
  </si>
  <si>
    <t>Pressure</t>
  </si>
  <si>
    <t>0.86 atm</t>
  </si>
  <si>
    <t>Pa</t>
  </si>
  <si>
    <t>m^3/min</t>
  </si>
  <si>
    <t>l/min</t>
  </si>
  <si>
    <t>H2 flow required</t>
  </si>
  <si>
    <t>Temp (K)</t>
  </si>
  <si>
    <t>MFC1 - N2</t>
  </si>
  <si>
    <t>MFC2 - H2</t>
  </si>
  <si>
    <t>Flow</t>
  </si>
  <si>
    <t>SP</t>
  </si>
  <si>
    <t>Mn in mags</t>
  </si>
  <si>
    <t>% Fe removed</t>
  </si>
  <si>
    <t>% Mn lost</t>
  </si>
  <si>
    <t>temp</t>
  </si>
  <si>
    <t>reductant</t>
  </si>
  <si>
    <t>Calculated 
Mn Lost</t>
  </si>
  <si>
    <t>%Difference</t>
  </si>
  <si>
    <t>Experimental
Mn lost</t>
  </si>
  <si>
    <t>Experimental
Fe removed</t>
  </si>
  <si>
    <t>Calculated 
Fe removed</t>
  </si>
  <si>
    <t>Experimental
Mn/Fe ratio</t>
  </si>
  <si>
    <t>Calculated 
Mn/Fe ratio</t>
  </si>
  <si>
    <t>Mass% to non-mags</t>
  </si>
  <si>
    <t>Effect of T</t>
  </si>
  <si>
    <t>Test number</t>
  </si>
  <si>
    <t>Centre point 1</t>
  </si>
  <si>
    <t>Centre point 2</t>
  </si>
  <si>
    <t>Centre point 3</t>
  </si>
  <si>
    <t>wt% Mn</t>
  </si>
  <si>
    <t>wt% Fe</t>
  </si>
  <si>
    <t>XRF of non-mags</t>
  </si>
  <si>
    <t>Mn recovery to non mags</t>
  </si>
  <si>
    <t>Mn/Fe ratio in non-mags</t>
  </si>
  <si>
    <t>%Fe removed</t>
  </si>
  <si>
    <t>%Mn lost</t>
  </si>
  <si>
    <t>Review Metrics</t>
  </si>
  <si>
    <t>Column2</t>
  </si>
  <si>
    <t>Column3</t>
  </si>
  <si>
    <t>Column4</t>
  </si>
  <si>
    <t xml:space="preserve"> </t>
  </si>
  <si>
    <t>Mn lost</t>
  </si>
  <si>
    <t>Fe removed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</si>
</sst>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14" fillId="0" borderId="0" xfId="0" applyFont="1"/>
    <xf numFmtId="11" fontId="0" fillId="0" borderId="0" xfId="0" applyNumberFormat="1"/>
    <xf numFmtId="0" fontId="18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6" fillId="0" borderId="11" xfId="0" applyFont="1" applyBorder="1"/>
    <xf numFmtId="2" fontId="18" fillId="0" borderId="0" xfId="0" applyNumberFormat="1" applyFont="1"/>
    <xf numFmtId="2" fontId="0" fillId="0" borderId="0" xfId="0" applyNumberFormat="1"/>
    <xf numFmtId="2" fontId="14" fillId="0" borderId="0" xfId="0" applyNumberFormat="1" applyFont="1"/>
    <xf numFmtId="0" fontId="19" fillId="0" borderId="0" xfId="0" applyFont="1"/>
    <xf numFmtId="0" fontId="13" fillId="33" borderId="19" xfId="0" applyFont="1" applyFill="1" applyBorder="1"/>
    <xf numFmtId="0" fontId="13" fillId="33" borderId="20" xfId="0" applyFont="1" applyFill="1" applyBorder="1"/>
    <xf numFmtId="0" fontId="13" fillId="33" borderId="21" xfId="0" applyFont="1" applyFill="1" applyBorder="1"/>
    <xf numFmtId="0" fontId="14" fillId="34" borderId="19" xfId="0" applyFont="1" applyFill="1" applyBorder="1"/>
    <xf numFmtId="0" fontId="14" fillId="34" borderId="20" xfId="0" applyFont="1" applyFill="1" applyBorder="1"/>
    <xf numFmtId="0" fontId="14" fillId="34" borderId="21" xfId="0" applyFont="1" applyFill="1" applyBorder="1"/>
    <xf numFmtId="0" fontId="14" fillId="0" borderId="19" xfId="0" applyFont="1" applyBorder="1"/>
    <xf numFmtId="0" fontId="14" fillId="0" borderId="20" xfId="0" applyFont="1" applyBorder="1"/>
    <xf numFmtId="0" fontId="14" fillId="0" borderId="21" xfId="0" applyFont="1" applyBorder="1"/>
    <xf numFmtId="0" fontId="19" fillId="34" borderId="20" xfId="0" applyFont="1" applyFill="1" applyBorder="1"/>
    <xf numFmtId="0" fontId="19" fillId="34" borderId="21" xfId="0" applyFont="1" applyFill="1" applyBorder="1"/>
    <xf numFmtId="0" fontId="18" fillId="0" borderId="20" xfId="0" applyFont="1" applyBorder="1"/>
    <xf numFmtId="0" fontId="18" fillId="0" borderId="21" xfId="0" applyFont="1" applyBorder="1"/>
    <xf numFmtId="0" fontId="13" fillId="33" borderId="0" xfId="0" applyFont="1" applyFill="1"/>
    <xf numFmtId="0" fontId="13" fillId="33" borderId="0" xfId="0" applyFont="1" applyFill="1" applyAlignment="1">
      <alignment wrapText="1"/>
    </xf>
    <xf numFmtId="0" fontId="13" fillId="35" borderId="22" xfId="0" applyFont="1" applyFill="1" applyBorder="1"/>
    <xf numFmtId="0" fontId="13" fillId="35" borderId="23" xfId="0" applyFont="1" applyFill="1" applyBorder="1"/>
    <xf numFmtId="0" fontId="13" fillId="35" borderId="24" xfId="0" applyFont="1" applyFill="1" applyBorder="1"/>
    <xf numFmtId="0" fontId="0" fillId="36" borderId="22" xfId="0" applyFill="1" applyBorder="1"/>
    <xf numFmtId="0" fontId="0" fillId="36" borderId="24" xfId="0" applyFill="1" applyBorder="1"/>
    <xf numFmtId="0" fontId="0" fillId="0" borderId="22" xfId="0" applyBorder="1"/>
    <xf numFmtId="0" fontId="0" fillId="0" borderId="24" xfId="0" applyBorder="1"/>
    <xf numFmtId="2" fontId="0" fillId="36" borderId="24" xfId="0" applyNumberFormat="1" applyFill="1" applyBorder="1"/>
    <xf numFmtId="2" fontId="0" fillId="36" borderId="23" xfId="0" applyNumberFormat="1" applyFill="1" applyBorder="1"/>
    <xf numFmtId="2" fontId="0" fillId="0" borderId="24" xfId="0" applyNumberFormat="1" applyBorder="1"/>
    <xf numFmtId="2" fontId="0" fillId="0" borderId="23" xfId="0" applyNumberFormat="1" applyBorder="1"/>
    <xf numFmtId="0" fontId="0" fillId="0" borderId="0" xfId="0" applyAlignment="1">
      <alignment horizontal="center"/>
    </xf>
    <xf numFmtId="2" fontId="0" fillId="0" borderId="25" xfId="0" applyNumberFormat="1" applyBorder="1"/>
    <xf numFmtId="2" fontId="0" fillId="0" borderId="26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7">
    <dxf>
      <numFmt numFmtId="2" formatCode="0.00"/>
    </dxf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</border>
    </dxf>
    <dxf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numFmt numFmtId="2" formatCode="0.0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%Fe removed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'CO-CO2 Test work calculations'!$Q$26:$Q$28</c:f>
              <c:numCache>
                <c:formatCode>General</c:formatCode>
                <c:ptCount val="3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</c:numCache>
            </c:numRef>
          </c:xVal>
          <c:yVal>
            <c:numRef>
              <c:f>'CO-CO2 Test work calculations'!$R$26:$R$28</c:f>
              <c:numCache>
                <c:formatCode>General</c:formatCode>
                <c:ptCount val="3"/>
                <c:pt idx="0">
                  <c:v>14.443506493506494</c:v>
                </c:pt>
                <c:pt idx="1">
                  <c:v>13.897136612021857</c:v>
                </c:pt>
                <c:pt idx="2">
                  <c:v>22.5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EB-400D-AF4C-75A782D5E33D}"/>
            </c:ext>
          </c:extLst>
        </c:ser>
        <c:ser>
          <c:idx val="1"/>
          <c:order val="1"/>
          <c:tx>
            <c:v>%Mn lost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'CO-CO2 Test work calculations'!$Q$26:$Q$28</c:f>
              <c:numCache>
                <c:formatCode>General</c:formatCode>
                <c:ptCount val="3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</c:numCache>
            </c:numRef>
          </c:xVal>
          <c:yVal>
            <c:numRef>
              <c:f>'CO-CO2 Test work calculations'!$S$26:$S$28</c:f>
              <c:numCache>
                <c:formatCode>General</c:formatCode>
                <c:ptCount val="3"/>
                <c:pt idx="0">
                  <c:v>4.5373229043683585</c:v>
                </c:pt>
                <c:pt idx="1">
                  <c:v>5.5573025335320416</c:v>
                </c:pt>
                <c:pt idx="2">
                  <c:v>8.9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EB-400D-AF4C-75A782D5E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200736"/>
        <c:axId val="1155209056"/>
      </c:scatterChart>
      <c:valAx>
        <c:axId val="1155200736"/>
        <c:scaling>
          <c:orientation val="minMax"/>
          <c:max val="0.60000000000000009"/>
          <c:min val="0.4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209056"/>
        <c:crosses val="autoZero"/>
        <c:crossBetween val="midCat"/>
        <c:majorUnit val="0.1"/>
      </c:valAx>
      <c:valAx>
        <c:axId val="115520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200736"/>
        <c:crossesAt val="0.30000000000000004"/>
        <c:crossBetween val="midCat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/>
                </a:solidFill>
              </a:rPr>
              <a:t>a)</a:t>
            </a:r>
          </a:p>
        </c:rich>
      </c:tx>
      <c:layout>
        <c:manualLayout>
          <c:xMode val="edge"/>
          <c:yMode val="edge"/>
          <c:x val="4.0819209039548034E-2"/>
          <c:y val="4.21179302045728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958116464255526"/>
          <c:y val="0.11612562418867318"/>
          <c:w val="0.6532897370879488"/>
          <c:h val="0.539128457318286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'Model vs data'!$G$1</c:f>
              <c:strCache>
                <c:ptCount val="1"/>
                <c:pt idx="0">
                  <c:v>Calculated 
Mn Lost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5113689443480582"/>
                  <c:y val="-1.913357400722021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'Model vs data'!$F$2:$F$11</c:f>
              <c:numCache>
                <c:formatCode>0.00</c:formatCode>
                <c:ptCount val="10"/>
                <c:pt idx="0">
                  <c:v>7.7291264204545449</c:v>
                </c:pt>
                <c:pt idx="1">
                  <c:v>9.3669408369408362</c:v>
                </c:pt>
                <c:pt idx="2">
                  <c:v>10.795618479880776</c:v>
                </c:pt>
                <c:pt idx="3">
                  <c:v>0.78166167664670672</c:v>
                </c:pt>
                <c:pt idx="4">
                  <c:v>9.6664462809917353</c:v>
                </c:pt>
                <c:pt idx="5">
                  <c:v>9.4009933774834433</c:v>
                </c:pt>
                <c:pt idx="6">
                  <c:v>7.5646232057416274</c:v>
                </c:pt>
                <c:pt idx="7">
                  <c:v>0.59053893988747419</c:v>
                </c:pt>
                <c:pt idx="8">
                  <c:v>8.9392901618929024</c:v>
                </c:pt>
                <c:pt idx="9">
                  <c:v>8.7071384990848077</c:v>
                </c:pt>
              </c:numCache>
            </c:numRef>
          </c:xVal>
          <c:yVal>
            <c:numRef>
              <c:f>'Model vs data'!$G$2:$G$11</c:f>
              <c:numCache>
                <c:formatCode>0.00</c:formatCode>
                <c:ptCount val="10"/>
                <c:pt idx="0">
                  <c:v>7.090679999999999</c:v>
                </c:pt>
                <c:pt idx="1">
                  <c:v>10.728680000000001</c:v>
                </c:pt>
                <c:pt idx="2">
                  <c:v>9.071159999999999</c:v>
                </c:pt>
                <c:pt idx="3">
                  <c:v>1.0573999999999999</c:v>
                </c:pt>
                <c:pt idx="4">
                  <c:v>11.262114783543712</c:v>
                </c:pt>
                <c:pt idx="5">
                  <c:v>8.1679852155151522</c:v>
                </c:pt>
                <c:pt idx="6">
                  <c:v>6.9780184180656892</c:v>
                </c:pt>
                <c:pt idx="7">
                  <c:v>1.5398015867508885</c:v>
                </c:pt>
                <c:pt idx="8">
                  <c:v>8.8232099999999996</c:v>
                </c:pt>
                <c:pt idx="9">
                  <c:v>8.8232099999999996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19-4A46-A4F7-D4A36DD83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02447"/>
        <c:axId val="41285807"/>
      </c:scatterChart>
      <c:valAx>
        <c:axId val="41302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>
                    <a:solidFill>
                      <a:schemeClr val="tx1"/>
                    </a:solidFill>
                  </a:rPr>
                  <a:t>Experimental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85807"/>
        <c:crosses val="autoZero"/>
        <c:crossBetween val="midCat"/>
        <c:majorUnit val="3"/>
      </c:valAx>
      <c:valAx>
        <c:axId val="41285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>
                    <a:solidFill>
                      <a:schemeClr val="tx1"/>
                    </a:solidFill>
                  </a:rPr>
                  <a:t>Calculated</a:t>
                </a:r>
              </a:p>
            </c:rich>
          </c:tx>
          <c:layout>
            <c:manualLayout>
              <c:xMode val="edge"/>
              <c:yMode val="edge"/>
              <c:x val="3.8841807909604523E-2"/>
              <c:y val="0.205860977666600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02447"/>
        <c:crosses val="autoZero"/>
        <c:crossBetween val="midCat"/>
        <c:majorUnit val="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/>
                </a:solidFill>
              </a:rPr>
              <a:t>b)</a:t>
            </a:r>
          </a:p>
        </c:rich>
      </c:tx>
      <c:layout>
        <c:manualLayout>
          <c:xMode val="edge"/>
          <c:yMode val="edge"/>
          <c:x val="2.9747853928406936E-2"/>
          <c:y val="4.34310532030401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903236725430462"/>
          <c:y val="8.8491198372190452E-2"/>
          <c:w val="0.65402273975795311"/>
          <c:h val="0.600451409371874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'Model vs data'!$G$15</c:f>
              <c:strCache>
                <c:ptCount val="1"/>
                <c:pt idx="0">
                  <c:v>Calculated 
Fe removed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7346223635364819"/>
                  <c:y val="1.57980456026058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'Model vs data'!$F$16:$F$25</c:f>
              <c:numCache>
                <c:formatCode>0.00</c:formatCode>
                <c:ptCount val="10"/>
                <c:pt idx="0">
                  <c:v>19.838916666666666</c:v>
                </c:pt>
                <c:pt idx="1">
                  <c:v>18.119661375661376</c:v>
                </c:pt>
                <c:pt idx="2">
                  <c:v>34.495322404371578</c:v>
                </c:pt>
                <c:pt idx="3">
                  <c:v>1.6710778443113774</c:v>
                </c:pt>
                <c:pt idx="4">
                  <c:v>27.656727272727277</c:v>
                </c:pt>
                <c:pt idx="5">
                  <c:v>18.034415011037531</c:v>
                </c:pt>
                <c:pt idx="6">
                  <c:v>14.157192982456143</c:v>
                </c:pt>
                <c:pt idx="7">
                  <c:v>2.3511400651465801</c:v>
                </c:pt>
                <c:pt idx="8">
                  <c:v>22.984931506849314</c:v>
                </c:pt>
                <c:pt idx="9">
                  <c:v>22.430760626398214</c:v>
                </c:pt>
              </c:numCache>
            </c:numRef>
          </c:xVal>
          <c:yVal>
            <c:numRef>
              <c:f>'Model vs data'!$G$16:$G$25</c:f>
              <c:numCache>
                <c:formatCode>0.00</c:formatCode>
                <c:ptCount val="10"/>
                <c:pt idx="0">
                  <c:v>17.59431</c:v>
                </c:pt>
                <c:pt idx="1">
                  <c:v>21.108930000000001</c:v>
                </c:pt>
                <c:pt idx="2">
                  <c:v>28.524690000000003</c:v>
                </c:pt>
                <c:pt idx="3">
                  <c:v>0.93431000000000086</c:v>
                </c:pt>
                <c:pt idx="4">
                  <c:v>32.848336576005067</c:v>
                </c:pt>
                <c:pt idx="5">
                  <c:v>15.824203422276508</c:v>
                </c:pt>
                <c:pt idx="6">
                  <c:v>13.013182401435468</c:v>
                </c:pt>
                <c:pt idx="7">
                  <c:v>6.4765176122440273</c:v>
                </c:pt>
                <c:pt idx="8">
                  <c:v>22.707850000000001</c:v>
                </c:pt>
                <c:pt idx="9">
                  <c:v>22.707850000000001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01-42E8-9361-7BBAB153E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80399"/>
        <c:axId val="41279983"/>
      </c:scatterChart>
      <c:valAx>
        <c:axId val="412803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>
                    <a:solidFill>
                      <a:schemeClr val="tx1"/>
                    </a:solidFill>
                  </a:rPr>
                  <a:t>Experimental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79983"/>
        <c:crosses val="autoZero"/>
        <c:crossBetween val="midCat"/>
      </c:valAx>
      <c:valAx>
        <c:axId val="4127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>
                    <a:solidFill>
                      <a:schemeClr val="tx1"/>
                    </a:solidFill>
                  </a:rPr>
                  <a:t>Calculated</a:t>
                </a:r>
              </a:p>
            </c:rich>
          </c:tx>
          <c:layout>
            <c:manualLayout>
              <c:xMode val="edge"/>
              <c:yMode val="edge"/>
              <c:x val="3.875968992248062E-2"/>
              <c:y val="0.210174237178007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803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/>
                </a:solidFill>
              </a:rPr>
              <a:t>c)</a:t>
            </a:r>
          </a:p>
        </c:rich>
      </c:tx>
      <c:layout>
        <c:manualLayout>
          <c:xMode val="edge"/>
          <c:yMode val="edge"/>
          <c:x val="3.730062588330306E-2"/>
          <c:y val="3.9548022598870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365691554667933"/>
          <c:y val="6.9491970283375601E-2"/>
          <c:w val="0.69137787090543001"/>
          <c:h val="0.606797455402820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'Model vs data'!$G$28</c:f>
              <c:strCache>
                <c:ptCount val="1"/>
                <c:pt idx="0">
                  <c:v>Calculated 
Mn/Fe ratio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1176491452082002"/>
                  <c:y val="2.20903954802259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'Model vs data'!$F$29:$F$38</c:f>
              <c:numCache>
                <c:formatCode>0.00</c:formatCode>
                <c:ptCount val="10"/>
                <c:pt idx="0">
                  <c:v>3.299280575539568</c:v>
                </c:pt>
                <c:pt idx="1">
                  <c:v>3.2501742160278746</c:v>
                </c:pt>
                <c:pt idx="2">
                  <c:v>3.7155240346729701</c:v>
                </c:pt>
                <c:pt idx="3">
                  <c:v>3.0566161948650428</c:v>
                </c:pt>
                <c:pt idx="4">
                  <c:v>3.5282442748091603</c:v>
                </c:pt>
                <c:pt idx="5">
                  <c:v>3.2378673957621324</c:v>
                </c:pt>
                <c:pt idx="6">
                  <c:v>3.1485832757429164</c:v>
                </c:pt>
                <c:pt idx="7">
                  <c:v>3.1523358158429251</c:v>
                </c:pt>
                <c:pt idx="8">
                  <c:v>3.5133333333333332</c:v>
                </c:pt>
                <c:pt idx="9">
                  <c:v>3.6090909090909089</c:v>
                </c:pt>
              </c:numCache>
            </c:numRef>
          </c:xVal>
          <c:yVal>
            <c:numRef>
              <c:f>'Model vs data'!$G$29:$G$38</c:f>
              <c:numCache>
                <c:formatCode>0.00</c:formatCode>
                <c:ptCount val="10"/>
                <c:pt idx="0">
                  <c:v>3.257463</c:v>
                </c:pt>
                <c:pt idx="1">
                  <c:v>3.2826949999999999</c:v>
                </c:pt>
                <c:pt idx="2">
                  <c:v>3.6193610000000001</c:v>
                </c:pt>
                <c:pt idx="3">
                  <c:v>3.0347930000000001</c:v>
                </c:pt>
                <c:pt idx="4">
                  <c:v>3.6126311393059201</c:v>
                </c:pt>
                <c:pt idx="5">
                  <c:v>3.217120860848504</c:v>
                </c:pt>
                <c:pt idx="6">
                  <c:v>3.1419763278964998</c:v>
                </c:pt>
                <c:pt idx="7">
                  <c:v>3.2225836725033759</c:v>
                </c:pt>
                <c:pt idx="8">
                  <c:v>3.5612119999999998</c:v>
                </c:pt>
                <c:pt idx="9">
                  <c:v>3.5612119999999998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5-4D95-B92B-7A16D9DBE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023119"/>
        <c:axId val="63121615"/>
      </c:scatterChart>
      <c:valAx>
        <c:axId val="349023119"/>
        <c:scaling>
          <c:orientation val="minMax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>
                    <a:solidFill>
                      <a:schemeClr val="tx1"/>
                    </a:solidFill>
                  </a:rPr>
                  <a:t>Experimental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21615"/>
        <c:crosses val="autoZero"/>
        <c:crossBetween val="midCat"/>
      </c:valAx>
      <c:valAx>
        <c:axId val="63121615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>
                    <a:solidFill>
                      <a:schemeClr val="tx1"/>
                    </a:solidFill>
                  </a:rPr>
                  <a:t>Calculated</a:t>
                </a:r>
              </a:p>
            </c:rich>
          </c:tx>
          <c:layout>
            <c:manualLayout>
              <c:xMode val="edge"/>
              <c:yMode val="edge"/>
              <c:x val="3.4650034650034647E-2"/>
              <c:y val="0.1870852795942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023119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'CO-CO2 Test work calculations'!$R$26:$R$28</c:f>
              <c:numCache>
                <c:formatCode>General</c:formatCode>
                <c:ptCount val="3"/>
                <c:pt idx="0">
                  <c:v>14.443506493506494</c:v>
                </c:pt>
                <c:pt idx="1">
                  <c:v>13.897136612021857</c:v>
                </c:pt>
                <c:pt idx="2">
                  <c:v>22.5</c:v>
                </c:pt>
              </c:numCache>
            </c:numRef>
          </c:xVal>
          <c:yVal>
            <c:numRef>
              <c:f>'CO-CO2 Test work calculations'!$S$26:$S$28</c:f>
              <c:numCache>
                <c:formatCode>General</c:formatCode>
                <c:ptCount val="3"/>
                <c:pt idx="0">
                  <c:v>4.5373229043683585</c:v>
                </c:pt>
                <c:pt idx="1">
                  <c:v>5.5573025335320416</c:v>
                </c:pt>
                <c:pt idx="2">
                  <c:v>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DF-4306-B1D2-3AD38F2DC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272240"/>
        <c:axId val="792269328"/>
      </c:scatterChart>
      <c:valAx>
        <c:axId val="7922722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269328"/>
        <c:crosses val="autoZero"/>
        <c:crossBetween val="midCat"/>
      </c:valAx>
      <c:valAx>
        <c:axId val="79226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27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'CO-CO2 Test work calculations'!$S$37</c:f>
              <c:strCache>
                <c:ptCount val="1"/>
                <c:pt idx="0">
                  <c:v>Mn/Fe in non-mag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'CO-CO2 Test work calculations'!$O$38:$O$42</c:f>
              <c:numCache>
                <c:formatCode>General</c:formatCode>
                <c:ptCount val="5"/>
                <c:pt idx="0">
                  <c:v>858.58</c:v>
                </c:pt>
                <c:pt idx="1">
                  <c:v>900</c:v>
                </c:pt>
                <c:pt idx="2">
                  <c:v>1000</c:v>
                </c:pt>
                <c:pt idx="3">
                  <c:v>1100</c:v>
                </c:pt>
                <c:pt idx="4">
                  <c:v>1141.42</c:v>
                </c:pt>
              </c:numCache>
            </c:numRef>
          </c:xVal>
          <c:yVal>
            <c:numRef>
              <c:f>'CO-CO2 Test work calculations'!$S$38:$S$42</c:f>
              <c:numCache>
                <c:formatCode>0.00</c:formatCode>
                <c:ptCount val="5"/>
                <c:pt idx="0">
                  <c:v>3.5282442748091603</c:v>
                </c:pt>
                <c:pt idx="1">
                  <c:v>3.507402305106269</c:v>
                </c:pt>
                <c:pt idx="2">
                  <c:v>3.5133333333333332</c:v>
                </c:pt>
                <c:pt idx="3">
                  <c:v>3.1533952054464587</c:v>
                </c:pt>
                <c:pt idx="4">
                  <c:v>3.2378673957621324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42-4385-9E19-4BBA0D08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54639"/>
        <c:axId val="376056303"/>
      </c:scatterChart>
      <c:valAx>
        <c:axId val="376054639"/>
        <c:scaling>
          <c:orientation val="minMax"/>
          <c:min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Temperature</a:t>
                </a:r>
                <a:r>
                  <a:rPr lang="en-ZA" sz="1600" baseline="0"/>
                  <a:t> (K)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56303"/>
        <c:crosses val="autoZero"/>
        <c:crossBetween val="midCat"/>
      </c:valAx>
      <c:valAx>
        <c:axId val="37605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Mn/Fe</a:t>
                </a:r>
                <a:r>
                  <a:rPr lang="en-ZA" sz="1600" baseline="0"/>
                  <a:t> ratio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5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'CO-CO2 Test work calculations'!$T$37</c:f>
              <c:strCache>
                <c:ptCount val="1"/>
                <c:pt idx="0">
                  <c:v>% Fe removed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'CO-CO2 Test work calculations'!$O$38:$O$42</c:f>
              <c:numCache>
                <c:formatCode>General</c:formatCode>
                <c:ptCount val="5"/>
                <c:pt idx="0">
                  <c:v>858.58</c:v>
                </c:pt>
                <c:pt idx="1">
                  <c:v>900</c:v>
                </c:pt>
                <c:pt idx="2">
                  <c:v>1000</c:v>
                </c:pt>
                <c:pt idx="3">
                  <c:v>1100</c:v>
                </c:pt>
                <c:pt idx="4">
                  <c:v>1141.42</c:v>
                </c:pt>
              </c:numCache>
            </c:numRef>
          </c:xVal>
          <c:yVal>
            <c:numRef>
              <c:f>'CO-CO2 Test work calculations'!$T$38:$T$42</c:f>
              <c:numCache>
                <c:formatCode>0.00</c:formatCode>
                <c:ptCount val="5"/>
                <c:pt idx="0">
                  <c:v>27.656727272727277</c:v>
                </c:pt>
                <c:pt idx="1">
                  <c:v>27.16711953551912</c:v>
                </c:pt>
                <c:pt idx="2">
                  <c:v>22.984931506849314</c:v>
                </c:pt>
                <c:pt idx="3">
                  <c:v>9.8953696099863766</c:v>
                </c:pt>
                <c:pt idx="4">
                  <c:v>18.034415011037531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B3-4304-8664-8A5E2C5BE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638639"/>
        <c:axId val="587641551"/>
      </c:scatterChart>
      <c:valAx>
        <c:axId val="587638639"/>
        <c:scaling>
          <c:orientation val="minMax"/>
          <c:min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Temperature</a:t>
                </a:r>
                <a:r>
                  <a:rPr lang="en-ZA" sz="1600" baseline="0"/>
                  <a:t> (K)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641551"/>
        <c:crosses val="autoZero"/>
        <c:crossBetween val="midCat"/>
      </c:valAx>
      <c:valAx>
        <c:axId val="5876415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aseline="0"/>
                  <a:t> Fe Removed (%)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638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'CO-CO2 Test work calculations'!$U$37</c:f>
              <c:strCache>
                <c:ptCount val="1"/>
                <c:pt idx="0">
                  <c:v>% Mn lost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'CO-CO2 Test work calculations'!$O$38:$O$42</c:f>
              <c:numCache>
                <c:formatCode>General</c:formatCode>
                <c:ptCount val="5"/>
                <c:pt idx="0">
                  <c:v>858.58</c:v>
                </c:pt>
                <c:pt idx="1">
                  <c:v>900</c:v>
                </c:pt>
                <c:pt idx="2">
                  <c:v>1000</c:v>
                </c:pt>
                <c:pt idx="3">
                  <c:v>1100</c:v>
                </c:pt>
                <c:pt idx="4">
                  <c:v>1141.42</c:v>
                </c:pt>
              </c:numCache>
            </c:numRef>
          </c:xVal>
          <c:yVal>
            <c:numRef>
              <c:f>'CO-CO2 Test work calculations'!$U$38:$U$42</c:f>
              <c:numCache>
                <c:formatCode>0.00</c:formatCode>
                <c:ptCount val="5"/>
                <c:pt idx="0">
                  <c:v>9.6664462809917353</c:v>
                </c:pt>
                <c:pt idx="1">
                  <c:v>9.2623724501676605</c:v>
                </c:pt>
                <c:pt idx="2">
                  <c:v>8.9392901618929024</c:v>
                </c:pt>
                <c:pt idx="3">
                  <c:v>5.0743012567937713</c:v>
                </c:pt>
                <c:pt idx="4">
                  <c:v>9.4009933774834433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42-4CD5-9C8D-D00533B0B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608895"/>
        <c:axId val="592598079"/>
      </c:scatterChart>
      <c:valAx>
        <c:axId val="592608895"/>
        <c:scaling>
          <c:orientation val="minMax"/>
          <c:min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Temperature</a:t>
                </a:r>
                <a:r>
                  <a:rPr lang="en-ZA" sz="1600" baseline="0"/>
                  <a:t> (K)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98079"/>
        <c:crosses val="autoZero"/>
        <c:crossBetween val="midCat"/>
      </c:valAx>
      <c:valAx>
        <c:axId val="592598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aseline="0"/>
                  <a:t>Mn Lost (%)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608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'CO-CO2 Test work calculations'!$K$50</c:f>
              <c:strCache>
                <c:ptCount val="1"/>
                <c:pt idx="0">
                  <c:v>Mn/Fe in non-mag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'CO-CO2 Test work calculations'!$H$51:$H$55</c:f>
              <c:numCache>
                <c:formatCode>General</c:formatCode>
                <c:ptCount val="5"/>
                <c:pt idx="0">
                  <c:v>5.86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34.14</c:v>
                </c:pt>
              </c:numCache>
            </c:numRef>
          </c:xVal>
          <c:yVal>
            <c:numRef>
              <c:f>'CO-CO2 Test work calculations'!$K$51:$K$55</c:f>
              <c:numCache>
                <c:formatCode>0.00</c:formatCode>
                <c:ptCount val="5"/>
                <c:pt idx="0" formatCode="General">
                  <c:v>3.1485832757429164</c:v>
                </c:pt>
                <c:pt idx="1">
                  <c:v>3.2747273957837213</c:v>
                </c:pt>
                <c:pt idx="2" formatCode="General">
                  <c:v>3.5133333333333332</c:v>
                </c:pt>
                <c:pt idx="3">
                  <c:v>3.3860701147690064</c:v>
                </c:pt>
                <c:pt idx="4" formatCode="General">
                  <c:v>3.1523358158429251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84-4021-9C88-11E6716DD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791967"/>
        <c:axId val="556789471"/>
      </c:scatterChart>
      <c:valAx>
        <c:axId val="5567919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Vol</a:t>
                </a:r>
                <a:r>
                  <a:rPr lang="en-ZA" sz="1600" baseline="0"/>
                  <a:t> % CO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89471"/>
        <c:crosses val="autoZero"/>
        <c:crossBetween val="midCat"/>
      </c:valAx>
      <c:valAx>
        <c:axId val="556789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Mn/Fe</a:t>
                </a:r>
                <a:r>
                  <a:rPr lang="en-ZA" sz="1600" baseline="0"/>
                  <a:t> Ratio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919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'CO-CO2 Test work calculations'!$L$50</c:f>
              <c:strCache>
                <c:ptCount val="1"/>
                <c:pt idx="0">
                  <c:v>% Fe removed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'CO-CO2 Test work calculations'!$H$51:$H$55</c:f>
              <c:numCache>
                <c:formatCode>General</c:formatCode>
                <c:ptCount val="5"/>
                <c:pt idx="0">
                  <c:v>5.86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34.14</c:v>
                </c:pt>
              </c:numCache>
            </c:numRef>
          </c:xVal>
          <c:yVal>
            <c:numRef>
              <c:f>'CO-CO2 Test work calculations'!$L$51:$L$55</c:f>
              <c:numCache>
                <c:formatCode>0.00</c:formatCode>
                <c:ptCount val="5"/>
                <c:pt idx="0" formatCode="General">
                  <c:v>14.157192982456143</c:v>
                </c:pt>
                <c:pt idx="1">
                  <c:v>18.979289021164021</c:v>
                </c:pt>
                <c:pt idx="2" formatCode="General">
                  <c:v>22.984931506849314</c:v>
                </c:pt>
                <c:pt idx="3">
                  <c:v>18.083200124341477</c:v>
                </c:pt>
                <c:pt idx="4" formatCode="General">
                  <c:v>2.3511400651465801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7A-4A20-B67E-13605140E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668863"/>
        <c:axId val="647675935"/>
      </c:scatterChart>
      <c:valAx>
        <c:axId val="6476688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Vol</a:t>
                </a:r>
                <a:r>
                  <a:rPr lang="en-ZA" sz="1600" baseline="0"/>
                  <a:t> % CO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7675935"/>
        <c:crosses val="autoZero"/>
        <c:crossBetween val="midCat"/>
      </c:valAx>
      <c:valAx>
        <c:axId val="647675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%</a:t>
                </a:r>
                <a:r>
                  <a:rPr lang="en-ZA" sz="1600" baseline="0"/>
                  <a:t> Fe Removed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7668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'CO-CO2 Test work calculations'!$M$50</c:f>
              <c:strCache>
                <c:ptCount val="1"/>
                <c:pt idx="0">
                  <c:v>% Mn lost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'CO-CO2 Test work calculations'!$H$51:$H$55</c:f>
              <c:numCache>
                <c:formatCode>General</c:formatCode>
                <c:ptCount val="5"/>
                <c:pt idx="0">
                  <c:v>5.86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34.14</c:v>
                </c:pt>
              </c:numCache>
            </c:numRef>
          </c:xVal>
          <c:yVal>
            <c:numRef>
              <c:f>'CO-CO2 Test work calculations'!$M$51:$M$55</c:f>
              <c:numCache>
                <c:formatCode>0.00</c:formatCode>
                <c:ptCount val="5"/>
                <c:pt idx="0" formatCode="General">
                  <c:v>7.5646232057416274</c:v>
                </c:pt>
                <c:pt idx="1">
                  <c:v>8.5480336286976915</c:v>
                </c:pt>
                <c:pt idx="2" formatCode="General">
                  <c:v>8.9392901618929024</c:v>
                </c:pt>
                <c:pt idx="3">
                  <c:v>5.7886400782637413</c:v>
                </c:pt>
                <c:pt idx="4" formatCode="General">
                  <c:v>0.59053893988747419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2C-4F22-B317-541BF07D5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49407"/>
        <c:axId val="456753151"/>
      </c:scatterChart>
      <c:valAx>
        <c:axId val="456749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/>
                  <a:t>Vol</a:t>
                </a:r>
                <a:r>
                  <a:rPr lang="en-ZA" sz="1400" baseline="0"/>
                  <a:t> % CO</a:t>
                </a:r>
                <a:endParaRPr lang="en-ZA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53151"/>
        <c:crosses val="autoZero"/>
        <c:crossBetween val="midCat"/>
      </c:valAx>
      <c:valAx>
        <c:axId val="456753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%</a:t>
                </a:r>
                <a:r>
                  <a:rPr lang="en-ZA" sz="1600" baseline="0"/>
                  <a:t> Mn Lost</a:t>
                </a:r>
                <a:endParaRPr lang="en-ZA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49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ZA" sz="1800">
                <a:solidFill>
                  <a:schemeClr val="tx1"/>
                </a:solidFill>
              </a:rPr>
              <a:t>Reproducibility</a:t>
            </a:r>
            <a:r>
              <a:rPr lang="en-ZA" sz="1800" baseline="0">
                <a:solidFill>
                  <a:schemeClr val="tx1"/>
                </a:solidFill>
              </a:rPr>
              <a:t> of optimization study</a:t>
            </a:r>
            <a:endParaRPr lang="en-ZA" sz="1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Mn/Fe ratio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'CO-CO2 Test work calculations'!$V$20:$V$22</c:f>
              <c:strCache>
                <c:ptCount val="3"/>
                <c:pt idx="0">
                  <c:v>Centre point 1</c:v>
                </c:pt>
                <c:pt idx="1">
                  <c:v>Centre point 2</c:v>
                </c:pt>
                <c:pt idx="2">
                  <c:v>Centre point 3</c:v>
                </c:pt>
              </c:strCache>
            </c:strRef>
          </c:cat>
          <c:val>
            <c:numRef>
              <c:f>'CO-CO2 Test work calculations'!$Z$20:$Z$22</c:f>
              <c:numCache>
                <c:formatCode>General</c:formatCode>
                <c:ptCount val="3"/>
                <c:pt idx="0">
                  <c:v>3.58</c:v>
                </c:pt>
                <c:pt idx="1">
                  <c:v>3.51</c:v>
                </c:pt>
                <c:pt idx="2">
                  <c:v>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06-43DF-BBA3-32B61EB3523F}"/>
            </c:ext>
          </c:extLst>
        </c:ser>
        <c:ser>
          <c:idx val="2"/>
          <c:order val="1"/>
          <c:tx>
            <c:v>%Mn Lost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val>
            <c:numRef>
              <c:f>'CO-CO2 Test work calculations'!$AB$20:$AB$22</c:f>
              <c:numCache>
                <c:formatCode>General</c:formatCode>
                <c:ptCount val="3"/>
                <c:pt idx="0">
                  <c:v>8.94</c:v>
                </c:pt>
                <c:pt idx="1">
                  <c:v>8.94</c:v>
                </c:pt>
                <c:pt idx="2">
                  <c:v>8.7100000000000009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06-43DF-BBA3-32B61EB3523F}"/>
            </c:ext>
          </c:extLst>
        </c:ser>
        <c:ser>
          <c:idx val="1"/>
          <c:order val="2"/>
          <c:tx>
            <c:v>%Fe Removed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val>
            <c:numRef>
              <c:f>'CO-CO2 Test work calculations'!$AA$20:$AA$22</c:f>
              <c:numCache>
                <c:formatCode>General</c:formatCode>
                <c:ptCount val="3"/>
                <c:pt idx="0">
                  <c:v>22.5</c:v>
                </c:pt>
                <c:pt idx="1">
                  <c:v>22.98</c:v>
                </c:pt>
                <c:pt idx="2">
                  <c:v>22.43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4C-4876-A1CC-75E0722E1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107567"/>
        <c:axId val="1805116303"/>
      </c:lineChart>
      <c:catAx>
        <c:axId val="1805107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116303"/>
        <c:crosses val="autoZero"/>
        <c:auto val="1"/>
        <c:lblAlgn val="ctr"/>
        <c:lblOffset val="100"/>
        <c:noMultiLvlLbl val="0"/>
      </c:catAx>
      <c:valAx>
        <c:axId val="180511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>
                    <a:solidFill>
                      <a:schemeClr val="tx1"/>
                    </a:solidFill>
                  </a:rPr>
                  <a:t>Value</a:t>
                </a:r>
                <a:r>
                  <a:rPr lang="en-ZA" sz="1600" baseline="0">
                    <a:solidFill>
                      <a:schemeClr val="tx1"/>
                    </a:solidFill>
                  </a:rPr>
                  <a:t> of review metric</a:t>
                </a:r>
                <a:endParaRPr lang="en-ZA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3.0603562719121073E-2"/>
              <c:y val="0.109973182258071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107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</xdr:colOff>
      <xdr:row>17</xdr:row>
      <xdr:rowOff>10477</xdr:rowOff>
    </xdr:from>
    <xdr:to>
      <xdr:col>13</xdr:col>
      <xdr:colOff>483870</xdr:colOff>
      <xdr:row>32</xdr:row>
      <xdr:rowOff>12382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1A7BD1-C5DA-FDF2-FE75-4C8850E592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743902</xdr:colOff>
      <xdr:row>16</xdr:row>
      <xdr:rowOff>79057</xdr:rowOff>
    </xdr:from>
    <xdr:to>
      <xdr:col>16</xdr:col>
      <xdr:colOff>745807</xdr:colOff>
      <xdr:row>31</xdr:row>
      <xdr:rowOff>77152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FBCE38C-F95B-A0CE-6D16-43F0E38610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99060</xdr:colOff>
      <xdr:row>42</xdr:row>
      <xdr:rowOff>106680</xdr:rowOff>
    </xdr:from>
    <xdr:to>
      <xdr:col>16</xdr:col>
      <xdr:colOff>1554480</xdr:colOff>
      <xdr:row>59</xdr:row>
      <xdr:rowOff>106680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2011745-8422-2C8B-57C5-704AD7F7D6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1676400</xdr:colOff>
      <xdr:row>42</xdr:row>
      <xdr:rowOff>45720</xdr:rowOff>
    </xdr:from>
    <xdr:to>
      <xdr:col>19</xdr:col>
      <xdr:colOff>830580</xdr:colOff>
      <xdr:row>59</xdr:row>
      <xdr:rowOff>45720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5E4ADDF-C4CB-160E-413C-28C26BBDE2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922020</xdr:colOff>
      <xdr:row>42</xdr:row>
      <xdr:rowOff>160020</xdr:rowOff>
    </xdr:from>
    <xdr:to>
      <xdr:col>22</xdr:col>
      <xdr:colOff>807720</xdr:colOff>
      <xdr:row>59</xdr:row>
      <xdr:rowOff>160020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321112A-0D1E-2D84-E422-EEB40B494B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502920</xdr:colOff>
      <xdr:row>57</xdr:row>
      <xdr:rowOff>114300</xdr:rowOff>
    </xdr:from>
    <xdr:to>
      <xdr:col>8</xdr:col>
      <xdr:colOff>7620</xdr:colOff>
      <xdr:row>72</xdr:row>
      <xdr:rowOff>114300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FFC2772-80E5-7482-ECBB-BF7D91F2C3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38100</xdr:colOff>
      <xdr:row>58</xdr:row>
      <xdr:rowOff>137160</xdr:rowOff>
    </xdr:from>
    <xdr:to>
      <xdr:col>11</xdr:col>
      <xdr:colOff>426720</xdr:colOff>
      <xdr:row>73</xdr:row>
      <xdr:rowOff>137160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01D9B8C-B9FF-6155-56D3-13C34EAC7D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510540</xdr:colOff>
      <xdr:row>57</xdr:row>
      <xdr:rowOff>152400</xdr:rowOff>
    </xdr:from>
    <xdr:to>
      <xdr:col>14</xdr:col>
      <xdr:colOff>739140</xdr:colOff>
      <xdr:row>72</xdr:row>
      <xdr:rowOff>152400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E095413-6442-F28E-13D1-C704D2D8F3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1310640</xdr:colOff>
      <xdr:row>22</xdr:row>
      <xdr:rowOff>129540</xdr:rowOff>
    </xdr:from>
    <xdr:to>
      <xdr:col>25</xdr:col>
      <xdr:colOff>1706880</xdr:colOff>
      <xdr:row>37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C27603-9309-3F07-86F7-AB456C3297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304800</xdr:colOff>
      <xdr:row>4</xdr:row>
      <xdr:rowOff>121920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CB72737B-6F94-B0C9-6768-ED86ABD6E831}"/>
            </a:ext>
          </a:extLst>
        </xdr:cNvPr>
        <xdr:cNvSpPr>
          <a:spLocks noChangeAspect="1" noChangeArrowheads="1"/>
        </xdr:cNvSpPr>
      </xdr:nvSpPr>
      <xdr:spPr bwMode="auto">
        <a:xfrm>
          <a:off x="1828800" y="5486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</xdr:row>
      <xdr:rowOff>0</xdr:rowOff>
    </xdr:from>
    <xdr:to>
      <xdr:col>6</xdr:col>
      <xdr:colOff>304800</xdr:colOff>
      <xdr:row>7</xdr:row>
      <xdr:rowOff>121920</xdr:rowOff>
    </xdr:to>
    <xdr:sp macro="" textlink="">
      <xdr:nvSpPr>
        <xdr:cNvPr id="2050" name="AutoShape 2">
          <a:extLst>
            <a:ext uri="{FF2B5EF4-FFF2-40B4-BE49-F238E27FC236}">
              <a16:creationId xmlns:a16="http://schemas.microsoft.com/office/drawing/2014/main" id="{2C926773-8829-D589-0EF9-13F7A439A888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0972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304800</xdr:colOff>
      <xdr:row>6</xdr:row>
      <xdr:rowOff>121920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2A6F6878-46BA-B0FF-9E54-5A4DD1F3E954}"/>
            </a:ext>
          </a:extLst>
        </xdr:cNvPr>
        <xdr:cNvSpPr>
          <a:spLocks noChangeAspect="1" noChangeArrowheads="1"/>
        </xdr:cNvSpPr>
      </xdr:nvSpPr>
      <xdr:spPr bwMode="auto">
        <a:xfrm>
          <a:off x="6705600" y="914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304800</xdr:colOff>
      <xdr:row>5</xdr:row>
      <xdr:rowOff>121920</xdr:rowOff>
    </xdr:to>
    <xdr:sp macro="" textlink="">
      <xdr:nvSpPr>
        <xdr:cNvPr id="2053" name="AutoShape 5">
          <a:extLst>
            <a:ext uri="{FF2B5EF4-FFF2-40B4-BE49-F238E27FC236}">
              <a16:creationId xmlns:a16="http://schemas.microsoft.com/office/drawing/2014/main" id="{7CE144E8-FD96-474C-EDAB-9818BD1084B1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315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14</xdr:col>
      <xdr:colOff>332509</xdr:colOff>
      <xdr:row>0</xdr:row>
      <xdr:rowOff>55418</xdr:rowOff>
    </xdr:from>
    <xdr:to>
      <xdr:col>30</xdr:col>
      <xdr:colOff>226528</xdr:colOff>
      <xdr:row>35</xdr:row>
      <xdr:rowOff>92714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5A1002-0900-6AD6-5130-3FCD40C7D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66909" y="55418"/>
          <a:ext cx="9647619" cy="63411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</xdr:row>
      <xdr:rowOff>129540</xdr:rowOff>
    </xdr:from>
    <xdr:to>
      <xdr:col>14</xdr:col>
      <xdr:colOff>434340</xdr:colOff>
      <xdr:row>14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85BFE5-8E86-CBD8-E1BF-9B642BC395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495300</xdr:colOff>
      <xdr:row>14</xdr:row>
      <xdr:rowOff>76200</xdr:rowOff>
    </xdr:from>
    <xdr:to>
      <xdr:col>14</xdr:col>
      <xdr:colOff>441960</xdr:colOff>
      <xdr:row>25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B245EF-44E9-AAAF-5353-993A5C470F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495300</xdr:colOff>
      <xdr:row>25</xdr:row>
      <xdr:rowOff>76200</xdr:rowOff>
    </xdr:from>
    <xdr:to>
      <xdr:col>14</xdr:col>
      <xdr:colOff>449580</xdr:colOff>
      <xdr:row>36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CFF2471-DD73-64F8-20E7-BD8CFD66B8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1" totalsRowShown="0">
  <autoFilter ref="A1:E11" xr:uid="{00000000-0009-0000-0100-000001000000}"/>
  <tableColumns count="5">
    <tableColumn id="1" xr3:uid="{00000000-0010-0000-0000-000001000000}" name="std.order"/>
    <tableColumn id="2" xr3:uid="{00000000-0010-0000-0000-000002000000}" name="x1" dataDxfId="36"/>
    <tableColumn id="3" xr3:uid="{00000000-0010-0000-0000-000003000000}" name="x2" dataDxfId="35"/>
    <tableColumn id="4" xr3:uid="{00000000-0010-0000-0000-000004000000}" name="T (K)" dataDxfId="34"/>
    <tableColumn id="5" xr3:uid="{00000000-0010-0000-0000-000005000000}" name="Reductant" dataDxfId="3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254F2EE-5DDB-49EF-A315-16FDF38B9675}" name="Table9" displayName="Table9" ref="A3:E9" totalsRowShown="0">
  <autoFilter ref="A3:E9" xr:uid="{7254F2EE-5DDB-49EF-A315-16FDF38B9675}"/>
  <tableColumns count="5">
    <tableColumn id="1" xr3:uid="{D8867784-2E6D-4E15-B658-16B4863ED6D1}" name="Column1"/>
    <tableColumn id="2" xr3:uid="{92159BFC-9BDB-4CD1-94EC-52C9D2FF9810}" name="Estimate"/>
    <tableColumn id="3" xr3:uid="{6B165188-9380-4947-80F2-1210D66A420E}" name="Std. Error"/>
    <tableColumn id="4" xr3:uid="{AE52E508-34BA-413A-AA51-D902A7D74E10}" name="t value"/>
    <tableColumn id="5" xr3:uid="{0F35F8DD-D5AA-4C72-9752-0AC970250648}" name="Pr(&gt;|t|)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3256E7C-B8EB-4976-8D6B-3BA99FFF1163}" name="Table5" displayName="Table5" ref="A1:H11" totalsRowShown="0" tableBorderDxfId="4">
  <autoFilter ref="A1:H11" xr:uid="{E3256E7C-B8EB-4976-8D6B-3BA99FFF1163}"/>
  <tableColumns count="8">
    <tableColumn id="1" xr3:uid="{80492F46-16B0-45A5-B912-EEA9F43BF013}" name="std.order" dataDxfId="3"/>
    <tableColumn id="2" xr3:uid="{3505E029-D0C3-446E-9B23-F232935D2094}" name="x1"/>
    <tableColumn id="3" xr3:uid="{E7804528-6DDB-4E51-B84B-32F762EC14A9}" name="x2"/>
    <tableColumn id="4" xr3:uid="{5345A0BB-D90B-4B50-B416-73F2A739292C}" name="T (K)"/>
    <tableColumn id="5" xr3:uid="{9B561FE9-57A3-43B5-A49A-B395AA168111}" name="Reductant"/>
    <tableColumn id="6" xr3:uid="{4860A87D-274D-4FA8-84E7-B63405566D6E}" name="Experimental_x000a_Mn lost" dataDxfId="2"/>
    <tableColumn id="7" xr3:uid="{F2A454BE-0AA5-4895-8E3F-88DAD89A88D0}" name="Calculated _x000a_Mn Lost" dataDxfId="1">
      <calculatedColumnFormula>8.82321 - 1.09394*B2 - 1.9227*C2 - 2.91294*B2*C2 + 0.44592*B2^2 - 2.28215*C2^2</calculatedColumnFormula>
    </tableColumn>
    <tableColumn id="8" xr3:uid="{3B36268B-9935-40CC-826E-D26404B20C30}" name="%Difference" dataDxfId="0">
      <calculatedColumnFormula>((G2-F2)/F2)*100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G1:K14" totalsRowShown="0" dataDxfId="32">
  <autoFilter ref="G1:K14" xr:uid="{00000000-0009-0000-0100-000002000000}"/>
  <tableColumns count="5">
    <tableColumn id="1" xr3:uid="{00000000-0010-0000-0100-000001000000}" name="Mn Recovery to non-mag" dataDxfId="31">
      <calculatedColumnFormula>((Table3[[#This Row],[Mass of non-magnetics (g)]]*Table3[[#This Row],[Mn in non-mag (wt frac)]])/(Table3[[#This Row],[Mass of mag sep feed (g)]]*Table3[[#This Row],[Mn in feed to mag sep (wt frac)]])) * 100</calculatedColumnFormula>
    </tableColumn>
    <tableColumn id="2" xr3:uid="{00000000-0010-0000-0100-000002000000}" name="TMn in non-mag" dataDxfId="30">
      <calculatedColumnFormula>Table3[[#This Row],[Mn in non-mag (wt frac)]]*100</calculatedColumnFormula>
    </tableColumn>
    <tableColumn id="3" xr3:uid="{00000000-0010-0000-0100-000003000000}" name="Mn/Fe in non-mag" dataDxfId="29">
      <calculatedColumnFormula>Table3[[#This Row],[Mn in non-mag (wt frac)]]/Table3[[#This Row],[Fe in non-mag (wt frac)]]</calculatedColumnFormula>
    </tableColumn>
    <tableColumn id="4" xr3:uid="{00000000-0010-0000-0100-000004000000}" name="Enrichment Ratio" dataDxfId="28">
      <calculatedColumnFormula>Table3[[#This Row],[Mn in non-mag (wt frac)]]/0.4403</calculatedColumnFormula>
    </tableColumn>
    <tableColumn id="5" xr3:uid="{00000000-0010-0000-0100-000005000000}" name="Separation efficiency" dataDxfId="27">
      <calculatedColumnFormula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N1:R14" totalsRowShown="0" dataDxfId="26">
  <autoFilter ref="N1:R14" xr:uid="{00000000-0009-0000-0100-000003000000}"/>
  <tableColumns count="5">
    <tableColumn id="1" xr3:uid="{00000000-0010-0000-0200-000001000000}" name="Mass of mag sep feed (g)" dataDxfId="25">
      <calculatedColumnFormula>(U2*S2 + Q2*O2)/0.4403</calculatedColumnFormula>
    </tableColumn>
    <tableColumn id="2" xr3:uid="{00000000-0010-0000-0200-000002000000}" name="Mass of non-magnetics (g)" dataDxfId="24"/>
    <tableColumn id="3" xr3:uid="{00000000-0010-0000-0200-000003000000}" name="Mn in feed to mag sep (wt frac)" dataDxfId="23">
      <calculatedColumnFormula>((Table3[[#This Row],[Mn in non-mag (wt frac)]]*Table3[[#This Row],[Mass of non-magnetics (g)]])+ Table7[[#This Row],[Mn in mags]]*Table6[[#This Row],[Mass of mag stream]])/Table3[[#This Row],[Mass of mag sep feed (g)]]</calculatedColumnFormula>
    </tableColumn>
    <tableColumn id="4" xr3:uid="{00000000-0010-0000-0200-000004000000}" name="Mn in non-mag (wt frac)" dataDxfId="22"/>
    <tableColumn id="5" xr3:uid="{00000000-0010-0000-0200-000005000000}" name="Fe in non-mag (wt frac)" dataDxfId="21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6" displayName="Table6" ref="S1:T14" totalsRowShown="0" dataDxfId="20">
  <autoFilter ref="S1:T14" xr:uid="{00000000-0009-0000-0100-000006000000}"/>
  <tableColumns count="2">
    <tableColumn id="1" xr3:uid="{00000000-0010-0000-0400-000001000000}" name="Mass of mag stream" dataDxfId="19"/>
    <tableColumn id="2" xr3:uid="{00000000-0010-0000-0400-000002000000}" name="Fe in mag stream" dataDxfId="18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7" displayName="Table7" ref="U1:U14" totalsRowShown="0" dataDxfId="17">
  <autoFilter ref="U1:U14" xr:uid="{00000000-0009-0000-0100-000007000000}"/>
  <tableColumns count="1">
    <tableColumn id="2" xr3:uid="{36F3B255-B6EF-4C75-B06B-5E50E250D631}" name="Mn in mags" dataDxfId="1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03C9465-B04A-4DB1-991E-888AA2B8CDE6}" name="Table4" displayName="Table4" ref="L1:M11" totalsRowShown="0" dataDxfId="15">
  <autoFilter ref="L1:M11" xr:uid="{E03C9465-B04A-4DB1-991E-888AA2B8CDE6}"/>
  <tableColumns count="2">
    <tableColumn id="1" xr3:uid="{282D2E8D-8B04-4AAF-B8BF-6DA5354265A1}" name="Initial Mass" dataDxfId="14"/>
    <tableColumn id="2" xr3:uid="{29BDEAD3-005E-4CD9-9DDD-0772C5066C85}" name="Mass after reduction" dataDxfId="13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E102451-FB37-411D-8056-714310CD22C3}" name="Table8" displayName="Table8" ref="F1:F14" totalsRowShown="0" dataDxfId="12">
  <autoFilter ref="F1:F14" xr:uid="{2E102451-FB37-411D-8056-714310CD22C3}"/>
  <tableColumns count="1">
    <tableColumn id="1" xr3:uid="{DA9B0215-EB95-4C79-BA75-4739363B3918}" name="Mass loss %" dataDxfId="11">
      <calculatedColumnFormula>((Table4[[#This Row],[Initial Mass]]-Table4[[#This Row],[Mass after reduction]])/(Table4[[#This Row],[Initial Mass]]))*100</calculatedColumnFormula>
    </tableColumn>
  </tableColumns>
  <tableStyleInfo name="TableStyleMedium3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EAACA95-B01C-4FF0-99A6-B2008B8DF931}" name="Table10" displayName="Table10" ref="G35:M46" totalsRowShown="0">
  <autoFilter ref="G35:M46" xr:uid="{AEAACA95-B01C-4FF0-99A6-B2008B8DF931}"/>
  <tableColumns count="7">
    <tableColumn id="1" xr3:uid="{656DA0F8-F56C-440A-B100-4C0067B7E82D}" name="T (K)"/>
    <tableColumn id="2" xr3:uid="{A86877B0-BC3A-4BED-9266-D2D22605BB71}" name="Reductant"/>
    <tableColumn id="7" xr3:uid="{8B454F20-2B3A-42EF-ADDD-3D0F10695808}" name="Mass% to non-mags" dataDxfId="10">
      <calculatedColumnFormula>(O2/N2)*100</calculatedColumnFormula>
    </tableColumn>
    <tableColumn id="3" xr3:uid="{2028AE08-C114-4738-A373-4AF2F15110F3}" name="Mn Recovery to non-mag" dataDxfId="9"/>
    <tableColumn id="4" xr3:uid="{0CF41C6C-6ABC-403D-900E-762F0407EBF4}" name="Mn/Fe in non-mag" dataDxfId="8"/>
    <tableColumn id="5" xr3:uid="{7D9BABB6-40B6-4F5F-AC0C-9496D4865EE7}" name="% Fe removed" dataDxfId="7"/>
    <tableColumn id="6" xr3:uid="{2EB5070B-C8D2-4E2B-AB59-02B8BE8A9A63}" name="% Mn lost" dataDxfId="6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72660BD-E665-4A42-A5F4-6249718B585A}" name="Table11" displayName="Table11" ref="V18:AB22" totalsRowShown="0" headerRowDxfId="5">
  <autoFilter ref="V18:AB22" xr:uid="{F72660BD-E665-4A42-A5F4-6249718B585A}"/>
  <tableColumns count="7">
    <tableColumn id="1" xr3:uid="{D0109273-1225-42B0-B4EE-B4F97BE997AF}" name="Test number"/>
    <tableColumn id="2" xr3:uid="{B19A0AF1-04C2-47C1-921F-8D5741B35324}" name="XRF of non-mags"/>
    <tableColumn id="3" xr3:uid="{05C65244-330D-49BE-94FE-EB276F0E2799}" name="Column1"/>
    <tableColumn id="4" xr3:uid="{392E5028-2CC2-4FC4-ADC9-0332AA7AEDFC}" name="Review Metrics"/>
    <tableColumn id="5" xr3:uid="{43E7B24B-D80C-46D7-AB07-4E5C86B42B2B}" name="Column2"/>
    <tableColumn id="6" xr3:uid="{0A1F7DDF-D925-4822-B697-EC085FADA504}" name="Column3"/>
    <tableColumn id="7" xr3:uid="{566F2225-DC12-4179-BE8A-A3D684DA843A}" name="Column4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5"/>
  <sheetViews>
    <sheetView tabSelected="1" topLeftCell="A9" zoomScale="85" zoomScaleNormal="85" workbookViewId="0">
      <selection activeCell="I18" sqref="I18"/>
    </sheetView>
  </sheetViews>
  <sheetFormatPr defaultRowHeight="14.4" x14ac:dyDescent="0.3"/>
  <cols>
    <col min="1" max="1" width="15.5546875" bestFit="1" customWidth="1"/>
    <col min="2" max="2" width="12.6640625" bestFit="1" customWidth="1"/>
    <col min="5" max="5" width="11.6640625" customWidth="1"/>
    <col min="6" max="6" width="13.33203125" bestFit="1" customWidth="1"/>
    <col min="7" max="9" width="24.44140625" customWidth="1"/>
    <col min="10" max="10" width="18.88671875" customWidth="1"/>
    <col min="11" max="11" width="17.6640625" customWidth="1"/>
    <col min="12" max="15" width="21.109375" customWidth="1"/>
    <col min="16" max="16" width="24.33203125" customWidth="1"/>
    <col min="17" max="17" width="25.5546875" customWidth="1"/>
    <col min="18" max="18" width="29.77734375" customWidth="1"/>
    <col min="19" max="19" width="23.6640625" customWidth="1"/>
    <col min="20" max="23" width="22.77734375" customWidth="1"/>
    <col min="24" max="24" width="13" bestFit="1" customWidth="1"/>
    <col min="25" max="25" width="25.109375" bestFit="1" customWidth="1"/>
    <col min="26" max="26" width="25.77734375" bestFit="1" customWidth="1"/>
    <col min="27" max="27" width="37.88671875" bestFit="1" customWidth="1"/>
    <col min="28" max="28" width="10.44140625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39</v>
      </c>
      <c r="E1" t="s">
        <v>3</v>
      </c>
      <c r="F1" t="s">
        <v>42</v>
      </c>
      <c r="G1" s="3" t="s">
        <v>24</v>
      </c>
      <c r="H1" s="3" t="s">
        <v>25</v>
      </c>
      <c r="I1" t="s">
        <v>26</v>
      </c>
      <c r="J1" t="s">
        <v>5</v>
      </c>
      <c r="K1" t="s">
        <v>6</v>
      </c>
      <c r="L1" t="s">
        <v>40</v>
      </c>
      <c r="M1" t="s">
        <v>41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37</v>
      </c>
      <c r="T1" t="s">
        <v>32</v>
      </c>
      <c r="U1" t="s">
        <v>101</v>
      </c>
      <c r="V1" s="2" t="s">
        <v>12</v>
      </c>
      <c r="W1" s="2" t="s">
        <v>13</v>
      </c>
      <c r="X1" s="2" t="s">
        <v>14</v>
      </c>
    </row>
    <row r="2" spans="1:27" x14ac:dyDescent="0.3">
      <c r="A2" s="3">
        <v>1</v>
      </c>
      <c r="B2" s="3">
        <v>-1</v>
      </c>
      <c r="C2" s="3">
        <v>-1</v>
      </c>
      <c r="D2" s="3">
        <v>900</v>
      </c>
      <c r="E2" s="3">
        <v>10</v>
      </c>
      <c r="F2" s="16">
        <f>((Table4[[#This Row],[Initial Mass]]-Table4[[#This Row],[Mass after reduction]])/(Table4[[#This Row],[Initial Mass]]))*100</f>
        <v>4.6113461076132243</v>
      </c>
      <c r="G2" s="18">
        <f>((Table3[[#This Row],[Mass of non-magnetics (g)]]*Table3[[#This Row],[Mn in non-mag (wt frac)]])/(Table3[[#This Row],[Mass of mag sep feed (g)]]*Table3[[#This Row],[Mn in feed to mag sep (wt frac)]])) * 100</f>
        <v>8804.4586077674303</v>
      </c>
      <c r="H2" s="18">
        <f>Table3[[#This Row],[Mn in non-mag (wt frac)]]*100</f>
        <v>4586</v>
      </c>
      <c r="I2" s="17">
        <f>Table3[[#This Row],[Mn in non-mag (wt frac)]]/Table3[[#This Row],[Fe in non-mag (wt frac)]]</f>
        <v>329.92805755395682</v>
      </c>
      <c r="J2" s="17">
        <f>Table3[[#This Row],[Mn in non-mag (wt frac)]]/0.4403</f>
        <v>104.15625709743357</v>
      </c>
      <c r="K2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20365.010814318841</v>
      </c>
      <c r="L2" s="17">
        <v>153.90299999999999</v>
      </c>
      <c r="M2" s="17">
        <v>146.80600000000001</v>
      </c>
      <c r="N2" s="17">
        <v>32</v>
      </c>
      <c r="O2" s="17">
        <v>27.05</v>
      </c>
      <c r="P2" s="17">
        <v>0.44030000000000002</v>
      </c>
      <c r="Q2" s="17">
        <f>0.4586*100</f>
        <v>45.86</v>
      </c>
      <c r="R2" s="17">
        <v>0.13900000000000001</v>
      </c>
      <c r="S2" s="17">
        <v>3.17</v>
      </c>
      <c r="T2" s="17">
        <v>0.3004</v>
      </c>
      <c r="U2" s="17">
        <v>0.34329999999999999</v>
      </c>
      <c r="V2" t="s">
        <v>29</v>
      </c>
      <c r="W2" t="s">
        <v>15</v>
      </c>
      <c r="X2" t="s">
        <v>27</v>
      </c>
    </row>
    <row r="3" spans="1:27" x14ac:dyDescent="0.3">
      <c r="A3" s="3">
        <v>2</v>
      </c>
      <c r="B3" s="3">
        <v>1</v>
      </c>
      <c r="C3" s="3">
        <v>-1</v>
      </c>
      <c r="D3" s="3">
        <v>1100</v>
      </c>
      <c r="E3" s="3">
        <v>10</v>
      </c>
      <c r="F3" s="16">
        <f>((Table4[[#This Row],[Initial Mass]]-Table4[[#This Row],[Mass after reduction]])/(Table4[[#This Row],[Initial Mass]]))*100</f>
        <v>9.5473800982179249</v>
      </c>
      <c r="G3" s="18">
        <f>((Table3[[#This Row],[Mass of non-magnetics (g)]]*Table3[[#This Row],[Mn in non-mag (wt frac)]])/(Table3[[#This Row],[Mass of mag sep feed (g)]]*Table3[[#This Row],[Mn in feed to mag sep (wt frac)]])) * 100</f>
        <v>9045.8958358118016</v>
      </c>
      <c r="H3" s="18">
        <f>Table3[[#This Row],[Mn in non-mag (wt frac)]]*100</f>
        <v>4664</v>
      </c>
      <c r="I3" s="17">
        <f>Table3[[#This Row],[Mn in non-mag (wt frac)]]/Table3[[#This Row],[Fe in non-mag (wt frac)]]</f>
        <v>325.01742160278746</v>
      </c>
      <c r="J3" s="17">
        <f>Table3[[#This Row],[Mn in non-mag (wt frac)]]/0.4403</f>
        <v>105.9277765160118</v>
      </c>
      <c r="K3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20926.855438336464</v>
      </c>
      <c r="L3" s="17">
        <v>154.14699999999999</v>
      </c>
      <c r="M3" s="17">
        <v>139.43</v>
      </c>
      <c r="N3" s="17">
        <v>31.5</v>
      </c>
      <c r="O3" s="17">
        <v>26.9</v>
      </c>
      <c r="P3" s="17">
        <v>0.44030000000000002</v>
      </c>
      <c r="Q3" s="17">
        <v>46.64</v>
      </c>
      <c r="R3" s="17">
        <v>0.14349999999999999</v>
      </c>
      <c r="S3" s="17">
        <v>3.38</v>
      </c>
      <c r="T3" s="17">
        <v>0.25330000000000003</v>
      </c>
      <c r="U3" s="17">
        <v>0.3841</v>
      </c>
      <c r="W3" t="s">
        <v>16</v>
      </c>
      <c r="X3" t="s">
        <v>28</v>
      </c>
    </row>
    <row r="4" spans="1:27" x14ac:dyDescent="0.3">
      <c r="A4" s="3">
        <v>3</v>
      </c>
      <c r="B4" s="3">
        <v>-1</v>
      </c>
      <c r="C4" s="3">
        <v>1</v>
      </c>
      <c r="D4" s="3">
        <v>900</v>
      </c>
      <c r="E4" s="3">
        <v>30</v>
      </c>
      <c r="F4" s="16">
        <f>((Table4[[#This Row],[Initial Mass]]-Table4[[#This Row],[Mass after reduction]])/(Table4[[#This Row],[Initial Mass]]))*100</f>
        <v>7.1868729367596655</v>
      </c>
      <c r="G4" s="18">
        <f>((Table3[[#This Row],[Mass of non-magnetics (g)]]*Table3[[#This Row],[Mn in non-mag (wt frac)]])/(Table3[[#This Row],[Mass of mag sep feed (g)]]*Table3[[#This Row],[Mn in feed to mag sep (wt frac)]])) * 100</f>
        <v>8500.1768540823523</v>
      </c>
      <c r="H4" s="18">
        <f>Table3[[#This Row],[Mn in non-mag (wt frac)]]*100</f>
        <v>4715</v>
      </c>
      <c r="I4" s="17">
        <f>Table3[[#This Row],[Mn in non-mag (wt frac)]]/Table3[[#This Row],[Fe in non-mag (wt frac)]]</f>
        <v>371.55240346729704</v>
      </c>
      <c r="J4" s="17">
        <f>Table3[[#This Row],[Mn in non-mag (wt frac)]]/0.4403</f>
        <v>107.08607767431296</v>
      </c>
      <c r="K4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19666.41143395377</v>
      </c>
      <c r="L4" s="17">
        <v>154.49</v>
      </c>
      <c r="M4" s="17">
        <v>143.387</v>
      </c>
      <c r="N4" s="17">
        <v>30.5</v>
      </c>
      <c r="O4" s="17">
        <v>24.21</v>
      </c>
      <c r="P4" s="17">
        <v>0.44030000000000002</v>
      </c>
      <c r="Q4" s="17">
        <v>47.15</v>
      </c>
      <c r="R4" s="17">
        <v>0.12690000000000001</v>
      </c>
      <c r="S4" s="17">
        <v>4.8099999999999996</v>
      </c>
      <c r="T4" s="17">
        <v>0.3281</v>
      </c>
      <c r="U4" s="17">
        <v>0.30120000000000002</v>
      </c>
      <c r="W4" t="s">
        <v>17</v>
      </c>
      <c r="X4" t="s">
        <v>18</v>
      </c>
    </row>
    <row r="5" spans="1:27" ht="18" customHeight="1" x14ac:dyDescent="0.3">
      <c r="A5" s="3">
        <v>4</v>
      </c>
      <c r="B5" s="3">
        <v>1</v>
      </c>
      <c r="C5" s="3">
        <v>1</v>
      </c>
      <c r="D5" s="3">
        <v>1100</v>
      </c>
      <c r="E5" s="3">
        <v>30</v>
      </c>
      <c r="F5" s="16">
        <f>((Table4[[#This Row],[Initial Mass]]-Table4[[#This Row],[Mass after reduction]])/(Table4[[#This Row],[Initial Mass]]))*100</f>
        <v>13.183038860284558</v>
      </c>
      <c r="G5" s="18">
        <f>((Table3[[#This Row],[Mass of non-magnetics (g)]]*Table3[[#This Row],[Mn in non-mag (wt frac)]])/(Table3[[#This Row],[Mass of mag sep feed (g)]]*Table3[[#This Row],[Mn in feed to mag sep (wt frac)]])) * 100</f>
        <v>9787.352390381624</v>
      </c>
      <c r="H5" s="18">
        <f>Table3[[#This Row],[Mn in non-mag (wt frac)]]*100</f>
        <v>4643</v>
      </c>
      <c r="I5" s="17">
        <f>Table3[[#This Row],[Mn in non-mag (wt frac)]]/Table3[[#This Row],[Fe in non-mag (wt frac)]]</f>
        <v>305.66161948650426</v>
      </c>
      <c r="J5" s="17">
        <f>Table3[[#This Row],[Mn in non-mag (wt frac)]]/0.4403</f>
        <v>105.45082898024074</v>
      </c>
      <c r="K5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22641.171594557443</v>
      </c>
      <c r="L5" s="17">
        <v>157.51300000000001</v>
      </c>
      <c r="M5" s="17">
        <v>136.74799999999999</v>
      </c>
      <c r="N5" s="17">
        <v>33.4</v>
      </c>
      <c r="O5" s="17">
        <v>31</v>
      </c>
      <c r="P5" s="17">
        <v>0.44030000000000002</v>
      </c>
      <c r="Q5" s="17">
        <v>46.43</v>
      </c>
      <c r="R5" s="17">
        <v>0.15190000000000001</v>
      </c>
      <c r="S5" s="17">
        <v>0.33</v>
      </c>
      <c r="T5" s="17">
        <v>0.25369999999999998</v>
      </c>
      <c r="U5" s="17">
        <v>0.34810000000000002</v>
      </c>
      <c r="W5" t="s">
        <v>19</v>
      </c>
      <c r="X5" s="1" t="s">
        <v>20</v>
      </c>
    </row>
    <row r="6" spans="1:27" x14ac:dyDescent="0.3">
      <c r="A6" s="3">
        <v>5</v>
      </c>
      <c r="B6" s="19">
        <v>-1.414213562</v>
      </c>
      <c r="C6" s="19">
        <v>0</v>
      </c>
      <c r="D6" s="19">
        <v>858.58</v>
      </c>
      <c r="E6" s="19">
        <v>20</v>
      </c>
      <c r="F6" s="16">
        <f>((Table4[[#This Row],[Initial Mass]]-Table4[[#This Row],[Mass after reduction]])/(Table4[[#This Row],[Initial Mass]]))*100</f>
        <v>5.3153469935747806</v>
      </c>
      <c r="G6" s="18">
        <f>((Table3[[#This Row],[Mass of non-magnetics (g)]]*Table3[[#This Row],[Mn in non-mag (wt frac)]])/(Table3[[#This Row],[Mass of mag sep feed (g)]]*Table3[[#This Row],[Mn in feed to mag sep (wt frac)]])) * 100</f>
        <v>8731.9183201536143</v>
      </c>
      <c r="H6" s="18">
        <f>Table3[[#This Row],[Mn in non-mag (wt frac)]]*100</f>
        <v>4622</v>
      </c>
      <c r="I6" s="17">
        <f>Table3[[#This Row],[Mn in non-mag (wt frac)]]/Table3[[#This Row],[Fe in non-mag (wt frac)]]</f>
        <v>352.82442748091603</v>
      </c>
      <c r="J6" s="17">
        <f>Table3[[#This Row],[Mn in non-mag (wt frac)]]/0.4403</f>
        <v>104.97388144446967</v>
      </c>
      <c r="K6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20198.747669148564</v>
      </c>
      <c r="L6" s="17">
        <v>156.41499999999999</v>
      </c>
      <c r="M6" s="17">
        <v>148.101</v>
      </c>
      <c r="N6" s="17">
        <v>33</v>
      </c>
      <c r="O6" s="17">
        <v>27.45</v>
      </c>
      <c r="P6" s="17">
        <v>0.44030000000000002</v>
      </c>
      <c r="Q6" s="17">
        <v>46.22</v>
      </c>
      <c r="R6" s="17">
        <v>0.13100000000000001</v>
      </c>
      <c r="S6" s="17">
        <v>4.32</v>
      </c>
      <c r="T6" s="17">
        <v>0.31690000000000002</v>
      </c>
      <c r="U6" s="17">
        <v>0.32490000000000002</v>
      </c>
      <c r="V6" t="s">
        <v>4</v>
      </c>
      <c r="W6" t="s">
        <v>16</v>
      </c>
      <c r="X6" t="s">
        <v>28</v>
      </c>
    </row>
    <row r="7" spans="1:27" x14ac:dyDescent="0.3">
      <c r="A7" s="3">
        <v>6</v>
      </c>
      <c r="B7" s="3">
        <v>1.414213562</v>
      </c>
      <c r="C7" s="3">
        <v>0</v>
      </c>
      <c r="D7" s="3">
        <v>1141.42</v>
      </c>
      <c r="E7" s="3">
        <v>20</v>
      </c>
      <c r="F7" s="16">
        <f>((Table4[[#This Row],[Initial Mass]]-Table4[[#This Row],[Mass after reduction]])/(Table4[[#This Row],[Initial Mass]]))*100</f>
        <v>12.39795684189129</v>
      </c>
      <c r="G7" s="18">
        <f>((Table3[[#This Row],[Mass of non-magnetics (g)]]*Table3[[#This Row],[Mn in non-mag (wt frac)]])/(Table3[[#This Row],[Mass of mag sep feed (g)]]*Table3[[#This Row],[Mn in feed to mag sep (wt frac)]])) * 100</f>
        <v>9009.4148631351582</v>
      </c>
      <c r="H7" s="18">
        <f>Table3[[#This Row],[Mn in non-mag (wt frac)]]*100</f>
        <v>4737</v>
      </c>
      <c r="I7" s="17">
        <f>Table3[[#This Row],[Mn in non-mag (wt frac)]]/Table3[[#This Row],[Fe in non-mag (wt frac)]]</f>
        <v>323.78673957621328</v>
      </c>
      <c r="J7" s="17">
        <f>Table3[[#This Row],[Mn in non-mag (wt frac)]]/0.4403</f>
        <v>107.58573699750171</v>
      </c>
      <c r="K7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20845.521136749339</v>
      </c>
      <c r="L7" s="17">
        <v>152.50899999999999</v>
      </c>
      <c r="M7" s="17">
        <v>133.601</v>
      </c>
      <c r="N7" s="17">
        <v>30.2</v>
      </c>
      <c r="O7" s="17">
        <v>25.29</v>
      </c>
      <c r="P7" s="17">
        <v>0.44030000000000002</v>
      </c>
      <c r="Q7" s="17">
        <v>47.370000000000005</v>
      </c>
      <c r="R7" s="17">
        <v>0.14630000000000001</v>
      </c>
      <c r="S7" s="17">
        <v>3.19</v>
      </c>
      <c r="T7" s="17">
        <v>0.25609999999999999</v>
      </c>
      <c r="U7" s="17">
        <v>0.3916</v>
      </c>
      <c r="V7" t="s">
        <v>21</v>
      </c>
      <c r="W7" t="s">
        <v>22</v>
      </c>
      <c r="X7" t="s">
        <v>28</v>
      </c>
    </row>
    <row r="8" spans="1:27" x14ac:dyDescent="0.3">
      <c r="A8" s="3">
        <v>7</v>
      </c>
      <c r="B8" s="3">
        <v>0</v>
      </c>
      <c r="C8" s="3">
        <v>-1.414213562</v>
      </c>
      <c r="D8" s="3">
        <v>1000</v>
      </c>
      <c r="E8" s="3">
        <v>5.86</v>
      </c>
      <c r="F8" s="16">
        <f>((Table4[[#This Row],[Initial Mass]]-Table4[[#This Row],[Mass after reduction]])/(Table4[[#This Row],[Initial Mass]]))*100</f>
        <v>5.579220237862625</v>
      </c>
      <c r="G8" s="18">
        <f>((Table3[[#This Row],[Mass of non-magnetics (g)]]*Table3[[#This Row],[Mn in non-mag (wt frac)]])/(Table3[[#This Row],[Mass of mag sep feed (g)]]*Table3[[#This Row],[Mn in feed to mag sep (wt frac)]])) * 100</f>
        <v>8887.2688477951633</v>
      </c>
      <c r="H8" s="18">
        <f>Table3[[#This Row],[Mn in non-mag (wt frac)]]*100</f>
        <v>4556</v>
      </c>
      <c r="I8" s="17">
        <f>Table3[[#This Row],[Mn in non-mag (wt frac)]]/Table3[[#This Row],[Fe in non-mag (wt frac)]]</f>
        <v>314.85832757429165</v>
      </c>
      <c r="J8" s="17">
        <f>Table3[[#This Row],[Mn in non-mag (wt frac)]]/0.4403</f>
        <v>103.47490347490347</v>
      </c>
      <c r="K8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20555.241526306734</v>
      </c>
      <c r="L8" s="17">
        <v>153.53399999999999</v>
      </c>
      <c r="M8" s="17">
        <v>144.96799999999999</v>
      </c>
      <c r="N8" s="17">
        <v>30.4</v>
      </c>
      <c r="O8" s="17">
        <v>26.11</v>
      </c>
      <c r="P8" s="17">
        <v>0.44030000000000002</v>
      </c>
      <c r="Q8" s="17">
        <v>45.56</v>
      </c>
      <c r="R8" s="17">
        <v>0.1447</v>
      </c>
      <c r="S8" s="17">
        <v>2.62</v>
      </c>
      <c r="T8" s="17">
        <v>0.24640000000000001</v>
      </c>
      <c r="U8" s="17">
        <v>0.38619999999999999</v>
      </c>
    </row>
    <row r="9" spans="1:27" x14ac:dyDescent="0.3">
      <c r="A9" s="3">
        <v>8</v>
      </c>
      <c r="B9" s="3">
        <v>0</v>
      </c>
      <c r="C9" s="3">
        <v>1.414213562</v>
      </c>
      <c r="D9" s="3">
        <v>1000</v>
      </c>
      <c r="E9" s="3">
        <v>34.14</v>
      </c>
      <c r="F9" s="16">
        <f>((Table4[[#This Row],[Initial Mass]]-Table4[[#This Row],[Mass after reduction]])/(Table4[[#This Row],[Initial Mass]]))*100</f>
        <v>10.263889071779406</v>
      </c>
      <c r="G9" s="18">
        <f>((Table3[[#This Row],[Mass of non-magnetics (g)]]*Table3[[#This Row],[Mn in non-mag (wt frac)]])/(Table3[[#This Row],[Mass of mag sep feed (g)]]*Table3[[#This Row],[Mn in feed to mag sep (wt frac)]])) * 100</f>
        <v>9954.5986190937329</v>
      </c>
      <c r="H9" s="18">
        <f>Table3[[#This Row],[Mn in non-mag (wt frac)]]*100</f>
        <v>4656</v>
      </c>
      <c r="I9" s="17">
        <f>Table3[[#This Row],[Mn in non-mag (wt frac)]]/Table3[[#This Row],[Fe in non-mag (wt frac)]]</f>
        <v>315.23358158429249</v>
      </c>
      <c r="J9" s="17">
        <f>Table3[[#This Row],[Mn in non-mag (wt frac)]]/0.4403</f>
        <v>105.74608221667044</v>
      </c>
      <c r="K9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23028.679389392266</v>
      </c>
      <c r="L9" s="17">
        <v>151.88200000000001</v>
      </c>
      <c r="M9" s="17">
        <v>136.29300000000001</v>
      </c>
      <c r="N9" s="17">
        <v>30.7</v>
      </c>
      <c r="O9" s="17">
        <v>28.9</v>
      </c>
      <c r="P9" s="17">
        <v>0.44030000000000002</v>
      </c>
      <c r="Q9" s="17">
        <v>46.56</v>
      </c>
      <c r="R9" s="17">
        <v>0.1477</v>
      </c>
      <c r="S9" s="17">
        <v>0.3</v>
      </c>
      <c r="T9" s="17">
        <v>0.3609</v>
      </c>
      <c r="U9" s="17">
        <v>0.26590000000000003</v>
      </c>
      <c r="V9" t="s">
        <v>30</v>
      </c>
      <c r="W9" t="s">
        <v>31</v>
      </c>
      <c r="X9" t="s">
        <v>38</v>
      </c>
    </row>
    <row r="10" spans="1:27" x14ac:dyDescent="0.3">
      <c r="A10" s="3">
        <v>11</v>
      </c>
      <c r="B10" s="3">
        <v>0</v>
      </c>
      <c r="C10" s="3">
        <v>0</v>
      </c>
      <c r="D10" s="3">
        <v>1000</v>
      </c>
      <c r="E10" s="3">
        <v>20</v>
      </c>
      <c r="F10" s="16">
        <f>((Table4[[#This Row],[Initial Mass]]-Table4[[#This Row],[Mass after reduction]])/(Table4[[#This Row],[Initial Mass]]))*100</f>
        <v>8.6124845897901565</v>
      </c>
      <c r="G10" s="18">
        <f>((Table3[[#This Row],[Mass of non-magnetics (g)]]*Table3[[#This Row],[Mn in non-mag (wt frac)]])/(Table3[[#This Row],[Mass of mag sep feed (g)]]*Table3[[#This Row],[Mn in feed to mag sep (wt frac)]])) * 100</f>
        <v>8521.8437615697894</v>
      </c>
      <c r="H10" s="18">
        <f>Table3[[#This Row],[Mn in non-mag (wt frac)]]*100</f>
        <v>4743</v>
      </c>
      <c r="I10" s="18">
        <f>Table3[[#This Row],[Mn in non-mag (wt frac)]]/Table3[[#This Row],[Fe in non-mag (wt frac)]]</f>
        <v>351.33333333333331</v>
      </c>
      <c r="J10" s="18">
        <f>Table3[[#This Row],[Mn in non-mag (wt frac)]]/0.4403</f>
        <v>107.72200772200772</v>
      </c>
      <c r="K10" s="18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19717.638194865314</v>
      </c>
      <c r="L10" s="18">
        <v>150.874</v>
      </c>
      <c r="M10" s="18">
        <v>137.88</v>
      </c>
      <c r="N10" s="18">
        <v>29.2</v>
      </c>
      <c r="O10" s="18">
        <v>23.1</v>
      </c>
      <c r="P10" s="18">
        <v>0.44030000000000002</v>
      </c>
      <c r="Q10" s="18">
        <v>47.43</v>
      </c>
      <c r="R10" s="18">
        <v>0.13500000000000001</v>
      </c>
      <c r="S10" s="18">
        <v>3.4</v>
      </c>
      <c r="T10" s="18">
        <v>0.29609999999999997</v>
      </c>
      <c r="U10" s="18">
        <v>0.33779999999999999</v>
      </c>
      <c r="V10" s="3"/>
      <c r="W10" t="s">
        <v>32</v>
      </c>
      <c r="X10" t="s">
        <v>33</v>
      </c>
    </row>
    <row r="11" spans="1:27" x14ac:dyDescent="0.3">
      <c r="A11" s="3">
        <v>12</v>
      </c>
      <c r="B11" s="5">
        <v>0</v>
      </c>
      <c r="C11" s="5">
        <v>0</v>
      </c>
      <c r="D11" s="5">
        <v>1000</v>
      </c>
      <c r="E11" s="5">
        <v>20</v>
      </c>
      <c r="F11" s="16">
        <f>((Table4[[#This Row],[Initial Mass]]-Table4[[#This Row],[Mass after reduction]])/(Table4[[#This Row],[Initial Mass]]))*100</f>
        <v>9.498696451967243</v>
      </c>
      <c r="G11" s="18">
        <f>((Table3[[#This Row],[Mass of non-magnetics (g)]]*Table3[[#This Row],[Mn in non-mag (wt frac)]])/(Table3[[#This Row],[Mass of mag sep feed (g)]]*Table3[[#This Row],[Mn in feed to mag sep (wt frac)]])) * 100</f>
        <v>8024.1507087144673</v>
      </c>
      <c r="H11" s="18">
        <f>Table3[[#This Row],[Mn in non-mag (wt frac)]]*100</f>
        <v>4764</v>
      </c>
      <c r="I11" s="18">
        <f>Table3[[#This Row],[Mn in non-mag (wt frac)]]/Table3[[#This Row],[Fe in non-mag (wt frac)]]</f>
        <v>360.90909090909088</v>
      </c>
      <c r="J11" s="18">
        <f>Table3[[#This Row],[Mn in non-mag (wt frac)]]/0.4403</f>
        <v>108.19895525777878</v>
      </c>
      <c r="K11" s="18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18566.854773626033</v>
      </c>
      <c r="L11" s="18">
        <v>151.126</v>
      </c>
      <c r="M11" s="18">
        <v>136.77099999999999</v>
      </c>
      <c r="N11" s="18">
        <v>29.8</v>
      </c>
      <c r="O11" s="18">
        <v>22.1</v>
      </c>
      <c r="P11" s="18">
        <v>0.44030000000000002</v>
      </c>
      <c r="Q11" s="18">
        <v>47.64</v>
      </c>
      <c r="R11" s="18">
        <v>0.13200000000000001</v>
      </c>
      <c r="S11" s="18">
        <v>3.35</v>
      </c>
      <c r="T11" s="18">
        <v>0.29930000000000001</v>
      </c>
      <c r="U11" s="18">
        <v>0.34079999999999999</v>
      </c>
      <c r="V11" s="3"/>
      <c r="W11" t="s">
        <v>34</v>
      </c>
    </row>
    <row r="12" spans="1:27" x14ac:dyDescent="0.3">
      <c r="A12" s="3"/>
      <c r="B12" s="5"/>
      <c r="C12" s="5"/>
      <c r="D12" s="5"/>
      <c r="E12" s="5"/>
      <c r="F12" s="16" t="e">
        <f>((Table4[[#This Row],[Initial Mass]]-Table4[[#This Row],[Mass after reduction]])/(Table4[[#This Row],[Initial Mass]]))*100</f>
        <v>#VALUE!</v>
      </c>
      <c r="G12" s="18">
        <f>((Table3[[#This Row],[Mass of non-magnetics (g)]]*Table3[[#This Row],[Mn in non-mag (wt frac)]])/(Table3[[#This Row],[Mass of mag sep feed (g)]]*Table3[[#This Row],[Mn in feed to mag sep (wt frac)]])) * 100</f>
        <v>99.951153295107659</v>
      </c>
      <c r="H12" s="18">
        <f>Table3[[#This Row],[Mn in non-mag (wt frac)]]*100</f>
        <v>4582</v>
      </c>
      <c r="I12" s="17">
        <f>Table3[[#This Row],[Mn in non-mag (wt frac)]]/Table3[[#This Row],[Fe in non-mag (wt frac)]]</f>
        <v>318.19444444444446</v>
      </c>
      <c r="J12" s="17">
        <f>Table3[[#This Row],[Mn in non-mag (wt frac)]]/0.4403</f>
        <v>104.06540994776289</v>
      </c>
      <c r="K12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-0.20728541386623014</v>
      </c>
      <c r="L12" s="17"/>
      <c r="M12" s="17"/>
      <c r="N12" s="17">
        <v>30.8</v>
      </c>
      <c r="O12" s="17">
        <v>27.46</v>
      </c>
      <c r="P12" s="17">
        <f>((Table3[[#This Row],[Mn in non-mag (wt frac)]]*Table3[[#This Row],[Mass of non-magnetics (g)]])+ Table7[[#This Row],[Mn in mags]]*Table6[[#This Row],[Mass of mag stream]])/Table3[[#This Row],[Mass of mag sep feed (g)]]</f>
        <v>40.871172012987017</v>
      </c>
      <c r="Q12" s="17">
        <v>45.82</v>
      </c>
      <c r="R12" s="17">
        <v>0.14399999999999999</v>
      </c>
      <c r="S12" s="17">
        <v>1.77</v>
      </c>
      <c r="T12" s="17">
        <v>0.377</v>
      </c>
      <c r="U12" s="17">
        <v>0.34739999999999999</v>
      </c>
    </row>
    <row r="13" spans="1:27" x14ac:dyDescent="0.3">
      <c r="A13" s="3"/>
      <c r="B13" s="5"/>
      <c r="C13" s="5"/>
      <c r="D13" s="5"/>
      <c r="E13" s="5"/>
      <c r="F13" s="16" t="e">
        <f>((Table4[[#This Row],[Initial Mass]]-Table4[[#This Row],[Mass after reduction]])/(Table4[[#This Row],[Initial Mass]]))*100</f>
        <v>#VALUE!</v>
      </c>
      <c r="G13" s="18">
        <f>((Table3[[#This Row],[Mass of non-magnetics (g)]]*Table3[[#This Row],[Mn in non-mag (wt frac)]])/(Table3[[#This Row],[Mass of mag sep feed (g)]]*Table3[[#This Row],[Mn in feed to mag sep (wt frac)]])) * 100</f>
        <v>99.938839131300966</v>
      </c>
      <c r="H13" s="18">
        <f>Table3[[#This Row],[Mn in non-mag (wt frac)]]*100</f>
        <v>4590</v>
      </c>
      <c r="I13" s="17">
        <f>Table3[[#This Row],[Mn in non-mag (wt frac)]]/Table3[[#This Row],[Fe in non-mag (wt frac)]]</f>
        <v>318.59512736864025</v>
      </c>
      <c r="J13" s="17">
        <f>Table3[[#This Row],[Mn in non-mag (wt frac)]]/0.4403</f>
        <v>104.24710424710423</v>
      </c>
      <c r="K13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-0.25312498654145926</v>
      </c>
      <c r="L13" s="17"/>
      <c r="M13" s="17"/>
      <c r="N13" s="17">
        <v>30.5</v>
      </c>
      <c r="O13" s="17">
        <v>26.55</v>
      </c>
      <c r="P13" s="17">
        <f>((Table3[[#This Row],[Mn in non-mag (wt frac)]]*Table3[[#This Row],[Mass of non-magnetics (g)]])+ Table7[[#This Row],[Mn in mags]]*Table6[[#This Row],[Mass of mag stream]])/Table3[[#This Row],[Mass of mag sep feed (g)]]</f>
        <v>39.980025901639344</v>
      </c>
      <c r="Q13" s="17">
        <v>45.9</v>
      </c>
      <c r="R13" s="17">
        <v>0.14407</v>
      </c>
      <c r="S13" s="17">
        <v>2.14</v>
      </c>
      <c r="T13" s="17">
        <v>0.29709999999999998</v>
      </c>
      <c r="U13" s="17">
        <v>0.34849999999999998</v>
      </c>
    </row>
    <row r="14" spans="1:27" x14ac:dyDescent="0.3">
      <c r="F14" s="16" t="e">
        <f>((Table4[[#This Row],[Initial Mass]]-Table4[[#This Row],[Mass after reduction]])/(Table4[[#This Row],[Initial Mass]]))*100</f>
        <v>#VALUE!</v>
      </c>
      <c r="G14" s="18">
        <f>((Table3[[#This Row],[Mass of non-magnetics (g)]]*Table3[[#This Row],[Mn in non-mag (wt frac)]])/(Table3[[#This Row],[Mass of mag sep feed (g)]]*Table3[[#This Row],[Mn in feed to mag sep (wt frac)]])) * 100</f>
        <v>99.781167079104421</v>
      </c>
      <c r="H14" s="18">
        <f>Table3[[#This Row],[Mn in non-mag (wt frac)]]*100</f>
        <v>4716</v>
      </c>
      <c r="I14" s="17">
        <f>Table3[[#This Row],[Mn in non-mag (wt frac)]]/Table3[[#This Row],[Fe in non-mag (wt frac)]]</f>
        <v>358.08656036446467</v>
      </c>
      <c r="J14" s="17">
        <f>Table3[[#This Row],[Mn in non-mag (wt frac)]]/0.4403</f>
        <v>107.10878946173064</v>
      </c>
      <c r="K14" s="17">
        <f>(Table3[[#This Row],[Mass of non-magnetics (g)]] * 0.77 * (Table3[[#This Row],[Mn in non-mag (wt frac)]]-Table3[[#This Row],[Mn in feed to mag sep (wt frac)]]))/(Table3[[#This Row],[Mass of mag sep feed (g)]] * Table3[[#This Row],[Mn in feed to mag sep (wt frac)]]* (0.77-Table3[[#This Row],[Mn in feed to mag sep (wt frac)]]))*100</f>
        <v>-0.58276656898528312</v>
      </c>
      <c r="N14" s="18">
        <v>30.6</v>
      </c>
      <c r="O14" s="18">
        <v>22.62</v>
      </c>
      <c r="P14" s="18">
        <f>((Table3[[#This Row],[Mn in non-mag (wt frac)]]*Table3[[#This Row],[Mass of non-magnetics (g)]])+ Table7[[#This Row],[Mn in mags]]*Table6[[#This Row],[Mass of mag stream]])/Table3[[#This Row],[Mass of mag sep feed (g)]]</f>
        <v>34.937867320261439</v>
      </c>
      <c r="Q14" s="18">
        <v>47.160000000000004</v>
      </c>
      <c r="R14" s="18">
        <v>0.13170000000000001</v>
      </c>
      <c r="S14" s="18">
        <v>5.95</v>
      </c>
      <c r="T14" s="18">
        <v>0.26779999999999998</v>
      </c>
      <c r="U14" s="18">
        <v>0.39319999999999999</v>
      </c>
      <c r="Z14" t="s">
        <v>35</v>
      </c>
      <c r="AA14" t="s">
        <v>36</v>
      </c>
    </row>
    <row r="15" spans="1:27" x14ac:dyDescent="0.3">
      <c r="A15" t="s">
        <v>23</v>
      </c>
      <c r="R15" t="s">
        <v>102</v>
      </c>
      <c r="S15" t="s">
        <v>103</v>
      </c>
    </row>
    <row r="16" spans="1:27" x14ac:dyDescent="0.3">
      <c r="E16">
        <f ca="1">RANDBETWEEN(1,8)</f>
        <v>4</v>
      </c>
      <c r="G16">
        <f>1141-273</f>
        <v>868</v>
      </c>
      <c r="K16" s="17"/>
      <c r="L16" s="17"/>
      <c r="M16" s="17"/>
      <c r="N16" s="17"/>
      <c r="O16" s="17"/>
      <c r="P16" s="17"/>
      <c r="R16">
        <f>(T2*S2)/(0.15*N2) * 100</f>
        <v>19.838916666666666</v>
      </c>
      <c r="S16">
        <f>(U2*S2)/(0.44*N2)*100</f>
        <v>7.7291264204545449</v>
      </c>
    </row>
    <row r="17" spans="1:28" ht="15" thickBot="1" x14ac:dyDescent="0.35">
      <c r="L17" s="17"/>
      <c r="M17" s="17"/>
      <c r="N17" s="17"/>
      <c r="O17" s="17"/>
      <c r="P17" s="17"/>
      <c r="R17">
        <f t="shared" ref="R17:R24" si="0">(T3*S3)/(0.15*N3) * 100</f>
        <v>18.119661375661376</v>
      </c>
      <c r="S17">
        <f t="shared" ref="S17:S27" si="1">(U3*S3)/(0.44*N3)*100</f>
        <v>9.3669408369408362</v>
      </c>
      <c r="T17">
        <f>Q3*100</f>
        <v>4664</v>
      </c>
    </row>
    <row r="18" spans="1:28" x14ac:dyDescent="0.3">
      <c r="A18" s="15" t="s">
        <v>84</v>
      </c>
      <c r="B18" s="8"/>
      <c r="C18" s="8"/>
      <c r="D18" s="9"/>
      <c r="L18" s="17"/>
      <c r="M18" s="17"/>
      <c r="N18" s="17"/>
      <c r="O18" s="17"/>
      <c r="P18" s="17"/>
      <c r="R18">
        <f>(T4*S4)/(0.15*N4) * 100</f>
        <v>34.495322404371578</v>
      </c>
      <c r="S18">
        <f t="shared" si="1"/>
        <v>10.795618479880776</v>
      </c>
      <c r="T18">
        <f t="shared" ref="T18:T28" si="2">Q4*100</f>
        <v>4715</v>
      </c>
      <c r="V18" s="46" t="s">
        <v>115</v>
      </c>
      <c r="W18" s="46" t="s">
        <v>121</v>
      </c>
      <c r="X18" s="46" t="s">
        <v>83</v>
      </c>
      <c r="Y18" s="46" t="s">
        <v>126</v>
      </c>
      <c r="Z18" s="46" t="s">
        <v>127</v>
      </c>
      <c r="AA18" s="46" t="s">
        <v>128</v>
      </c>
      <c r="AB18" s="46" t="s">
        <v>129</v>
      </c>
    </row>
    <row r="19" spans="1:28" x14ac:dyDescent="0.3">
      <c r="A19" s="10" t="s">
        <v>96</v>
      </c>
      <c r="B19" s="6">
        <v>1000</v>
      </c>
      <c r="C19" s="6"/>
      <c r="D19" s="11"/>
      <c r="L19" s="17"/>
      <c r="M19" s="17"/>
      <c r="N19" s="17"/>
      <c r="O19" s="17"/>
      <c r="P19" s="17"/>
      <c r="R19">
        <f t="shared" si="0"/>
        <v>1.6710778443113774</v>
      </c>
      <c r="S19">
        <f t="shared" si="1"/>
        <v>0.78166167664670672</v>
      </c>
      <c r="T19">
        <f t="shared" si="2"/>
        <v>4643</v>
      </c>
      <c r="V19" s="46"/>
      <c r="W19" t="s">
        <v>119</v>
      </c>
      <c r="X19" t="s">
        <v>120</v>
      </c>
      <c r="Y19" t="s">
        <v>122</v>
      </c>
      <c r="Z19" t="s">
        <v>123</v>
      </c>
      <c r="AA19" t="s">
        <v>124</v>
      </c>
      <c r="AB19" t="s">
        <v>125</v>
      </c>
    </row>
    <row r="20" spans="1:28" x14ac:dyDescent="0.3">
      <c r="A20" s="10" t="s">
        <v>85</v>
      </c>
      <c r="B20" s="6">
        <v>20</v>
      </c>
      <c r="C20" s="6"/>
      <c r="D20" s="11"/>
      <c r="L20" s="17"/>
      <c r="M20" s="17"/>
      <c r="N20" s="17"/>
      <c r="O20" s="17"/>
      <c r="P20" s="17"/>
      <c r="R20">
        <f t="shared" si="0"/>
        <v>27.656727272727277</v>
      </c>
      <c r="S20">
        <f t="shared" si="1"/>
        <v>9.6664462809917353</v>
      </c>
      <c r="T20">
        <f t="shared" si="2"/>
        <v>4622</v>
      </c>
      <c r="V20" t="s">
        <v>116</v>
      </c>
      <c r="W20" s="47">
        <v>47.16</v>
      </c>
      <c r="X20" s="48">
        <v>13.17</v>
      </c>
      <c r="Y20">
        <v>82.01</v>
      </c>
      <c r="Z20">
        <v>3.58</v>
      </c>
      <c r="AA20">
        <v>22.5</v>
      </c>
      <c r="AB20">
        <v>8.94</v>
      </c>
    </row>
    <row r="21" spans="1:28" ht="15" thickBot="1" x14ac:dyDescent="0.35">
      <c r="A21" s="12" t="s">
        <v>90</v>
      </c>
      <c r="B21" s="13" t="s">
        <v>91</v>
      </c>
      <c r="C21" s="13">
        <f>101325*0.86</f>
        <v>87139.5</v>
      </c>
      <c r="D21" s="14" t="s">
        <v>92</v>
      </c>
      <c r="L21" s="17"/>
      <c r="M21" s="17"/>
      <c r="N21" s="17"/>
      <c r="O21" s="17"/>
      <c r="P21" s="17"/>
      <c r="R21">
        <f t="shared" si="0"/>
        <v>18.034415011037531</v>
      </c>
      <c r="S21">
        <f t="shared" si="1"/>
        <v>9.4009933774834433</v>
      </c>
      <c r="T21">
        <f t="shared" si="2"/>
        <v>4737</v>
      </c>
      <c r="V21" t="s">
        <v>117</v>
      </c>
      <c r="W21">
        <v>47.43</v>
      </c>
      <c r="X21">
        <v>13.5</v>
      </c>
      <c r="Y21">
        <v>85.22</v>
      </c>
      <c r="Z21">
        <v>3.51</v>
      </c>
      <c r="AA21">
        <v>22.98</v>
      </c>
      <c r="AB21">
        <v>8.94</v>
      </c>
    </row>
    <row r="22" spans="1:28" ht="15" thickBot="1" x14ac:dyDescent="0.35">
      <c r="L22" s="17"/>
      <c r="M22" s="17"/>
      <c r="N22" s="17"/>
      <c r="O22" s="17"/>
      <c r="P22" s="17"/>
      <c r="R22">
        <f t="shared" si="0"/>
        <v>14.157192982456143</v>
      </c>
      <c r="S22">
        <f t="shared" si="1"/>
        <v>7.5646232057416274</v>
      </c>
      <c r="T22">
        <f t="shared" si="2"/>
        <v>4556</v>
      </c>
      <c r="V22" t="s">
        <v>118</v>
      </c>
      <c r="W22">
        <v>47.64</v>
      </c>
      <c r="X22">
        <v>13.2</v>
      </c>
      <c r="Y22">
        <v>80.239999999999995</v>
      </c>
      <c r="Z22">
        <v>3.61</v>
      </c>
      <c r="AA22">
        <v>22.43</v>
      </c>
      <c r="AB22">
        <v>8.7100000000000009</v>
      </c>
    </row>
    <row r="23" spans="1:28" x14ac:dyDescent="0.3">
      <c r="A23" s="7" t="s">
        <v>86</v>
      </c>
      <c r="B23" s="8" t="s">
        <v>87</v>
      </c>
      <c r="C23" s="8">
        <f>(5/(16+2))/10</f>
        <v>2.777777777777778E-2</v>
      </c>
      <c r="D23" s="9" t="s">
        <v>88</v>
      </c>
      <c r="L23" s="17"/>
      <c r="M23" s="17"/>
      <c r="N23" s="17"/>
      <c r="O23" s="17"/>
      <c r="P23" s="17"/>
      <c r="R23">
        <f t="shared" si="0"/>
        <v>2.3511400651465801</v>
      </c>
      <c r="S23">
        <f t="shared" si="1"/>
        <v>0.59053893988747419</v>
      </c>
      <c r="T23">
        <f t="shared" si="2"/>
        <v>4656</v>
      </c>
    </row>
    <row r="24" spans="1:28" x14ac:dyDescent="0.3">
      <c r="A24" s="10"/>
      <c r="B24" s="6" t="s">
        <v>89</v>
      </c>
      <c r="C24" s="6">
        <f>(C23*8.314*B19)/C21</f>
        <v>2.6502842504770451E-3</v>
      </c>
      <c r="D24" s="11" t="s">
        <v>93</v>
      </c>
      <c r="L24" s="17"/>
      <c r="M24" s="17"/>
      <c r="N24" s="17"/>
      <c r="O24" s="17"/>
      <c r="P24" s="17"/>
      <c r="R24">
        <f t="shared" si="0"/>
        <v>22.984931506849314</v>
      </c>
      <c r="S24">
        <f t="shared" si="1"/>
        <v>8.9392901618929024</v>
      </c>
      <c r="T24">
        <f t="shared" si="2"/>
        <v>4743</v>
      </c>
    </row>
    <row r="25" spans="1:28" x14ac:dyDescent="0.3">
      <c r="A25" s="10"/>
      <c r="B25" s="6"/>
      <c r="C25" s="6">
        <f>C24*1000</f>
        <v>2.650284250477045</v>
      </c>
      <c r="D25" s="11" t="s">
        <v>94</v>
      </c>
      <c r="L25" s="17"/>
      <c r="M25" s="17"/>
      <c r="N25" s="17"/>
      <c r="O25" s="17"/>
      <c r="P25" s="17"/>
      <c r="R25">
        <f>(T11*S11)/(0.15*N11) * 100</f>
        <v>22.430760626398214</v>
      </c>
      <c r="S25">
        <f>(U11*S11)/(0.44*N11)*100</f>
        <v>8.7071384990848077</v>
      </c>
      <c r="T25">
        <f t="shared" si="2"/>
        <v>4764</v>
      </c>
    </row>
    <row r="26" spans="1:28" ht="15" thickBot="1" x14ac:dyDescent="0.35">
      <c r="A26" s="12" t="s">
        <v>95</v>
      </c>
      <c r="B26" s="13"/>
      <c r="C26" s="13">
        <f>(0.01*B20*C25)/(1-0.01*B20)</f>
        <v>0.66257106261926124</v>
      </c>
      <c r="D26" s="14"/>
      <c r="N26" s="17"/>
      <c r="P26" s="17"/>
      <c r="Q26">
        <v>0.4</v>
      </c>
      <c r="R26">
        <f t="shared" ref="R26" si="3">(T12*S12)/(0.15*N12) * 100</f>
        <v>14.443506493506494</v>
      </c>
      <c r="S26">
        <f t="shared" si="1"/>
        <v>4.5373229043683585</v>
      </c>
      <c r="T26">
        <f t="shared" si="2"/>
        <v>4582</v>
      </c>
    </row>
    <row r="27" spans="1:28" x14ac:dyDescent="0.3">
      <c r="N27" s="17"/>
      <c r="P27" s="17"/>
      <c r="Q27">
        <v>0.5</v>
      </c>
      <c r="R27">
        <f>(T13*S13)/(0.15*N13) * 100</f>
        <v>13.897136612021857</v>
      </c>
      <c r="S27">
        <f t="shared" si="1"/>
        <v>5.5573025335320416</v>
      </c>
      <c r="T27">
        <f t="shared" si="2"/>
        <v>4590</v>
      </c>
    </row>
    <row r="28" spans="1:28" x14ac:dyDescent="0.3">
      <c r="B28" t="s">
        <v>99</v>
      </c>
      <c r="C28" t="s">
        <v>100</v>
      </c>
      <c r="N28" s="17"/>
      <c r="P28" s="17"/>
      <c r="Q28">
        <v>0.6</v>
      </c>
      <c r="R28">
        <v>22.5</v>
      </c>
      <c r="S28">
        <v>8.9</v>
      </c>
      <c r="T28">
        <f t="shared" si="2"/>
        <v>4716</v>
      </c>
    </row>
    <row r="29" spans="1:28" x14ac:dyDescent="0.3">
      <c r="A29" t="s">
        <v>97</v>
      </c>
      <c r="B29">
        <v>1.5</v>
      </c>
      <c r="C29">
        <f>26.262*(B29/0.7) + 1.2789</f>
        <v>57.554614285714287</v>
      </c>
      <c r="N29" s="17"/>
    </row>
    <row r="30" spans="1:28" x14ac:dyDescent="0.3">
      <c r="A30" t="s">
        <v>98</v>
      </c>
      <c r="B30">
        <f>C26</f>
        <v>0.66257106261926124</v>
      </c>
      <c r="C30">
        <f>23.544 * (B30/1.01) + 0.1406</f>
        <v>15.585721879512757</v>
      </c>
      <c r="N30" s="17"/>
    </row>
    <row r="31" spans="1:28" x14ac:dyDescent="0.3">
      <c r="N31" s="17"/>
    </row>
    <row r="32" spans="1:28" x14ac:dyDescent="0.3">
      <c r="N32" s="17"/>
    </row>
    <row r="35" spans="6:21" x14ac:dyDescent="0.3">
      <c r="G35" t="s">
        <v>39</v>
      </c>
      <c r="H35" t="s">
        <v>3</v>
      </c>
      <c r="I35" t="s">
        <v>113</v>
      </c>
      <c r="J35" t="s">
        <v>24</v>
      </c>
      <c r="K35" t="s">
        <v>26</v>
      </c>
      <c r="L35" t="s">
        <v>102</v>
      </c>
      <c r="M35" t="s">
        <v>103</v>
      </c>
    </row>
    <row r="36" spans="6:21" x14ac:dyDescent="0.3">
      <c r="F36">
        <v>1</v>
      </c>
      <c r="G36">
        <v>900</v>
      </c>
      <c r="H36">
        <v>10</v>
      </c>
      <c r="I36" s="17">
        <f t="shared" ref="I36:I38" si="4">(O2/N2)*100</f>
        <v>84.53125</v>
      </c>
      <c r="J36" s="17">
        <v>88.044586077674296</v>
      </c>
      <c r="K36" s="17">
        <v>3.299280575539568</v>
      </c>
      <c r="L36" s="17">
        <v>19.838916666666666</v>
      </c>
      <c r="M36" s="17">
        <v>7.7291264204545449</v>
      </c>
      <c r="O36" t="s">
        <v>114</v>
      </c>
    </row>
    <row r="37" spans="6:21" x14ac:dyDescent="0.3">
      <c r="F37">
        <v>2</v>
      </c>
      <c r="G37">
        <v>1100</v>
      </c>
      <c r="H37">
        <v>10</v>
      </c>
      <c r="I37" s="17">
        <f t="shared" si="4"/>
        <v>85.396825396825392</v>
      </c>
      <c r="J37" s="17">
        <v>90.458958358118011</v>
      </c>
      <c r="K37" s="17">
        <v>3.2501742160278746</v>
      </c>
      <c r="L37" s="17">
        <v>18.119661375661376</v>
      </c>
      <c r="M37" s="17">
        <v>9.3669408369408362</v>
      </c>
      <c r="O37" s="35" t="s">
        <v>39</v>
      </c>
      <c r="P37" s="37" t="s">
        <v>3</v>
      </c>
      <c r="Q37" s="37" t="s">
        <v>113</v>
      </c>
      <c r="R37" s="37" t="s">
        <v>24</v>
      </c>
      <c r="S37" s="37" t="s">
        <v>26</v>
      </c>
      <c r="T37" s="37" t="s">
        <v>102</v>
      </c>
      <c r="U37" s="36" t="s">
        <v>103</v>
      </c>
    </row>
    <row r="38" spans="6:21" x14ac:dyDescent="0.3">
      <c r="F38">
        <v>3</v>
      </c>
      <c r="G38">
        <v>900</v>
      </c>
      <c r="H38">
        <v>30</v>
      </c>
      <c r="I38" s="17">
        <f t="shared" si="4"/>
        <v>79.377049180327873</v>
      </c>
      <c r="J38" s="17">
        <v>85.001768540823505</v>
      </c>
      <c r="K38" s="17">
        <v>3.7155240346729701</v>
      </c>
      <c r="L38" s="17">
        <v>34.495322404371578</v>
      </c>
      <c r="M38" s="17">
        <v>10.795618479880776</v>
      </c>
      <c r="O38" s="38">
        <v>858.58</v>
      </c>
      <c r="P38" s="39">
        <v>20</v>
      </c>
      <c r="Q38" s="42">
        <v>83.181818181818173</v>
      </c>
      <c r="R38" s="42">
        <v>87.31918320153612</v>
      </c>
      <c r="S38" s="42">
        <v>3.5282442748091603</v>
      </c>
      <c r="T38" s="42">
        <v>27.656727272727277</v>
      </c>
      <c r="U38" s="43">
        <v>9.6664462809917353</v>
      </c>
    </row>
    <row r="39" spans="6:21" x14ac:dyDescent="0.3">
      <c r="F39">
        <v>4</v>
      </c>
      <c r="G39">
        <v>1100</v>
      </c>
      <c r="H39">
        <v>30</v>
      </c>
      <c r="I39" s="17">
        <f t="shared" ref="I39:I45" si="5">(O5/N5)*100</f>
        <v>92.814371257485035</v>
      </c>
      <c r="J39" s="17">
        <v>97.873523903816263</v>
      </c>
      <c r="K39" s="17">
        <v>3.0566161948650428</v>
      </c>
      <c r="L39" s="17">
        <v>1.6710778443113774</v>
      </c>
      <c r="M39" s="17">
        <v>0.78166167664670672</v>
      </c>
      <c r="O39" s="38">
        <v>900</v>
      </c>
      <c r="P39" s="39"/>
      <c r="Q39" s="42">
        <f>AVERAGE(I36,I38)</f>
        <v>81.954149590163937</v>
      </c>
      <c r="R39" s="42">
        <f t="shared" ref="R39:U39" si="6">AVERAGE(J36,J38)</f>
        <v>86.523177309248894</v>
      </c>
      <c r="S39" s="42">
        <f t="shared" si="6"/>
        <v>3.507402305106269</v>
      </c>
      <c r="T39" s="42">
        <f t="shared" si="6"/>
        <v>27.16711953551912</v>
      </c>
      <c r="U39" s="42">
        <f t="shared" si="6"/>
        <v>9.2623724501676605</v>
      </c>
    </row>
    <row r="40" spans="6:21" x14ac:dyDescent="0.3">
      <c r="F40">
        <v>5</v>
      </c>
      <c r="G40">
        <v>858.58</v>
      </c>
      <c r="H40">
        <v>20</v>
      </c>
      <c r="I40" s="17">
        <f t="shared" si="5"/>
        <v>83.181818181818173</v>
      </c>
      <c r="J40" s="17">
        <v>87.31918320153612</v>
      </c>
      <c r="K40" s="17">
        <v>3.5282442748091603</v>
      </c>
      <c r="L40" s="17">
        <v>27.656727272727277</v>
      </c>
      <c r="M40" s="17">
        <v>9.6664462809917353</v>
      </c>
      <c r="O40" s="38">
        <v>1000</v>
      </c>
      <c r="P40" s="39">
        <v>20</v>
      </c>
      <c r="Q40" s="42">
        <v>79.109589041095902</v>
      </c>
      <c r="R40" s="42">
        <v>85.218437615697908</v>
      </c>
      <c r="S40" s="42">
        <v>3.5133333333333332</v>
      </c>
      <c r="T40" s="42">
        <v>22.984931506849314</v>
      </c>
      <c r="U40" s="43">
        <v>8.9392901618929024</v>
      </c>
    </row>
    <row r="41" spans="6:21" x14ac:dyDescent="0.3">
      <c r="F41">
        <v>6</v>
      </c>
      <c r="G41">
        <v>1141.42</v>
      </c>
      <c r="H41">
        <v>20</v>
      </c>
      <c r="I41" s="17">
        <f t="shared" si="5"/>
        <v>83.741721854304643</v>
      </c>
      <c r="J41" s="17">
        <v>90.094148631351587</v>
      </c>
      <c r="K41" s="17">
        <v>3.2378673957621324</v>
      </c>
      <c r="L41" s="17">
        <v>18.034415011037531</v>
      </c>
      <c r="M41" s="17">
        <v>9.4009933774834433</v>
      </c>
      <c r="O41" s="38">
        <v>1100</v>
      </c>
      <c r="P41" s="39"/>
      <c r="Q41" s="42">
        <f>AVERAGE(I37,I39)</f>
        <v>89.105598327155207</v>
      </c>
      <c r="R41" s="42">
        <f>AVERAGE(J37,J39)</f>
        <v>94.166241130967137</v>
      </c>
      <c r="S41" s="42">
        <f>AVERAGE(K37,K39)</f>
        <v>3.1533952054464587</v>
      </c>
      <c r="T41" s="42">
        <f>AVERAGE(L37,L39)</f>
        <v>9.8953696099863766</v>
      </c>
      <c r="U41" s="42">
        <f>AVERAGE(M37,M39)</f>
        <v>5.0743012567937713</v>
      </c>
    </row>
    <row r="42" spans="6:21" x14ac:dyDescent="0.3">
      <c r="F42">
        <v>7</v>
      </c>
      <c r="G42">
        <v>1000</v>
      </c>
      <c r="H42">
        <v>5.86</v>
      </c>
      <c r="I42" s="17">
        <f t="shared" si="5"/>
        <v>85.88815789473685</v>
      </c>
      <c r="J42" s="17">
        <v>88.872688477951627</v>
      </c>
      <c r="K42" s="17">
        <v>3.1485832757429164</v>
      </c>
      <c r="L42" s="17">
        <v>14.157192982456143</v>
      </c>
      <c r="M42" s="17">
        <v>7.5646232057416274</v>
      </c>
      <c r="O42" s="40">
        <v>1141.42</v>
      </c>
      <c r="P42" s="41">
        <v>20</v>
      </c>
      <c r="Q42" s="44">
        <v>83.741721854304643</v>
      </c>
      <c r="R42" s="44">
        <v>90.094148631351587</v>
      </c>
      <c r="S42" s="44">
        <v>3.2378673957621324</v>
      </c>
      <c r="T42" s="44">
        <v>18.034415011037531</v>
      </c>
      <c r="U42" s="45">
        <v>9.4009933774834433</v>
      </c>
    </row>
    <row r="43" spans="6:21" x14ac:dyDescent="0.3">
      <c r="F43">
        <v>8</v>
      </c>
      <c r="G43">
        <v>1000</v>
      </c>
      <c r="H43">
        <v>34.14</v>
      </c>
      <c r="I43" s="17">
        <f t="shared" si="5"/>
        <v>94.13680781758957</v>
      </c>
      <c r="J43" s="17">
        <v>99.545986190937327</v>
      </c>
      <c r="K43" s="17">
        <v>3.1523358158429251</v>
      </c>
      <c r="L43" s="17">
        <v>2.3511400651465801</v>
      </c>
      <c r="M43" s="17">
        <v>0.59053893988747419</v>
      </c>
    </row>
    <row r="44" spans="6:21" x14ac:dyDescent="0.3">
      <c r="F44">
        <v>9</v>
      </c>
      <c r="G44">
        <v>1000</v>
      </c>
      <c r="H44">
        <v>20</v>
      </c>
      <c r="I44" s="17">
        <f t="shared" si="5"/>
        <v>79.109589041095902</v>
      </c>
      <c r="J44" s="17">
        <v>85.218437615697908</v>
      </c>
      <c r="K44" s="17">
        <v>3.5133333333333332</v>
      </c>
      <c r="L44" s="17">
        <v>22.984931506849314</v>
      </c>
      <c r="M44" s="17">
        <v>8.9392901618929024</v>
      </c>
    </row>
    <row r="45" spans="6:21" x14ac:dyDescent="0.3">
      <c r="F45">
        <v>10</v>
      </c>
      <c r="G45">
        <v>1000</v>
      </c>
      <c r="H45">
        <v>20</v>
      </c>
      <c r="I45" s="17">
        <f t="shared" si="5"/>
        <v>74.161073825503351</v>
      </c>
      <c r="J45" s="17">
        <v>80.241507087144655</v>
      </c>
      <c r="K45" s="17">
        <v>3.6090909090909089</v>
      </c>
      <c r="L45" s="17">
        <v>22.430760626398214</v>
      </c>
      <c r="M45" s="17">
        <v>8.7071384990848077</v>
      </c>
    </row>
    <row r="46" spans="6:21" x14ac:dyDescent="0.3">
      <c r="G46">
        <v>1000</v>
      </c>
      <c r="H46">
        <v>20</v>
      </c>
      <c r="I46" s="17">
        <v>73.92</v>
      </c>
      <c r="J46" s="17">
        <v>82.01</v>
      </c>
      <c r="K46" s="17">
        <v>3.58</v>
      </c>
      <c r="L46" s="17">
        <v>22.5</v>
      </c>
      <c r="M46" s="17">
        <v>8.94</v>
      </c>
    </row>
    <row r="50" spans="6:13" x14ac:dyDescent="0.3">
      <c r="F50">
        <v>7</v>
      </c>
      <c r="G50" s="35" t="s">
        <v>39</v>
      </c>
      <c r="H50" s="37" t="s">
        <v>3</v>
      </c>
      <c r="I50" s="37" t="s">
        <v>113</v>
      </c>
      <c r="J50" s="37" t="s">
        <v>24</v>
      </c>
      <c r="K50" s="37" t="s">
        <v>26</v>
      </c>
      <c r="L50" s="37" t="s">
        <v>102</v>
      </c>
      <c r="M50" s="36" t="s">
        <v>103</v>
      </c>
    </row>
    <row r="51" spans="6:13" x14ac:dyDescent="0.3">
      <c r="G51">
        <v>1000</v>
      </c>
      <c r="H51">
        <v>5.86</v>
      </c>
      <c r="I51">
        <v>85.88815789473685</v>
      </c>
      <c r="J51">
        <v>88.872688477951627</v>
      </c>
      <c r="K51">
        <v>3.1485832757429164</v>
      </c>
      <c r="L51">
        <v>14.157192982456143</v>
      </c>
      <c r="M51">
        <v>7.5646232057416274</v>
      </c>
    </row>
    <row r="52" spans="6:13" x14ac:dyDescent="0.3">
      <c r="F52">
        <v>9</v>
      </c>
      <c r="H52">
        <v>10</v>
      </c>
      <c r="I52" s="17">
        <f>AVERAGE(I36:I37)</f>
        <v>84.964037698412696</v>
      </c>
      <c r="J52" s="17">
        <f>AVERAGE(J36:J37)</f>
        <v>89.251772217896161</v>
      </c>
      <c r="K52" s="17">
        <f>AVERAGE(K36:K37)</f>
        <v>3.2747273957837213</v>
      </c>
      <c r="L52" s="17">
        <f>AVERAGE(L36:L37)</f>
        <v>18.979289021164021</v>
      </c>
      <c r="M52" s="17">
        <f>AVERAGE(M36:M37)</f>
        <v>8.5480336286976915</v>
      </c>
    </row>
    <row r="53" spans="6:13" x14ac:dyDescent="0.3">
      <c r="G53">
        <v>1000</v>
      </c>
      <c r="H53">
        <v>20</v>
      </c>
      <c r="I53">
        <v>79.109589041095902</v>
      </c>
      <c r="J53">
        <v>85.218437615697908</v>
      </c>
      <c r="K53">
        <v>3.5133333333333332</v>
      </c>
      <c r="L53">
        <v>22.984931506849314</v>
      </c>
      <c r="M53">
        <v>8.9392901618929024</v>
      </c>
    </row>
    <row r="54" spans="6:13" x14ac:dyDescent="0.3">
      <c r="F54">
        <v>8</v>
      </c>
      <c r="H54">
        <v>30</v>
      </c>
      <c r="I54" s="17">
        <f>AVERAGE(I38:I39)</f>
        <v>86.095710218906447</v>
      </c>
      <c r="J54" s="17">
        <f>AVERAGE(J38:J39)</f>
        <v>91.437646222319884</v>
      </c>
      <c r="K54" s="17">
        <f>AVERAGE(K38:K39)</f>
        <v>3.3860701147690064</v>
      </c>
      <c r="L54" s="17">
        <f>AVERAGE(L38:L39)</f>
        <v>18.083200124341477</v>
      </c>
      <c r="M54" s="17">
        <f>AVERAGE(M38:M39)</f>
        <v>5.7886400782637413</v>
      </c>
    </row>
    <row r="55" spans="6:13" x14ac:dyDescent="0.3">
      <c r="G55">
        <v>1000</v>
      </c>
      <c r="H55">
        <v>34.14</v>
      </c>
      <c r="I55">
        <v>94.13680781758957</v>
      </c>
      <c r="J55">
        <v>99.545986190937327</v>
      </c>
      <c r="K55">
        <v>3.1523358158429251</v>
      </c>
      <c r="L55">
        <v>2.3511400651465801</v>
      </c>
      <c r="M55">
        <v>0.59053893988747419</v>
      </c>
    </row>
  </sheetData>
  <conditionalFormatting sqref="J36:J4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6:K4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6:L4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6:M4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0 R42 R38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40 S42 S3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42 T40 T3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2 U40 U38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  <drawing r:id="rId2"/>
  <tableParts count="9"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7516F-BF6C-437B-8141-728FE7CE2C49}">
  <dimension ref="A1:L43"/>
  <sheetViews>
    <sheetView topLeftCell="A19" zoomScaleNormal="100" workbookViewId="0">
      <selection activeCell="N26" sqref="N26"/>
    </sheetView>
  </sheetViews>
  <sheetFormatPr defaultRowHeight="14.4" x14ac:dyDescent="0.3"/>
  <cols>
    <col min="1" max="1" width="24.44140625" customWidth="1"/>
    <col min="2" max="2" width="10.109375" customWidth="1"/>
    <col min="3" max="3" width="10.77734375" customWidth="1"/>
    <col min="5" max="5" width="9.6640625" customWidth="1"/>
  </cols>
  <sheetData>
    <row r="1" spans="1:12" x14ac:dyDescent="0.3">
      <c r="A1" t="s">
        <v>43</v>
      </c>
    </row>
    <row r="3" spans="1:12" x14ac:dyDescent="0.3">
      <c r="A3" t="s">
        <v>83</v>
      </c>
      <c r="B3" t="s">
        <v>65</v>
      </c>
      <c r="C3" t="s">
        <v>70</v>
      </c>
      <c r="D3" t="s">
        <v>71</v>
      </c>
      <c r="E3" t="s">
        <v>61</v>
      </c>
      <c r="K3" t="s">
        <v>1</v>
      </c>
      <c r="L3">
        <v>1</v>
      </c>
    </row>
    <row r="4" spans="1:12" x14ac:dyDescent="0.3">
      <c r="A4" t="s">
        <v>72</v>
      </c>
      <c r="B4">
        <v>8.9197349999999993</v>
      </c>
      <c r="C4">
        <v>0.17211199999999999</v>
      </c>
      <c r="D4">
        <v>51.825099999999999</v>
      </c>
      <c r="E4" s="4">
        <v>3.464E-9</v>
      </c>
      <c r="F4" t="s">
        <v>62</v>
      </c>
      <c r="K4" t="s">
        <v>2</v>
      </c>
      <c r="L4">
        <v>1</v>
      </c>
    </row>
    <row r="5" spans="1:12" x14ac:dyDescent="0.3">
      <c r="A5" t="s">
        <v>1</v>
      </c>
      <c r="B5">
        <v>2.6185649999999998</v>
      </c>
      <c r="C5">
        <v>0.121702</v>
      </c>
      <c r="D5">
        <v>21.516200000000001</v>
      </c>
      <c r="E5" s="4">
        <v>6.5769999999999997E-7</v>
      </c>
      <c r="F5" t="s">
        <v>62</v>
      </c>
    </row>
    <row r="6" spans="1:12" x14ac:dyDescent="0.3">
      <c r="A6" t="s">
        <v>2</v>
      </c>
      <c r="B6">
        <v>1.604538</v>
      </c>
      <c r="C6">
        <v>0.121702</v>
      </c>
      <c r="D6">
        <v>13.184200000000001</v>
      </c>
      <c r="E6" s="4">
        <v>1.1759999999999999E-5</v>
      </c>
      <c r="F6" t="s">
        <v>62</v>
      </c>
      <c r="K6">
        <f>8.92 + 2.6186*L3 + 1.6045*L4 + 0.265033*L3*L4 + 0.029222*L3^2 + -0.4383*L4^2</f>
        <v>12.999055</v>
      </c>
    </row>
    <row r="7" spans="1:12" x14ac:dyDescent="0.3">
      <c r="A7" t="s">
        <v>66</v>
      </c>
      <c r="B7">
        <v>0.26503300000000002</v>
      </c>
      <c r="C7">
        <v>0.17211199999999999</v>
      </c>
      <c r="D7">
        <v>1.5399</v>
      </c>
      <c r="E7">
        <v>0.17452000000000001</v>
      </c>
    </row>
    <row r="8" spans="1:12" x14ac:dyDescent="0.3">
      <c r="A8" t="s">
        <v>67</v>
      </c>
      <c r="B8">
        <v>2.9222000000000001E-2</v>
      </c>
      <c r="C8">
        <v>0.13606699999999999</v>
      </c>
      <c r="D8">
        <v>0.21479999999999999</v>
      </c>
      <c r="E8">
        <v>0.83706000000000003</v>
      </c>
    </row>
    <row r="9" spans="1:12" x14ac:dyDescent="0.3">
      <c r="A9" t="s">
        <v>68</v>
      </c>
      <c r="B9">
        <v>-0.43832599999999999</v>
      </c>
      <c r="C9">
        <v>0.13606699999999999</v>
      </c>
      <c r="D9">
        <v>-3.2214</v>
      </c>
      <c r="E9">
        <v>1.8110000000000001E-2</v>
      </c>
      <c r="F9" t="s">
        <v>63</v>
      </c>
    </row>
    <row r="10" spans="1:12" x14ac:dyDescent="0.3">
      <c r="A10" t="s">
        <v>44</v>
      </c>
    </row>
    <row r="11" spans="1:12" x14ac:dyDescent="0.3">
      <c r="A11" t="s">
        <v>45</v>
      </c>
    </row>
    <row r="13" spans="1:12" x14ac:dyDescent="0.3">
      <c r="A13" t="s">
        <v>46</v>
      </c>
      <c r="B13" t="s">
        <v>47</v>
      </c>
    </row>
    <row r="14" spans="1:12" x14ac:dyDescent="0.3">
      <c r="A14" t="s">
        <v>48</v>
      </c>
    </row>
    <row r="16" spans="1:12" x14ac:dyDescent="0.3">
      <c r="A16" t="s">
        <v>49</v>
      </c>
    </row>
    <row r="18" spans="1:6" x14ac:dyDescent="0.3">
      <c r="A18" t="s">
        <v>50</v>
      </c>
    </row>
    <row r="19" spans="1:6" x14ac:dyDescent="0.3">
      <c r="B19" t="s">
        <v>79</v>
      </c>
      <c r="C19" t="s">
        <v>80</v>
      </c>
      <c r="D19" t="s">
        <v>81</v>
      </c>
      <c r="E19" t="s">
        <v>82</v>
      </c>
      <c r="F19" t="s">
        <v>64</v>
      </c>
    </row>
    <row r="20" spans="1:6" x14ac:dyDescent="0.3">
      <c r="A20" t="s">
        <v>73</v>
      </c>
      <c r="B20">
        <v>2</v>
      </c>
      <c r="C20">
        <v>75.450999999999993</v>
      </c>
      <c r="D20">
        <v>37.725999999999999</v>
      </c>
      <c r="E20">
        <v>318.38549999999998</v>
      </c>
      <c r="F20" s="4">
        <v>8.1340000000000002E-7</v>
      </c>
    </row>
    <row r="21" spans="1:6" x14ac:dyDescent="0.3">
      <c r="A21" t="s">
        <v>74</v>
      </c>
      <c r="B21">
        <v>1</v>
      </c>
      <c r="C21">
        <v>0.28100000000000003</v>
      </c>
      <c r="D21">
        <v>0.28100000000000003</v>
      </c>
      <c r="E21">
        <v>2.3712</v>
      </c>
      <c r="F21">
        <v>0.17452000000000001</v>
      </c>
    </row>
    <row r="22" spans="1:6" x14ac:dyDescent="0.3">
      <c r="A22" t="s">
        <v>75</v>
      </c>
      <c r="B22">
        <v>2</v>
      </c>
      <c r="C22">
        <v>1.321</v>
      </c>
      <c r="D22">
        <v>0.66</v>
      </c>
      <c r="E22">
        <v>5.5731000000000002</v>
      </c>
      <c r="F22">
        <v>4.2849999999999999E-2</v>
      </c>
    </row>
    <row r="23" spans="1:6" x14ac:dyDescent="0.3">
      <c r="A23" t="s">
        <v>69</v>
      </c>
      <c r="B23">
        <v>6</v>
      </c>
      <c r="C23">
        <v>0.71099999999999997</v>
      </c>
      <c r="D23">
        <v>0.11799999999999999</v>
      </c>
    </row>
    <row r="24" spans="1:6" x14ac:dyDescent="0.3">
      <c r="A24" t="s">
        <v>76</v>
      </c>
      <c r="B24">
        <v>3</v>
      </c>
      <c r="C24">
        <v>0.24399999999999999</v>
      </c>
      <c r="D24">
        <v>8.1000000000000003E-2</v>
      </c>
      <c r="E24">
        <v>0.52390000000000003</v>
      </c>
      <c r="F24">
        <v>0.69559000000000004</v>
      </c>
    </row>
    <row r="25" spans="1:6" x14ac:dyDescent="0.3">
      <c r="A25" t="s">
        <v>77</v>
      </c>
      <c r="B25">
        <v>3</v>
      </c>
      <c r="C25">
        <v>0.46700000000000003</v>
      </c>
      <c r="D25">
        <v>0.156</v>
      </c>
    </row>
    <row r="27" spans="1:6" x14ac:dyDescent="0.3">
      <c r="A27" t="s">
        <v>51</v>
      </c>
    </row>
    <row r="28" spans="1:6" x14ac:dyDescent="0.3">
      <c r="A28" t="s">
        <v>1</v>
      </c>
      <c r="B28" t="s">
        <v>2</v>
      </c>
    </row>
    <row r="29" spans="1:6" x14ac:dyDescent="0.3">
      <c r="A29">
        <f>-22.397625</f>
        <v>-22.397625000000001</v>
      </c>
      <c r="B29">
        <v>-4.9410360000000004</v>
      </c>
    </row>
    <row r="31" spans="1:6" x14ac:dyDescent="0.3">
      <c r="A31" t="s">
        <v>52</v>
      </c>
    </row>
    <row r="32" spans="1:6" x14ac:dyDescent="0.3">
      <c r="A32" t="s">
        <v>78</v>
      </c>
      <c r="B32" t="s">
        <v>3</v>
      </c>
    </row>
    <row r="33" spans="1:2" x14ac:dyDescent="0.3">
      <c r="A33">
        <f>-1239.76253</f>
        <v>-1239.76253</v>
      </c>
      <c r="B33">
        <v>-29.410360000000001</v>
      </c>
    </row>
    <row r="35" spans="1:2" x14ac:dyDescent="0.3">
      <c r="A35" t="s">
        <v>53</v>
      </c>
    </row>
    <row r="36" spans="1:2" x14ac:dyDescent="0.3">
      <c r="A36" t="s">
        <v>54</v>
      </c>
    </row>
    <row r="37" spans="1:2" x14ac:dyDescent="0.3">
      <c r="A37" t="s">
        <v>55</v>
      </c>
    </row>
    <row r="38" spans="1:2" x14ac:dyDescent="0.3">
      <c r="A38" t="s">
        <v>56</v>
      </c>
    </row>
    <row r="40" spans="1:2" x14ac:dyDescent="0.3">
      <c r="A40" t="s">
        <v>57</v>
      </c>
    </row>
    <row r="41" spans="1:2" x14ac:dyDescent="0.3">
      <c r="A41" t="s">
        <v>58</v>
      </c>
    </row>
    <row r="42" spans="1:2" x14ac:dyDescent="0.3">
      <c r="A42" t="s">
        <v>59</v>
      </c>
    </row>
    <row r="43" spans="1:2" x14ac:dyDescent="0.3">
      <c r="A43" t="s">
        <v>60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11CF5-FFD3-4FC1-9610-E590B77570D0}">
  <dimension ref="A1:P38"/>
  <sheetViews>
    <sheetView workbookViewId="0">
      <selection activeCell="P6" sqref="P6"/>
    </sheetView>
  </sheetViews>
  <sheetFormatPr defaultRowHeight="14.4" x14ac:dyDescent="0.3"/>
  <cols>
    <col min="1" max="1" width="10.5546875" customWidth="1"/>
    <col min="5" max="5" width="11.5546875" customWidth="1"/>
    <col min="6" max="7" width="13.6640625" bestFit="1" customWidth="1"/>
    <col min="8" max="8" width="13" customWidth="1"/>
  </cols>
  <sheetData>
    <row r="1" spans="1:16" ht="28.8" x14ac:dyDescent="0.3">
      <c r="A1" s="21" t="s">
        <v>0</v>
      </c>
      <c r="B1" s="21" t="s">
        <v>1</v>
      </c>
      <c r="C1" s="21" t="s">
        <v>2</v>
      </c>
      <c r="D1" s="21" t="s">
        <v>39</v>
      </c>
      <c r="E1" s="22" t="s">
        <v>3</v>
      </c>
      <c r="F1" s="34" t="s">
        <v>108</v>
      </c>
      <c r="G1" s="34" t="s">
        <v>106</v>
      </c>
      <c r="H1" s="33" t="s">
        <v>107</v>
      </c>
      <c r="M1" t="s">
        <v>1</v>
      </c>
      <c r="N1" t="s">
        <v>104</v>
      </c>
    </row>
    <row r="2" spans="1:16" x14ac:dyDescent="0.3">
      <c r="A2" s="24">
        <v>1</v>
      </c>
      <c r="B2" s="24">
        <v>-1</v>
      </c>
      <c r="C2" s="24">
        <v>-1</v>
      </c>
      <c r="D2" s="24">
        <v>900</v>
      </c>
      <c r="E2" s="25">
        <v>10</v>
      </c>
      <c r="F2" s="17">
        <v>7.7291264204545449</v>
      </c>
      <c r="G2" s="17">
        <f>8.82321 - 1.09394*B2 - 1.9227*C2 - 2.91294*B2*C2 + 0.44592*B2^2 - 2.28215*C2^2</f>
        <v>7.090679999999999</v>
      </c>
      <c r="H2" s="17">
        <f>((G2-F2)/F2)*100</f>
        <v>-8.2602662412785222</v>
      </c>
      <c r="M2" t="s">
        <v>2</v>
      </c>
      <c r="N2" t="s">
        <v>105</v>
      </c>
    </row>
    <row r="3" spans="1:16" x14ac:dyDescent="0.3">
      <c r="A3" s="27">
        <v>2</v>
      </c>
      <c r="B3" s="27">
        <v>1</v>
      </c>
      <c r="C3" s="27">
        <v>-1</v>
      </c>
      <c r="D3" s="27">
        <v>1100</v>
      </c>
      <c r="E3" s="28">
        <v>10</v>
      </c>
      <c r="F3" s="17">
        <v>9.3669408369408362</v>
      </c>
      <c r="G3" s="17">
        <f t="shared" ref="G3:G11" si="0">8.82321 - 1.09394*B3 - 1.9227*C3 - 2.91294*B3*C3 + 0.44592*B3^2 - 2.28215*C3^2</f>
        <v>10.728680000000001</v>
      </c>
      <c r="H3" s="17">
        <f t="shared" ref="H3:H11" si="1">((G3-F3)/F3)*100</f>
        <v>14.537714999637993</v>
      </c>
    </row>
    <row r="4" spans="1:16" x14ac:dyDescent="0.3">
      <c r="A4" s="24">
        <v>3</v>
      </c>
      <c r="B4" s="24">
        <v>-1</v>
      </c>
      <c r="C4" s="24">
        <v>1</v>
      </c>
      <c r="D4" s="24">
        <v>900</v>
      </c>
      <c r="E4" s="25">
        <v>30</v>
      </c>
      <c r="F4" s="17">
        <v>10.795618479880776</v>
      </c>
      <c r="G4" s="17">
        <f t="shared" si="0"/>
        <v>9.071159999999999</v>
      </c>
      <c r="H4" s="17">
        <f t="shared" si="1"/>
        <v>-15.973688613529269</v>
      </c>
    </row>
    <row r="5" spans="1:16" x14ac:dyDescent="0.3">
      <c r="A5" s="27">
        <v>4</v>
      </c>
      <c r="B5" s="27">
        <v>1</v>
      </c>
      <c r="C5" s="27">
        <v>1</v>
      </c>
      <c r="D5" s="27">
        <v>1100</v>
      </c>
      <c r="E5" s="28">
        <v>30</v>
      </c>
      <c r="F5" s="17">
        <v>0.78166167664670672</v>
      </c>
      <c r="G5" s="17">
        <f t="shared" si="0"/>
        <v>1.0573999999999999</v>
      </c>
      <c r="H5" s="17">
        <f t="shared" si="1"/>
        <v>35.275916882121962</v>
      </c>
    </row>
    <row r="6" spans="1:16" x14ac:dyDescent="0.3">
      <c r="A6" s="24">
        <v>5</v>
      </c>
      <c r="B6" s="29">
        <v>-1.414213562</v>
      </c>
      <c r="C6" s="29">
        <v>0</v>
      </c>
      <c r="D6" s="29">
        <v>858.58</v>
      </c>
      <c r="E6" s="30">
        <v>20</v>
      </c>
      <c r="F6" s="17">
        <v>9.6664462809917353</v>
      </c>
      <c r="G6" s="17">
        <f t="shared" si="0"/>
        <v>11.262114783543712</v>
      </c>
      <c r="H6" s="17">
        <f t="shared" si="1"/>
        <v>16.507291885433911</v>
      </c>
    </row>
    <row r="7" spans="1:16" x14ac:dyDescent="0.3">
      <c r="A7" s="27">
        <v>6</v>
      </c>
      <c r="B7" s="27">
        <v>1.414213562</v>
      </c>
      <c r="C7" s="27">
        <v>0</v>
      </c>
      <c r="D7" s="27">
        <v>1141.42</v>
      </c>
      <c r="E7" s="28">
        <v>20</v>
      </c>
      <c r="F7" s="17">
        <v>9.4009933774834433</v>
      </c>
      <c r="G7" s="17">
        <f t="shared" si="0"/>
        <v>8.1679852155151522</v>
      </c>
      <c r="H7" s="17">
        <f t="shared" si="1"/>
        <v>-13.115722056793489</v>
      </c>
      <c r="P7" t="s">
        <v>131</v>
      </c>
    </row>
    <row r="8" spans="1:16" x14ac:dyDescent="0.3">
      <c r="A8" s="24">
        <v>7</v>
      </c>
      <c r="B8" s="24">
        <v>0</v>
      </c>
      <c r="C8" s="24">
        <v>-1.414213562</v>
      </c>
      <c r="D8" s="24">
        <v>1000</v>
      </c>
      <c r="E8" s="25">
        <v>5.86</v>
      </c>
      <c r="F8" s="17">
        <v>7.5646232057416274</v>
      </c>
      <c r="G8" s="17">
        <f t="shared" si="0"/>
        <v>6.9780184180656892</v>
      </c>
      <c r="H8" s="17">
        <f t="shared" si="1"/>
        <v>-7.7545803898163639</v>
      </c>
    </row>
    <row r="9" spans="1:16" x14ac:dyDescent="0.3">
      <c r="A9" s="27">
        <v>8</v>
      </c>
      <c r="B9" s="27">
        <v>0</v>
      </c>
      <c r="C9" s="27">
        <v>1.414213562</v>
      </c>
      <c r="D9" s="27">
        <v>1000</v>
      </c>
      <c r="E9" s="28">
        <v>34.14</v>
      </c>
      <c r="F9" s="17">
        <v>0.59053893988747419</v>
      </c>
      <c r="G9" s="17">
        <f t="shared" si="0"/>
        <v>1.5398015867508885</v>
      </c>
      <c r="H9" s="17">
        <f t="shared" si="1"/>
        <v>160.74514020096527</v>
      </c>
    </row>
    <row r="10" spans="1:16" x14ac:dyDescent="0.3">
      <c r="A10" s="24">
        <v>9</v>
      </c>
      <c r="B10" s="24">
        <v>0</v>
      </c>
      <c r="C10" s="24">
        <v>0</v>
      </c>
      <c r="D10" s="24">
        <v>1000</v>
      </c>
      <c r="E10" s="25">
        <v>20</v>
      </c>
      <c r="F10" s="17">
        <v>8.9392901618929024</v>
      </c>
      <c r="G10" s="17">
        <f t="shared" si="0"/>
        <v>8.8232099999999996</v>
      </c>
      <c r="H10" s="17">
        <f t="shared" si="1"/>
        <v>-1.2985389196531321</v>
      </c>
    </row>
    <row r="11" spans="1:16" x14ac:dyDescent="0.3">
      <c r="A11" s="27">
        <v>10</v>
      </c>
      <c r="B11" s="31">
        <v>0</v>
      </c>
      <c r="C11" s="31">
        <v>0</v>
      </c>
      <c r="D11" s="31">
        <v>1000</v>
      </c>
      <c r="E11" s="32">
        <v>20</v>
      </c>
      <c r="F11" s="17">
        <v>8.7071384990848077</v>
      </c>
      <c r="G11" s="17">
        <f t="shared" si="0"/>
        <v>8.8232099999999996</v>
      </c>
      <c r="H11" s="17">
        <f t="shared" si="1"/>
        <v>1.3330613832247171</v>
      </c>
    </row>
    <row r="13" spans="1:16" x14ac:dyDescent="0.3">
      <c r="H13" t="s">
        <v>130</v>
      </c>
    </row>
    <row r="15" spans="1:16" ht="43.2" x14ac:dyDescent="0.3">
      <c r="A15" s="20" t="s">
        <v>0</v>
      </c>
      <c r="B15" s="21" t="s">
        <v>1</v>
      </c>
      <c r="C15" s="21" t="s">
        <v>2</v>
      </c>
      <c r="D15" s="21" t="s">
        <v>39</v>
      </c>
      <c r="E15" s="22" t="s">
        <v>3</v>
      </c>
      <c r="F15" s="34" t="s">
        <v>109</v>
      </c>
      <c r="G15" s="34" t="s">
        <v>110</v>
      </c>
      <c r="H15" s="33" t="s">
        <v>107</v>
      </c>
    </row>
    <row r="16" spans="1:16" x14ac:dyDescent="0.3">
      <c r="A16" s="23">
        <v>1</v>
      </c>
      <c r="B16" s="24">
        <v>-1</v>
      </c>
      <c r="C16" s="24">
        <v>-1</v>
      </c>
      <c r="D16" s="24">
        <v>900</v>
      </c>
      <c r="E16" s="25">
        <v>10</v>
      </c>
      <c r="F16" s="17">
        <v>19.838916666666666</v>
      </c>
      <c r="G16" s="17">
        <f>22.70785 - 6.01894*B16 - 2.31106*C16 - 7.77625*B16*C16 + 0.81421*B16^2 - 6.4815*C16^2</f>
        <v>17.59431</v>
      </c>
      <c r="H16" s="17">
        <f>((G16-F16)/F16)*100</f>
        <v>-11.314159459311872</v>
      </c>
    </row>
    <row r="17" spans="1:16" x14ac:dyDescent="0.3">
      <c r="A17" s="26">
        <v>2</v>
      </c>
      <c r="B17" s="27">
        <v>1</v>
      </c>
      <c r="C17" s="27">
        <v>-1</v>
      </c>
      <c r="D17" s="27">
        <v>1100</v>
      </c>
      <c r="E17" s="28">
        <v>10</v>
      </c>
      <c r="F17" s="17">
        <v>18.119661375661376</v>
      </c>
      <c r="G17" s="17">
        <f t="shared" ref="G17:G25" si="2">22.70785 - 6.01894*B17 - 2.31106*C17 - 7.77625*B17*C17 + 0.81421*B17^2 - 6.4815*C17^2</f>
        <v>21.108930000000001</v>
      </c>
      <c r="H17" s="17">
        <f t="shared" ref="H17:H25" si="3">((G17-F17)/F17)*100</f>
        <v>16.497375764173267</v>
      </c>
      <c r="P17" t="s">
        <v>132</v>
      </c>
    </row>
    <row r="18" spans="1:16" x14ac:dyDescent="0.3">
      <c r="A18" s="23">
        <v>3</v>
      </c>
      <c r="B18" s="24">
        <v>-1</v>
      </c>
      <c r="C18" s="24">
        <v>1</v>
      </c>
      <c r="D18" s="24">
        <v>900</v>
      </c>
      <c r="E18" s="25">
        <v>30</v>
      </c>
      <c r="F18" s="17">
        <v>34.495322404371578</v>
      </c>
      <c r="G18" s="17">
        <f t="shared" si="2"/>
        <v>28.524690000000003</v>
      </c>
      <c r="H18" s="17">
        <f t="shared" si="3"/>
        <v>-17.308527615370014</v>
      </c>
    </row>
    <row r="19" spans="1:16" x14ac:dyDescent="0.3">
      <c r="A19" s="26">
        <v>4</v>
      </c>
      <c r="B19" s="27">
        <v>1</v>
      </c>
      <c r="C19" s="27">
        <v>1</v>
      </c>
      <c r="D19" s="27">
        <v>1100</v>
      </c>
      <c r="E19" s="28">
        <v>30</v>
      </c>
      <c r="F19" s="17">
        <v>1.6710778443113774</v>
      </c>
      <c r="G19" s="17">
        <f t="shared" si="2"/>
        <v>0.93431000000000086</v>
      </c>
      <c r="H19" s="17">
        <f t="shared" si="3"/>
        <v>-44.089379008850784</v>
      </c>
    </row>
    <row r="20" spans="1:16" x14ac:dyDescent="0.3">
      <c r="A20" s="23">
        <v>5</v>
      </c>
      <c r="B20" s="29">
        <v>-1.414213562</v>
      </c>
      <c r="C20" s="29">
        <v>0</v>
      </c>
      <c r="D20" s="29">
        <v>858.58</v>
      </c>
      <c r="E20" s="30">
        <v>20</v>
      </c>
      <c r="F20" s="17">
        <v>27.656727272727277</v>
      </c>
      <c r="G20" s="17">
        <f t="shared" si="2"/>
        <v>32.848336576005067</v>
      </c>
      <c r="H20" s="17">
        <f t="shared" si="3"/>
        <v>18.771596697188809</v>
      </c>
    </row>
    <row r="21" spans="1:16" x14ac:dyDescent="0.3">
      <c r="A21" s="26">
        <v>6</v>
      </c>
      <c r="B21" s="27">
        <v>1.414213562</v>
      </c>
      <c r="C21" s="27">
        <v>0</v>
      </c>
      <c r="D21" s="27">
        <v>1141.42</v>
      </c>
      <c r="E21" s="28">
        <v>20</v>
      </c>
      <c r="F21" s="17">
        <v>18.034415011037531</v>
      </c>
      <c r="G21" s="17">
        <f t="shared" si="2"/>
        <v>15.824203422276508</v>
      </c>
      <c r="H21" s="17">
        <f t="shared" si="3"/>
        <v>-12.255521387349223</v>
      </c>
    </row>
    <row r="22" spans="1:16" x14ac:dyDescent="0.3">
      <c r="A22" s="23">
        <v>7</v>
      </c>
      <c r="B22" s="24">
        <v>0</v>
      </c>
      <c r="C22" s="24">
        <v>-1.414213562</v>
      </c>
      <c r="D22" s="24">
        <v>1000</v>
      </c>
      <c r="E22" s="25">
        <v>5.86</v>
      </c>
      <c r="F22" s="17">
        <v>14.157192982456143</v>
      </c>
      <c r="G22" s="17">
        <f t="shared" si="2"/>
        <v>13.013182401435468</v>
      </c>
      <c r="H22" s="17">
        <f t="shared" si="3"/>
        <v>-8.0807726675644957</v>
      </c>
    </row>
    <row r="23" spans="1:16" x14ac:dyDescent="0.3">
      <c r="A23" s="26">
        <v>8</v>
      </c>
      <c r="B23" s="27">
        <v>0</v>
      </c>
      <c r="C23" s="27">
        <v>1.414213562</v>
      </c>
      <c r="D23" s="27">
        <v>1000</v>
      </c>
      <c r="E23" s="28">
        <v>34.14</v>
      </c>
      <c r="F23" s="17">
        <v>2.3511400651465801</v>
      </c>
      <c r="G23" s="17">
        <f t="shared" si="2"/>
        <v>6.4765176122440273</v>
      </c>
      <c r="H23" s="17">
        <f t="shared" si="3"/>
        <v>175.46285771112719</v>
      </c>
    </row>
    <row r="24" spans="1:16" x14ac:dyDescent="0.3">
      <c r="A24" s="23">
        <v>9</v>
      </c>
      <c r="B24" s="24">
        <v>0</v>
      </c>
      <c r="C24" s="24">
        <v>0</v>
      </c>
      <c r="D24" s="24">
        <v>1000</v>
      </c>
      <c r="E24" s="25">
        <v>20</v>
      </c>
      <c r="F24" s="17">
        <v>22.984931506849314</v>
      </c>
      <c r="G24" s="17">
        <f t="shared" si="2"/>
        <v>22.707850000000001</v>
      </c>
      <c r="H24" s="17">
        <f t="shared" si="3"/>
        <v>-1.205491984027647</v>
      </c>
    </row>
    <row r="25" spans="1:16" x14ac:dyDescent="0.3">
      <c r="A25" s="26">
        <v>10</v>
      </c>
      <c r="B25" s="31">
        <v>0</v>
      </c>
      <c r="C25" s="31">
        <v>0</v>
      </c>
      <c r="D25" s="31">
        <v>1000</v>
      </c>
      <c r="E25" s="32">
        <v>20</v>
      </c>
      <c r="F25" s="17">
        <v>22.430760626398214</v>
      </c>
      <c r="G25" s="17">
        <f t="shared" si="2"/>
        <v>22.707850000000001</v>
      </c>
      <c r="H25" s="17">
        <f t="shared" si="3"/>
        <v>1.2353097526068124</v>
      </c>
    </row>
    <row r="28" spans="1:16" ht="28.8" x14ac:dyDescent="0.3">
      <c r="A28" s="20" t="s">
        <v>0</v>
      </c>
      <c r="B28" s="21" t="s">
        <v>1</v>
      </c>
      <c r="C28" s="21" t="s">
        <v>2</v>
      </c>
      <c r="D28" s="21" t="s">
        <v>39</v>
      </c>
      <c r="E28" s="22" t="s">
        <v>3</v>
      </c>
      <c r="F28" s="34" t="s">
        <v>111</v>
      </c>
      <c r="G28" s="34" t="s">
        <v>112</v>
      </c>
      <c r="H28" s="33" t="s">
        <v>107</v>
      </c>
    </row>
    <row r="29" spans="1:16" x14ac:dyDescent="0.3">
      <c r="A29" s="23">
        <v>1</v>
      </c>
      <c r="B29" s="24">
        <v>-1</v>
      </c>
      <c r="C29" s="24">
        <v>-1</v>
      </c>
      <c r="D29" s="24">
        <v>900</v>
      </c>
      <c r="E29" s="25">
        <v>10</v>
      </c>
      <c r="F29" s="17">
        <v>3.299280575539568</v>
      </c>
      <c r="G29" s="17">
        <f>3.561212 - 0.139834*B29 + 0.028499*C29 - 0.15245*B29*C29 - 0.073168*B29^2 - 0.189466*C29^2</f>
        <v>3.257463</v>
      </c>
      <c r="H29" s="17">
        <f>((G29-F29)/F29)*100</f>
        <v>-1.2674755778456066</v>
      </c>
    </row>
    <row r="30" spans="1:16" x14ac:dyDescent="0.3">
      <c r="A30" s="26">
        <v>2</v>
      </c>
      <c r="B30" s="27">
        <v>1</v>
      </c>
      <c r="C30" s="27">
        <v>-1</v>
      </c>
      <c r="D30" s="27">
        <v>1100</v>
      </c>
      <c r="E30" s="28">
        <v>10</v>
      </c>
      <c r="F30" s="17">
        <v>3.2501742160278746</v>
      </c>
      <c r="G30" s="17">
        <f t="shared" ref="G30:G38" si="4">3.561212 - 0.139834*B30 + 0.028499*C30 - 0.15245*B30*C30 - 0.073168*B30^2 - 0.189466*C30^2</f>
        <v>3.2826949999999999</v>
      </c>
      <c r="H30" s="17">
        <f t="shared" ref="H30:H38" si="5">((G30-F30)/F30)*100</f>
        <v>1.0005858704974235</v>
      </c>
    </row>
    <row r="31" spans="1:16" x14ac:dyDescent="0.3">
      <c r="A31" s="23">
        <v>3</v>
      </c>
      <c r="B31" s="24">
        <v>-1</v>
      </c>
      <c r="C31" s="24">
        <v>1</v>
      </c>
      <c r="D31" s="24">
        <v>900</v>
      </c>
      <c r="E31" s="25">
        <v>30</v>
      </c>
      <c r="F31" s="17">
        <v>3.7155240346729701</v>
      </c>
      <c r="G31" s="17">
        <f t="shared" si="4"/>
        <v>3.6193610000000001</v>
      </c>
      <c r="H31" s="17">
        <f t="shared" si="5"/>
        <v>-2.5881419088016759</v>
      </c>
      <c r="P31" t="s">
        <v>21</v>
      </c>
    </row>
    <row r="32" spans="1:16" x14ac:dyDescent="0.3">
      <c r="A32" s="26">
        <v>4</v>
      </c>
      <c r="B32" s="27">
        <v>1</v>
      </c>
      <c r="C32" s="27">
        <v>1</v>
      </c>
      <c r="D32" s="27">
        <v>1100</v>
      </c>
      <c r="E32" s="28">
        <v>30</v>
      </c>
      <c r="F32" s="17">
        <v>3.0566161948650428</v>
      </c>
      <c r="G32" s="17">
        <f t="shared" si="4"/>
        <v>3.0347930000000001</v>
      </c>
      <c r="H32" s="17">
        <f t="shared" si="5"/>
        <v>-0.71396581951324256</v>
      </c>
    </row>
    <row r="33" spans="1:8" x14ac:dyDescent="0.3">
      <c r="A33" s="23">
        <v>5</v>
      </c>
      <c r="B33" s="29">
        <v>-1.414213562</v>
      </c>
      <c r="C33" s="29">
        <v>0</v>
      </c>
      <c r="D33" s="29">
        <v>858.58</v>
      </c>
      <c r="E33" s="30">
        <v>20</v>
      </c>
      <c r="F33" s="17">
        <v>3.5282442748091603</v>
      </c>
      <c r="G33" s="17">
        <f t="shared" si="4"/>
        <v>3.6126311393059201</v>
      </c>
      <c r="H33" s="17">
        <f t="shared" si="5"/>
        <v>2.3917523256329587</v>
      </c>
    </row>
    <row r="34" spans="1:8" x14ac:dyDescent="0.3">
      <c r="A34" s="26">
        <v>6</v>
      </c>
      <c r="B34" s="27">
        <v>1.414213562</v>
      </c>
      <c r="C34" s="27">
        <v>0</v>
      </c>
      <c r="D34" s="27">
        <v>1141.42</v>
      </c>
      <c r="E34" s="28">
        <v>20</v>
      </c>
      <c r="F34" s="17">
        <v>3.2378673957621324</v>
      </c>
      <c r="G34" s="17">
        <f t="shared" si="4"/>
        <v>3.217120860848504</v>
      </c>
      <c r="H34" s="17">
        <f t="shared" si="5"/>
        <v>-0.64074689843019628</v>
      </c>
    </row>
    <row r="35" spans="1:8" x14ac:dyDescent="0.3">
      <c r="A35" s="23">
        <v>7</v>
      </c>
      <c r="B35" s="24">
        <v>0</v>
      </c>
      <c r="C35" s="24">
        <v>-1.414213562</v>
      </c>
      <c r="D35" s="24">
        <v>1000</v>
      </c>
      <c r="E35" s="25">
        <v>5.86</v>
      </c>
      <c r="F35" s="17">
        <v>3.1485832757429164</v>
      </c>
      <c r="G35" s="17">
        <f t="shared" si="4"/>
        <v>3.1419763278964998</v>
      </c>
      <c r="H35" s="17">
        <f t="shared" si="5"/>
        <v>-0.20983875183855985</v>
      </c>
    </row>
    <row r="36" spans="1:8" x14ac:dyDescent="0.3">
      <c r="A36" s="26">
        <v>8</v>
      </c>
      <c r="B36" s="27">
        <v>0</v>
      </c>
      <c r="C36" s="27">
        <v>1.414213562</v>
      </c>
      <c r="D36" s="27">
        <v>1000</v>
      </c>
      <c r="E36" s="28">
        <v>34.14</v>
      </c>
      <c r="F36" s="17">
        <v>3.1523358158429251</v>
      </c>
      <c r="G36" s="17">
        <f t="shared" si="4"/>
        <v>3.2225836725033759</v>
      </c>
      <c r="H36" s="17">
        <f t="shared" si="5"/>
        <v>2.2284382364150717</v>
      </c>
    </row>
    <row r="37" spans="1:8" x14ac:dyDescent="0.3">
      <c r="A37" s="23">
        <v>9</v>
      </c>
      <c r="B37" s="24">
        <v>0</v>
      </c>
      <c r="C37" s="24">
        <v>0</v>
      </c>
      <c r="D37" s="24">
        <v>1000</v>
      </c>
      <c r="E37" s="25">
        <v>20</v>
      </c>
      <c r="F37" s="17">
        <v>3.5133333333333332</v>
      </c>
      <c r="G37" s="17">
        <f t="shared" si="4"/>
        <v>3.5612119999999998</v>
      </c>
      <c r="H37" s="17">
        <f t="shared" si="5"/>
        <v>1.3627703984819723</v>
      </c>
    </row>
    <row r="38" spans="1:8" x14ac:dyDescent="0.3">
      <c r="A38" s="26">
        <v>10</v>
      </c>
      <c r="B38" s="31">
        <v>0</v>
      </c>
      <c r="C38" s="31">
        <v>0</v>
      </c>
      <c r="D38" s="31">
        <v>1000</v>
      </c>
      <c r="E38" s="32">
        <v>20</v>
      </c>
      <c r="F38" s="17">
        <v>3.6090909090909089</v>
      </c>
      <c r="G38" s="17">
        <f t="shared" si="4"/>
        <v>3.5612119999999998</v>
      </c>
      <c r="H38" s="17">
        <f t="shared" si="5"/>
        <v>-1.3266196473551637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CO-CO2 Test work calculations</vt:lpstr>
      <vt:lpstr>Mass loss model</vt:lpstr>
      <vt:lpstr>Model vs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Yathil Matabadal</dc:creator>
  <cp:lastModifiedBy>Yathil Matabadal</cp:lastModifiedBy>
  <dcterms:created xsi:type="dcterms:W3CDTF">2022-04-20T20:13:09Z</dcterms:created>
  <dcterms:modified xsi:type="dcterms:W3CDTF">2023-02-17T20:01:23Z</dcterms:modified>
</cp:coreProperties>
</file>