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ynokemp/Desktop/7. Ryno PhD/2. Chapter 2 - Behavioural + Weighing/Dataset/Excel/"/>
    </mc:Choice>
  </mc:AlternateContent>
  <xr:revisionPtr revIDLastSave="0" documentId="13_ncr:1_{5BD2C103-8DCE-F54B-B4CD-0DBC444F5B5D}" xr6:coauthVersionLast="47" xr6:coauthVersionMax="47" xr10:uidLastSave="{00000000-0000-0000-0000-000000000000}"/>
  <bookViews>
    <workbookView xWindow="0" yWindow="760" windowWidth="34560" windowHeight="20200" xr2:uid="{00000000-000D-0000-FFFF-FFFF00000000}"/>
  </bookViews>
  <sheets>
    <sheet name="Behavioural_New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05" i="1" l="1"/>
  <c r="P81" i="1"/>
  <c r="N105" i="1"/>
  <c r="N81" i="1"/>
  <c r="P109" i="1"/>
  <c r="N109" i="1"/>
  <c r="L58" i="1"/>
  <c r="P58" i="1" s="1"/>
  <c r="L57" i="1"/>
  <c r="N57" i="1" s="1"/>
  <c r="L76" i="1"/>
  <c r="Q76" i="1" s="1"/>
  <c r="P70" i="1"/>
  <c r="N70" i="1"/>
  <c r="P83" i="1"/>
  <c r="N83" i="1"/>
  <c r="P54" i="1"/>
  <c r="N54" i="1"/>
  <c r="P64" i="1"/>
  <c r="N64" i="1"/>
  <c r="P100" i="1"/>
  <c r="N100" i="1"/>
  <c r="N59" i="1"/>
  <c r="R59" i="1"/>
  <c r="P59" i="1"/>
  <c r="P92" i="1"/>
  <c r="N92" i="1"/>
  <c r="P71" i="1"/>
  <c r="N71" i="1"/>
  <c r="O58" i="1" l="1"/>
  <c r="P57" i="1"/>
  <c r="R76" i="1"/>
  <c r="Q57" i="1"/>
  <c r="O57" i="1"/>
  <c r="P76" i="1"/>
  <c r="N58" i="1"/>
  <c r="O76" i="1"/>
  <c r="Q58" i="1"/>
  <c r="P50" i="1"/>
  <c r="R50" i="1"/>
  <c r="N50" i="1"/>
  <c r="AB23" i="1"/>
  <c r="AC23" i="1"/>
  <c r="AD23" i="1"/>
  <c r="AE23" i="1"/>
  <c r="AF23" i="1"/>
  <c r="AG23" i="1"/>
  <c r="P123" i="1"/>
  <c r="N123" i="1"/>
  <c r="P95" i="1" l="1"/>
  <c r="N95" i="1"/>
  <c r="P87" i="1"/>
  <c r="N87" i="1"/>
  <c r="P74" i="1"/>
  <c r="N74" i="1"/>
  <c r="P55" i="1"/>
  <c r="N55" i="1"/>
  <c r="P85" i="1"/>
  <c r="N85" i="1"/>
  <c r="P80" i="1" l="1"/>
  <c r="N80" i="1"/>
  <c r="P65" i="1"/>
  <c r="N65" i="1"/>
  <c r="N69" i="1"/>
  <c r="P69" i="1"/>
  <c r="P75" i="1"/>
  <c r="N75" i="1"/>
  <c r="N96" i="1"/>
  <c r="P96" i="1"/>
  <c r="P67" i="1"/>
  <c r="O67" i="1"/>
  <c r="N67" i="1"/>
  <c r="P106" i="1"/>
  <c r="N106" i="1"/>
  <c r="P107" i="1"/>
  <c r="N107" i="1"/>
  <c r="P73" i="1" l="1"/>
  <c r="N73" i="1"/>
  <c r="O60" i="1"/>
  <c r="P60" i="1"/>
  <c r="N60" i="1"/>
  <c r="N62" i="1" l="1"/>
  <c r="P62" i="1"/>
  <c r="N72" i="1"/>
  <c r="AG110" i="1" l="1"/>
  <c r="AG93" i="1"/>
  <c r="AG51" i="1"/>
  <c r="AG2" i="1"/>
  <c r="AG3" i="1"/>
  <c r="AG78" i="1"/>
  <c r="AG4" i="1"/>
  <c r="AG41" i="1"/>
  <c r="AG91" i="1"/>
  <c r="AG44" i="1"/>
  <c r="AG97" i="1"/>
  <c r="AG90" i="1"/>
  <c r="AG68" i="1"/>
  <c r="AG111" i="1"/>
  <c r="AG112" i="1"/>
  <c r="AG103" i="1"/>
  <c r="AG86" i="1"/>
  <c r="AG102" i="1"/>
  <c r="AG77" i="1"/>
  <c r="AG37" i="1"/>
  <c r="AG84" i="1"/>
  <c r="AG63" i="1"/>
  <c r="AG104" i="1"/>
  <c r="AG28" i="1"/>
  <c r="AG113" i="1"/>
  <c r="AG79" i="1"/>
  <c r="AG114" i="1"/>
  <c r="AG99" i="1"/>
  <c r="AG115" i="1"/>
  <c r="AG89" i="1"/>
  <c r="AG101" i="1"/>
  <c r="AG82" i="1"/>
  <c r="AG88" i="1"/>
  <c r="AG108" i="1"/>
  <c r="AG98" i="1"/>
  <c r="AG116" i="1"/>
  <c r="AG117" i="1"/>
  <c r="AG94" i="1"/>
  <c r="AG118" i="1"/>
  <c r="AG119" i="1"/>
  <c r="AG120" i="1"/>
  <c r="AG121" i="1"/>
  <c r="AG56" i="1"/>
  <c r="AG53" i="1"/>
  <c r="AG66" i="1"/>
  <c r="AG27" i="1"/>
  <c r="AG62" i="1"/>
  <c r="AG49" i="1"/>
  <c r="AG72" i="1"/>
  <c r="AG60" i="1"/>
  <c r="AG35" i="1"/>
  <c r="AG73" i="1"/>
  <c r="AG107" i="1"/>
  <c r="AG106" i="1"/>
  <c r="AG96" i="1"/>
  <c r="AG67" i="1"/>
  <c r="AG5" i="1"/>
  <c r="AG75" i="1"/>
  <c r="AG69" i="1"/>
  <c r="AG65" i="1"/>
  <c r="AG80" i="1"/>
  <c r="AG122" i="1"/>
  <c r="AG46" i="1"/>
  <c r="AG55" i="1"/>
  <c r="AG74" i="1"/>
  <c r="AG85" i="1"/>
  <c r="AG95" i="1"/>
  <c r="AG87" i="1"/>
  <c r="AG42" i="1"/>
  <c r="AG52" i="1"/>
  <c r="AG29" i="1"/>
  <c r="AG123" i="1"/>
  <c r="AG6" i="1"/>
  <c r="AG39" i="1"/>
  <c r="AG45" i="1"/>
  <c r="AG50" i="1"/>
  <c r="AG7" i="1"/>
  <c r="AG71" i="1"/>
  <c r="AG38" i="1"/>
  <c r="AG92" i="1"/>
  <c r="AG8" i="1"/>
  <c r="AG9" i="1"/>
  <c r="AG22" i="1"/>
  <c r="AG21" i="1"/>
  <c r="AG59" i="1"/>
  <c r="AG48" i="1"/>
  <c r="AG25" i="1"/>
  <c r="AG10" i="1"/>
  <c r="AG11" i="1"/>
  <c r="AG100" i="1"/>
  <c r="AG64" i="1"/>
  <c r="AG24" i="1"/>
  <c r="AG40" i="1"/>
  <c r="AG32" i="1"/>
  <c r="AG31" i="1"/>
  <c r="AG83" i="1"/>
  <c r="AG54" i="1"/>
  <c r="AG43" i="1"/>
  <c r="AG12" i="1"/>
  <c r="AG13" i="1"/>
  <c r="AG61" i="1"/>
  <c r="AG76" i="1"/>
  <c r="AG57" i="1"/>
  <c r="AG14" i="1"/>
  <c r="AG30" i="1"/>
  <c r="AG15" i="1"/>
  <c r="AG26" i="1"/>
  <c r="AG70" i="1"/>
  <c r="AG58" i="1"/>
  <c r="AG36" i="1"/>
  <c r="AG16" i="1"/>
  <c r="AG47" i="1"/>
  <c r="AG109" i="1"/>
  <c r="AG105" i="1"/>
  <c r="AG81" i="1"/>
  <c r="AG34" i="1"/>
  <c r="AG17" i="1"/>
  <c r="AG18" i="1"/>
  <c r="AG33" i="1"/>
  <c r="AG19" i="1"/>
  <c r="AG20" i="1"/>
  <c r="AC110" i="1"/>
  <c r="AE110" i="1"/>
  <c r="AE93" i="1"/>
  <c r="AF93" i="1"/>
  <c r="AC51" i="1"/>
  <c r="AD51" i="1"/>
  <c r="AE51" i="1"/>
  <c r="AF51" i="1"/>
  <c r="AC2" i="1"/>
  <c r="AD2" i="1"/>
  <c r="AE2" i="1"/>
  <c r="AF2" i="1"/>
  <c r="AC3" i="1"/>
  <c r="AD3" i="1"/>
  <c r="AE3" i="1"/>
  <c r="AF3" i="1"/>
  <c r="AC4" i="1"/>
  <c r="AD4" i="1"/>
  <c r="AE4" i="1"/>
  <c r="AF4" i="1"/>
  <c r="AC41" i="1"/>
  <c r="AD41" i="1"/>
  <c r="AE41" i="1"/>
  <c r="AF41" i="1"/>
  <c r="AD44" i="1"/>
  <c r="AE44" i="1"/>
  <c r="AF44" i="1"/>
  <c r="AC97" i="1"/>
  <c r="AF97" i="1"/>
  <c r="AF90" i="1"/>
  <c r="AE68" i="1"/>
  <c r="AC111" i="1"/>
  <c r="AD111" i="1"/>
  <c r="AE111" i="1"/>
  <c r="AF111" i="1"/>
  <c r="AC112" i="1"/>
  <c r="AE112" i="1"/>
  <c r="AF112" i="1"/>
  <c r="AC103" i="1"/>
  <c r="AE103" i="1"/>
  <c r="AF103" i="1"/>
  <c r="AE86" i="1"/>
  <c r="AF86" i="1"/>
  <c r="AC102" i="1"/>
  <c r="AD102" i="1"/>
  <c r="AE102" i="1"/>
  <c r="AF102" i="1"/>
  <c r="AE77" i="1"/>
  <c r="AF77" i="1"/>
  <c r="AC37" i="1"/>
  <c r="AD37" i="1"/>
  <c r="AE37" i="1"/>
  <c r="AF37" i="1"/>
  <c r="AC84" i="1"/>
  <c r="AE84" i="1"/>
  <c r="AF84" i="1"/>
  <c r="AD63" i="1"/>
  <c r="AE63" i="1"/>
  <c r="AF63" i="1"/>
  <c r="AC104" i="1"/>
  <c r="AD104" i="1"/>
  <c r="AE104" i="1"/>
  <c r="AF104" i="1"/>
  <c r="AC28" i="1"/>
  <c r="AD28" i="1"/>
  <c r="AE28" i="1"/>
  <c r="AF28" i="1"/>
  <c r="AC113" i="1"/>
  <c r="AD113" i="1"/>
  <c r="AE113" i="1"/>
  <c r="AF113" i="1"/>
  <c r="AC79" i="1"/>
  <c r="AE79" i="1"/>
  <c r="AF79" i="1"/>
  <c r="AC114" i="1"/>
  <c r="AE114" i="1"/>
  <c r="AF114" i="1"/>
  <c r="AC99" i="1"/>
  <c r="AD99" i="1"/>
  <c r="AE99" i="1"/>
  <c r="AF99" i="1"/>
  <c r="AC115" i="1"/>
  <c r="AD115" i="1"/>
  <c r="AE115" i="1"/>
  <c r="AF115" i="1"/>
  <c r="AE89" i="1"/>
  <c r="AF89" i="1"/>
  <c r="AC101" i="1"/>
  <c r="AD101" i="1"/>
  <c r="AE101" i="1"/>
  <c r="AF101" i="1"/>
  <c r="AE82" i="1"/>
  <c r="AF82" i="1"/>
  <c r="AC88" i="1"/>
  <c r="AD88" i="1"/>
  <c r="AE88" i="1"/>
  <c r="AF88" i="1"/>
  <c r="AC108" i="1"/>
  <c r="AE108" i="1"/>
  <c r="AF108" i="1"/>
  <c r="AC98" i="1"/>
  <c r="AE98" i="1"/>
  <c r="AF98" i="1"/>
  <c r="AC116" i="1"/>
  <c r="AD116" i="1"/>
  <c r="AE116" i="1"/>
  <c r="AF116" i="1"/>
  <c r="AC117" i="1"/>
  <c r="AD117" i="1"/>
  <c r="AE117" i="1"/>
  <c r="AF117" i="1"/>
  <c r="AC94" i="1"/>
  <c r="AD94" i="1"/>
  <c r="AE94" i="1"/>
  <c r="AF94" i="1"/>
  <c r="AC118" i="1"/>
  <c r="AE118" i="1"/>
  <c r="AF118" i="1"/>
  <c r="AE119" i="1"/>
  <c r="AF119" i="1"/>
  <c r="AC120" i="1"/>
  <c r="AE120" i="1"/>
  <c r="AF120" i="1"/>
  <c r="AC121" i="1"/>
  <c r="AD121" i="1"/>
  <c r="AE121" i="1"/>
  <c r="AF121" i="1"/>
  <c r="AC56" i="1"/>
  <c r="AD56" i="1"/>
  <c r="AE56" i="1"/>
  <c r="AF56" i="1"/>
  <c r="AC53" i="1"/>
  <c r="AD53" i="1"/>
  <c r="AE53" i="1"/>
  <c r="AF53" i="1"/>
  <c r="AC66" i="1"/>
  <c r="AD66" i="1"/>
  <c r="AE66" i="1"/>
  <c r="AF66" i="1"/>
  <c r="AC27" i="1"/>
  <c r="AD27" i="1"/>
  <c r="AE27" i="1"/>
  <c r="AF27" i="1"/>
  <c r="AC62" i="1"/>
  <c r="AD62" i="1"/>
  <c r="AE62" i="1"/>
  <c r="AF62" i="1"/>
  <c r="AC49" i="1"/>
  <c r="AD49" i="1"/>
  <c r="AE49" i="1"/>
  <c r="AF49" i="1"/>
  <c r="AC72" i="1"/>
  <c r="AD72" i="1"/>
  <c r="AE72" i="1"/>
  <c r="AF72" i="1"/>
  <c r="AC60" i="1"/>
  <c r="AD60" i="1"/>
  <c r="AE60" i="1"/>
  <c r="AF60" i="1"/>
  <c r="AC35" i="1"/>
  <c r="AD35" i="1"/>
  <c r="AE35" i="1"/>
  <c r="AF35" i="1"/>
  <c r="AC73" i="1"/>
  <c r="AD73" i="1"/>
  <c r="AE73" i="1"/>
  <c r="AF73" i="1"/>
  <c r="AC107" i="1"/>
  <c r="AD107" i="1"/>
  <c r="AE107" i="1"/>
  <c r="AF107" i="1"/>
  <c r="AC106" i="1"/>
  <c r="AD106" i="1"/>
  <c r="AE106" i="1"/>
  <c r="AF106" i="1"/>
  <c r="AC96" i="1"/>
  <c r="AD96" i="1"/>
  <c r="AE96" i="1"/>
  <c r="AF96" i="1"/>
  <c r="AC67" i="1"/>
  <c r="AD67" i="1"/>
  <c r="AE67" i="1"/>
  <c r="AF67" i="1"/>
  <c r="AC5" i="1"/>
  <c r="AD5" i="1"/>
  <c r="AE5" i="1"/>
  <c r="AF5" i="1"/>
  <c r="AC75" i="1"/>
  <c r="AD75" i="1"/>
  <c r="AE75" i="1"/>
  <c r="AF75" i="1"/>
  <c r="AC69" i="1"/>
  <c r="AD69" i="1"/>
  <c r="AE69" i="1"/>
  <c r="AF69" i="1"/>
  <c r="AC65" i="1"/>
  <c r="AD65" i="1"/>
  <c r="AE65" i="1"/>
  <c r="AF65" i="1"/>
  <c r="AC80" i="1"/>
  <c r="AD80" i="1"/>
  <c r="AE80" i="1"/>
  <c r="AF80" i="1"/>
  <c r="AC122" i="1"/>
  <c r="AD122" i="1"/>
  <c r="AE122" i="1"/>
  <c r="AF122" i="1"/>
  <c r="AC46" i="1"/>
  <c r="AD46" i="1"/>
  <c r="AE46" i="1"/>
  <c r="AF46" i="1"/>
  <c r="AC55" i="1"/>
  <c r="AD55" i="1"/>
  <c r="AE55" i="1"/>
  <c r="AF55" i="1"/>
  <c r="AC74" i="1"/>
  <c r="AD74" i="1"/>
  <c r="AE74" i="1"/>
  <c r="AF74" i="1"/>
  <c r="AC85" i="1"/>
  <c r="AD85" i="1"/>
  <c r="AE85" i="1"/>
  <c r="AF85" i="1"/>
  <c r="AC95" i="1"/>
  <c r="AD95" i="1"/>
  <c r="AE95" i="1"/>
  <c r="AF95" i="1"/>
  <c r="AC87" i="1"/>
  <c r="AD87" i="1"/>
  <c r="AE87" i="1"/>
  <c r="AF87" i="1"/>
  <c r="AC42" i="1"/>
  <c r="AD42" i="1"/>
  <c r="AE42" i="1"/>
  <c r="AF42" i="1"/>
  <c r="AC52" i="1"/>
  <c r="AD52" i="1"/>
  <c r="AE52" i="1"/>
  <c r="AF52" i="1"/>
  <c r="AC29" i="1"/>
  <c r="AD29" i="1"/>
  <c r="AE29" i="1"/>
  <c r="AF29" i="1"/>
  <c r="AC123" i="1"/>
  <c r="AD123" i="1"/>
  <c r="AE123" i="1"/>
  <c r="AF123" i="1"/>
  <c r="AC6" i="1"/>
  <c r="AD6" i="1"/>
  <c r="AE6" i="1"/>
  <c r="AF6" i="1"/>
  <c r="AC39" i="1"/>
  <c r="AD39" i="1"/>
  <c r="AE39" i="1"/>
  <c r="AF39" i="1"/>
  <c r="AC45" i="1"/>
  <c r="AD45" i="1"/>
  <c r="AE45" i="1"/>
  <c r="AF45" i="1"/>
  <c r="AC50" i="1"/>
  <c r="AD50" i="1"/>
  <c r="AE50" i="1"/>
  <c r="AF50" i="1"/>
  <c r="AC7" i="1"/>
  <c r="AD7" i="1"/>
  <c r="AE7" i="1"/>
  <c r="AF7" i="1"/>
  <c r="AC71" i="1"/>
  <c r="AD71" i="1"/>
  <c r="AE71" i="1"/>
  <c r="AF71" i="1"/>
  <c r="AC38" i="1"/>
  <c r="AD38" i="1"/>
  <c r="AE38" i="1"/>
  <c r="AF38" i="1"/>
  <c r="AC92" i="1"/>
  <c r="AD92" i="1"/>
  <c r="AE92" i="1"/>
  <c r="AF92" i="1"/>
  <c r="AC8" i="1"/>
  <c r="AD8" i="1"/>
  <c r="AE8" i="1"/>
  <c r="AF8" i="1"/>
  <c r="AC9" i="1"/>
  <c r="AD9" i="1"/>
  <c r="AE9" i="1"/>
  <c r="AF9" i="1"/>
  <c r="AC22" i="1"/>
  <c r="AD22" i="1"/>
  <c r="AE22" i="1"/>
  <c r="AF22" i="1"/>
  <c r="AC21" i="1"/>
  <c r="AD21" i="1"/>
  <c r="AE21" i="1"/>
  <c r="AF21" i="1"/>
  <c r="AC59" i="1"/>
  <c r="AD59" i="1"/>
  <c r="AE59" i="1"/>
  <c r="AF59" i="1"/>
  <c r="AC48" i="1"/>
  <c r="AD48" i="1"/>
  <c r="AE48" i="1"/>
  <c r="AF48" i="1"/>
  <c r="AC25" i="1"/>
  <c r="AD25" i="1"/>
  <c r="AE25" i="1"/>
  <c r="AF25" i="1"/>
  <c r="AC10" i="1"/>
  <c r="AD10" i="1"/>
  <c r="AE10" i="1"/>
  <c r="AF10" i="1"/>
  <c r="AC11" i="1"/>
  <c r="AD11" i="1"/>
  <c r="AE11" i="1"/>
  <c r="AF11" i="1"/>
  <c r="AC100" i="1"/>
  <c r="AD100" i="1"/>
  <c r="AE100" i="1"/>
  <c r="AF100" i="1"/>
  <c r="AC64" i="1"/>
  <c r="AD64" i="1"/>
  <c r="AE64" i="1"/>
  <c r="AF64" i="1"/>
  <c r="AC24" i="1"/>
  <c r="AD24" i="1"/>
  <c r="AE24" i="1"/>
  <c r="AF24" i="1"/>
  <c r="AC40" i="1"/>
  <c r="AD40" i="1"/>
  <c r="AE40" i="1"/>
  <c r="AF40" i="1"/>
  <c r="AC32" i="1"/>
  <c r="AD32" i="1"/>
  <c r="AE32" i="1"/>
  <c r="AF32" i="1"/>
  <c r="AC31" i="1"/>
  <c r="AD31" i="1"/>
  <c r="AE31" i="1"/>
  <c r="AF31" i="1"/>
  <c r="AC83" i="1"/>
  <c r="AD83" i="1"/>
  <c r="AE83" i="1"/>
  <c r="AF83" i="1"/>
  <c r="AC54" i="1"/>
  <c r="AD54" i="1"/>
  <c r="AE54" i="1"/>
  <c r="AF54" i="1"/>
  <c r="AC43" i="1"/>
  <c r="AD43" i="1"/>
  <c r="AE43" i="1"/>
  <c r="AF43" i="1"/>
  <c r="AC12" i="1"/>
  <c r="AD12" i="1"/>
  <c r="AE12" i="1"/>
  <c r="AF12" i="1"/>
  <c r="AC13" i="1"/>
  <c r="AD13" i="1"/>
  <c r="AE13" i="1"/>
  <c r="AF13" i="1"/>
  <c r="AC61" i="1"/>
  <c r="AD61" i="1"/>
  <c r="AE61" i="1"/>
  <c r="AF61" i="1"/>
  <c r="AC76" i="1"/>
  <c r="AD76" i="1"/>
  <c r="AE76" i="1"/>
  <c r="AF76" i="1"/>
  <c r="AC57" i="1"/>
  <c r="AD57" i="1"/>
  <c r="AE57" i="1"/>
  <c r="AF57" i="1"/>
  <c r="AC14" i="1"/>
  <c r="AD14" i="1"/>
  <c r="AE14" i="1"/>
  <c r="AF14" i="1"/>
  <c r="AC30" i="1"/>
  <c r="AD30" i="1"/>
  <c r="AE30" i="1"/>
  <c r="AF30" i="1"/>
  <c r="AC15" i="1"/>
  <c r="AD15" i="1"/>
  <c r="AE15" i="1"/>
  <c r="AF15" i="1"/>
  <c r="AC26" i="1"/>
  <c r="AD26" i="1"/>
  <c r="AE26" i="1"/>
  <c r="AF26" i="1"/>
  <c r="AC70" i="1"/>
  <c r="AD70" i="1"/>
  <c r="AE70" i="1"/>
  <c r="AF70" i="1"/>
  <c r="AC58" i="1"/>
  <c r="AD58" i="1"/>
  <c r="AE58" i="1"/>
  <c r="AF58" i="1"/>
  <c r="AC36" i="1"/>
  <c r="AD36" i="1"/>
  <c r="AE36" i="1"/>
  <c r="AF36" i="1"/>
  <c r="AC16" i="1"/>
  <c r="AD16" i="1"/>
  <c r="AE16" i="1"/>
  <c r="AF16" i="1"/>
  <c r="AC47" i="1"/>
  <c r="AD47" i="1"/>
  <c r="AE47" i="1"/>
  <c r="AF47" i="1"/>
  <c r="AC109" i="1"/>
  <c r="AD109" i="1"/>
  <c r="AE109" i="1"/>
  <c r="AF109" i="1"/>
  <c r="AC105" i="1"/>
  <c r="AD105" i="1"/>
  <c r="AE105" i="1"/>
  <c r="AF105" i="1"/>
  <c r="AC81" i="1"/>
  <c r="AD81" i="1"/>
  <c r="AE81" i="1"/>
  <c r="AF81" i="1"/>
  <c r="AC34" i="1"/>
  <c r="AD34" i="1"/>
  <c r="AE34" i="1"/>
  <c r="AF34" i="1"/>
  <c r="AC17" i="1"/>
  <c r="AD17" i="1"/>
  <c r="AE17" i="1"/>
  <c r="AF17" i="1"/>
  <c r="AC18" i="1"/>
  <c r="AD18" i="1"/>
  <c r="AE18" i="1"/>
  <c r="AF18" i="1"/>
  <c r="AC33" i="1"/>
  <c r="AD33" i="1"/>
  <c r="AE33" i="1"/>
  <c r="AF33" i="1"/>
  <c r="AC19" i="1"/>
  <c r="AD19" i="1"/>
  <c r="AE19" i="1"/>
  <c r="AF19" i="1"/>
  <c r="AC20" i="1"/>
  <c r="AD20" i="1"/>
  <c r="AE20" i="1"/>
  <c r="AF20" i="1"/>
  <c r="P120" i="1"/>
  <c r="AD120" i="1" s="1"/>
  <c r="N120" i="1"/>
  <c r="O119" i="1"/>
  <c r="AC119" i="1" s="1"/>
  <c r="P119" i="1"/>
  <c r="AD119" i="1" s="1"/>
  <c r="N119" i="1"/>
  <c r="P118" i="1"/>
  <c r="AD118" i="1" s="1"/>
  <c r="N118" i="1"/>
  <c r="P98" i="1" l="1"/>
  <c r="AD98" i="1" s="1"/>
  <c r="N98" i="1"/>
  <c r="P108" i="1"/>
  <c r="AD108" i="1" s="1"/>
  <c r="N108" i="1"/>
  <c r="O82" i="1" l="1"/>
  <c r="AC82" i="1" s="1"/>
  <c r="P82" i="1"/>
  <c r="AD82" i="1" s="1"/>
  <c r="N82" i="1"/>
  <c r="N89" i="1"/>
  <c r="O89" i="1"/>
  <c r="AC89" i="1" s="1"/>
  <c r="P89" i="1"/>
  <c r="AD89" i="1" s="1"/>
  <c r="N114" i="1" l="1"/>
  <c r="P114" i="1"/>
  <c r="AD114" i="1" s="1"/>
  <c r="N84" i="1" l="1"/>
  <c r="P84" i="1"/>
  <c r="AD84" i="1" s="1"/>
  <c r="O63" i="1"/>
  <c r="AC63" i="1" s="1"/>
  <c r="N77" i="1"/>
  <c r="P77" i="1"/>
  <c r="AD77" i="1" s="1"/>
  <c r="O77" i="1"/>
  <c r="AC77" i="1" s="1"/>
  <c r="P79" i="1"/>
  <c r="AD79" i="1" s="1"/>
  <c r="N79" i="1"/>
  <c r="O86" i="1" l="1"/>
  <c r="AC86" i="1" s="1"/>
  <c r="P86" i="1"/>
  <c r="AD86" i="1" s="1"/>
  <c r="N86" i="1"/>
  <c r="P103" i="1"/>
  <c r="AD103" i="1" s="1"/>
  <c r="N103" i="1"/>
  <c r="P112" i="1"/>
  <c r="AD112" i="1" s="1"/>
  <c r="N112" i="1"/>
  <c r="L90" i="1" l="1"/>
  <c r="P90" i="1" s="1"/>
  <c r="AD90" i="1" s="1"/>
  <c r="L97" i="1"/>
  <c r="P97" i="1" s="1"/>
  <c r="AD97" i="1" s="1"/>
  <c r="R68" i="1"/>
  <c r="AF68" i="1" s="1"/>
  <c r="P68" i="1"/>
  <c r="AD68" i="1" s="1"/>
  <c r="O68" i="1"/>
  <c r="AC68" i="1" s="1"/>
  <c r="N68" i="1"/>
  <c r="N90" i="1" l="1"/>
  <c r="Q90" i="1"/>
  <c r="AE90" i="1" s="1"/>
  <c r="O90" i="1"/>
  <c r="AC90" i="1" s="1"/>
  <c r="Q97" i="1"/>
  <c r="AE97" i="1" s="1"/>
  <c r="N97" i="1"/>
  <c r="AB97" i="1" s="1"/>
  <c r="O44" i="1"/>
  <c r="AC44" i="1" s="1"/>
  <c r="N44" i="1"/>
  <c r="AB44" i="1" s="1"/>
  <c r="L91" i="1"/>
  <c r="O91" i="1" s="1"/>
  <c r="AC91" i="1" s="1"/>
  <c r="AB51" i="1"/>
  <c r="AB2" i="1"/>
  <c r="AB3" i="1"/>
  <c r="AB4" i="1"/>
  <c r="AB41" i="1"/>
  <c r="AB90" i="1"/>
  <c r="AB68" i="1"/>
  <c r="AB111" i="1"/>
  <c r="AB112" i="1"/>
  <c r="AB103" i="1"/>
  <c r="AB86" i="1"/>
  <c r="AB102" i="1"/>
  <c r="AB77" i="1"/>
  <c r="AB37" i="1"/>
  <c r="AB84" i="1"/>
  <c r="AB63" i="1"/>
  <c r="AB104" i="1"/>
  <c r="AB28" i="1"/>
  <c r="AB113" i="1"/>
  <c r="AB79" i="1"/>
  <c r="AB114" i="1"/>
  <c r="AB99" i="1"/>
  <c r="AB115" i="1"/>
  <c r="AB89" i="1"/>
  <c r="AB101" i="1"/>
  <c r="AB82" i="1"/>
  <c r="AB88" i="1"/>
  <c r="AB108" i="1"/>
  <c r="AB98" i="1"/>
  <c r="AB116" i="1"/>
  <c r="AB117" i="1"/>
  <c r="AB94" i="1"/>
  <c r="AB118" i="1"/>
  <c r="AB119" i="1"/>
  <c r="AB120" i="1"/>
  <c r="AB121" i="1"/>
  <c r="AB56" i="1"/>
  <c r="AB53" i="1"/>
  <c r="AB66" i="1"/>
  <c r="AB27" i="1"/>
  <c r="AB62" i="1"/>
  <c r="AB49" i="1"/>
  <c r="AB72" i="1"/>
  <c r="AB60" i="1"/>
  <c r="AB35" i="1"/>
  <c r="AB73" i="1"/>
  <c r="AB107" i="1"/>
  <c r="AB106" i="1"/>
  <c r="AB96" i="1"/>
  <c r="AB67" i="1"/>
  <c r="AB5" i="1"/>
  <c r="AB75" i="1"/>
  <c r="AB69" i="1"/>
  <c r="AB65" i="1"/>
  <c r="AB80" i="1"/>
  <c r="AB122" i="1"/>
  <c r="AB46" i="1"/>
  <c r="AB55" i="1"/>
  <c r="AB74" i="1"/>
  <c r="AB85" i="1"/>
  <c r="AB95" i="1"/>
  <c r="AB87" i="1"/>
  <c r="AB42" i="1"/>
  <c r="AB52" i="1"/>
  <c r="AB29" i="1"/>
  <c r="AB123" i="1"/>
  <c r="AB6" i="1"/>
  <c r="AB39" i="1"/>
  <c r="AB45" i="1"/>
  <c r="AB50" i="1"/>
  <c r="AB7" i="1"/>
  <c r="AB71" i="1"/>
  <c r="AB38" i="1"/>
  <c r="AB92" i="1"/>
  <c r="AB8" i="1"/>
  <c r="AB9" i="1"/>
  <c r="AB22" i="1"/>
  <c r="AB21" i="1"/>
  <c r="AB59" i="1"/>
  <c r="AB48" i="1"/>
  <c r="AB25" i="1"/>
  <c r="AB10" i="1"/>
  <c r="AB11" i="1"/>
  <c r="AB100" i="1"/>
  <c r="AB64" i="1"/>
  <c r="AB24" i="1"/>
  <c r="AB40" i="1"/>
  <c r="AB32" i="1"/>
  <c r="AB31" i="1"/>
  <c r="AB83" i="1"/>
  <c r="AB54" i="1"/>
  <c r="AB43" i="1"/>
  <c r="AB12" i="1"/>
  <c r="AB13" i="1"/>
  <c r="AB61" i="1"/>
  <c r="AB76" i="1"/>
  <c r="AB57" i="1"/>
  <c r="AB14" i="1"/>
  <c r="AB30" i="1"/>
  <c r="AB15" i="1"/>
  <c r="AB26" i="1"/>
  <c r="AB70" i="1"/>
  <c r="AB58" i="1"/>
  <c r="AB36" i="1"/>
  <c r="AB16" i="1"/>
  <c r="AB47" i="1"/>
  <c r="AB109" i="1"/>
  <c r="AB105" i="1"/>
  <c r="AB81" i="1"/>
  <c r="AB34" i="1"/>
  <c r="AB17" i="1"/>
  <c r="AB18" i="1"/>
  <c r="AB33" i="1"/>
  <c r="AB19" i="1"/>
  <c r="AB20" i="1"/>
  <c r="Q78" i="1"/>
  <c r="AE78" i="1" s="1"/>
  <c r="O78" i="1"/>
  <c r="AC78" i="1" s="1"/>
  <c r="N78" i="1"/>
  <c r="AB78" i="1" s="1"/>
  <c r="P78" i="1"/>
  <c r="AD78" i="1" s="1"/>
  <c r="R78" i="1"/>
  <c r="AF78" i="1" s="1"/>
  <c r="O93" i="1"/>
  <c r="AC93" i="1" s="1"/>
  <c r="P93" i="1"/>
  <c r="AD93" i="1" s="1"/>
  <c r="N93" i="1"/>
  <c r="AB93" i="1" s="1"/>
  <c r="L110" i="1"/>
  <c r="P110" i="1" s="1"/>
  <c r="AD110" i="1" s="1"/>
  <c r="N110" i="1"/>
  <c r="AB110" i="1" s="1"/>
  <c r="Q91" i="1" l="1"/>
  <c r="AE91" i="1" s="1"/>
  <c r="P91" i="1"/>
  <c r="AD91" i="1" s="1"/>
  <c r="R110" i="1"/>
  <c r="AF110" i="1" s="1"/>
  <c r="N91" i="1"/>
  <c r="AB91" i="1" s="1"/>
  <c r="R91" i="1"/>
  <c r="AF91" i="1" s="1"/>
</calcChain>
</file>

<file path=xl/sharedStrings.xml><?xml version="1.0" encoding="utf-8"?>
<sst xmlns="http://schemas.openxmlformats.org/spreadsheetml/2006/main" count="550" uniqueCount="95">
  <si>
    <t>Date</t>
  </si>
  <si>
    <t>Block</t>
  </si>
  <si>
    <t>Diurnal_Period</t>
  </si>
  <si>
    <t>Cool_Hot</t>
  </si>
  <si>
    <t>BirdID</t>
  </si>
  <si>
    <t>Sex</t>
  </si>
  <si>
    <t>StartTime</t>
  </si>
  <si>
    <t>StartTime_Val</t>
  </si>
  <si>
    <t>StartTimeRound</t>
  </si>
  <si>
    <t>EndTimeRound</t>
  </si>
  <si>
    <t>Focal Dur</t>
  </si>
  <si>
    <t>Focal DurExOOS</t>
  </si>
  <si>
    <t>FocalDur_Cor</t>
  </si>
  <si>
    <t>Cor_Forage</t>
  </si>
  <si>
    <t>Cor_Inactive</t>
  </si>
  <si>
    <t>Cor_Movement</t>
  </si>
  <si>
    <t>Cor_Comfort</t>
  </si>
  <si>
    <t>Cor_Territorial</t>
  </si>
  <si>
    <t>Cor_Sun</t>
  </si>
  <si>
    <t>Cor_Shade</t>
  </si>
  <si>
    <t>Cor_OnGround</t>
  </si>
  <si>
    <t>Cor_OffGround</t>
  </si>
  <si>
    <t>Cor_SunOffGr</t>
  </si>
  <si>
    <t>Cor_SunOnGr</t>
  </si>
  <si>
    <t>Cor_ShadeOnGr</t>
  </si>
  <si>
    <t>Cor_Pant</t>
  </si>
  <si>
    <t>Cor_WS</t>
  </si>
  <si>
    <t>Per_Forage</t>
  </si>
  <si>
    <t>Per_Inactive</t>
  </si>
  <si>
    <t>Per_Movement</t>
  </si>
  <si>
    <t>Per_Comfort</t>
  </si>
  <si>
    <t>Per_Territorial</t>
  </si>
  <si>
    <t>Per_Sun</t>
  </si>
  <si>
    <t>Per_Shade</t>
  </si>
  <si>
    <t>Per_OnGround</t>
  </si>
  <si>
    <t>Per_OffGround</t>
  </si>
  <si>
    <t>Per_SunOffGr</t>
  </si>
  <si>
    <t>Per_SunOnGr</t>
  </si>
  <si>
    <t>Per_ShadeOnGr</t>
  </si>
  <si>
    <t>Per_Pant</t>
  </si>
  <si>
    <t>Per_WS</t>
  </si>
  <si>
    <t>RainfallTwoMonthsPrior</t>
  </si>
  <si>
    <t>MaxTa</t>
  </si>
  <si>
    <t>MaxHum</t>
  </si>
  <si>
    <t>MaxDeficit</t>
  </si>
  <si>
    <t>MaxDew</t>
  </si>
  <si>
    <t>MaxWindSpeed</t>
  </si>
  <si>
    <t>MaxWindChill</t>
  </si>
  <si>
    <t>MaxHI</t>
  </si>
  <si>
    <t>MaxTHWIndex</t>
  </si>
  <si>
    <t>MaxTHSWIndex</t>
  </si>
  <si>
    <t>MaxSolarRad</t>
  </si>
  <si>
    <t>AvgTemp</t>
  </si>
  <si>
    <t>AvgHum</t>
  </si>
  <si>
    <t>AvgDeficit</t>
  </si>
  <si>
    <t>AvgDew</t>
  </si>
  <si>
    <t>AvgWindSpeed</t>
  </si>
  <si>
    <t>AvgWindChill</t>
  </si>
  <si>
    <t>AvgHI</t>
  </si>
  <si>
    <t>AvgTHWIndex</t>
  </si>
  <si>
    <t>AvgTHSWIndex</t>
  </si>
  <si>
    <t>AvgSolarRad</t>
  </si>
  <si>
    <t>Morning</t>
  </si>
  <si>
    <t>Cool</t>
  </si>
  <si>
    <t>Patrick</t>
  </si>
  <si>
    <t>Male</t>
  </si>
  <si>
    <t>Jan</t>
  </si>
  <si>
    <t>Houdini</t>
  </si>
  <si>
    <t>Roxanne</t>
  </si>
  <si>
    <t>Female</t>
  </si>
  <si>
    <t>Bob</t>
  </si>
  <si>
    <t>Jaconette</t>
  </si>
  <si>
    <t>Jim</t>
  </si>
  <si>
    <t>Hulk</t>
  </si>
  <si>
    <t>Gawie</t>
  </si>
  <si>
    <t>Delilah</t>
  </si>
  <si>
    <t>Hot</t>
  </si>
  <si>
    <t>Mandy</t>
  </si>
  <si>
    <t>Midday</t>
  </si>
  <si>
    <t>Meredith</t>
  </si>
  <si>
    <t>Beast</t>
  </si>
  <si>
    <t>Afternoon</t>
  </si>
  <si>
    <t>Dereck</t>
  </si>
  <si>
    <t>Suzie</t>
  </si>
  <si>
    <t>Andrea</t>
  </si>
  <si>
    <t>Rupert</t>
  </si>
  <si>
    <t>Steven</t>
  </si>
  <si>
    <t>John</t>
  </si>
  <si>
    <t>Itch</t>
  </si>
  <si>
    <t>Benjamin</t>
  </si>
  <si>
    <t>Jonny</t>
  </si>
  <si>
    <t>Jackals</t>
  </si>
  <si>
    <t>Liam</t>
  </si>
  <si>
    <t>Anthony</t>
  </si>
  <si>
    <t>Zaan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</si>
</sst>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14" fontId="0" fillId="0" borderId="0" xfId="0" applyNumberFormat="1"/>
    <xf numFmtId="21" fontId="0" fillId="0" borderId="0" xfId="0" applyNumberFormat="1"/>
    <xf numFmtId="20" fontId="0" fillId="0" borderId="0" xfId="0" applyNumberFormat="1"/>
    <xf numFmtId="2" fontId="0" fillId="0" borderId="0" xfId="0" applyNumberFormat="1"/>
    <xf numFmtId="0" fontId="18" fillId="0" borderId="0" xfId="0" applyFont="1"/>
    <xf numFmtId="14" fontId="18" fillId="0" borderId="0" xfId="0" applyNumberFormat="1" applyFont="1"/>
    <xf numFmtId="21" fontId="18" fillId="0" borderId="0" xfId="0" applyNumberFormat="1" applyFont="1"/>
    <xf numFmtId="20" fontId="18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123"/>
  <sheetViews>
    <sheetView tabSelected="1" topLeftCell="AA20" workbookViewId="0">
      <selection activeCell="BC22" sqref="BC22"/>
    </sheetView>
  </sheetViews>
  <sheetFormatPr baseColWidth="10" defaultColWidth="8.83203125" defaultRowHeight="15" x14ac:dyDescent="0.2"/>
  <cols>
    <col min="1" max="1" width="10.6640625" bestFit="1" customWidth="1"/>
    <col min="14" max="14" width="11" bestFit="1" customWidth="1"/>
    <col min="15" max="15" width="12" bestFit="1" customWidth="1"/>
    <col min="16" max="16" width="14.83203125" bestFit="1" customWidth="1"/>
    <col min="17" max="17" width="12.33203125" bestFit="1" customWidth="1"/>
    <col min="18" max="18" width="14" bestFit="1" customWidth="1"/>
    <col min="19" max="19" width="8.33203125" bestFit="1" customWidth="1"/>
    <col min="20" max="20" width="10.5" bestFit="1" customWidth="1"/>
    <col min="21" max="21" width="14.33203125" bestFit="1" customWidth="1"/>
    <col min="22" max="22" width="14.5" bestFit="1" customWidth="1"/>
    <col min="23" max="23" width="13.33203125" bestFit="1" customWidth="1"/>
    <col min="24" max="24" width="12.83203125" bestFit="1" customWidth="1"/>
    <col min="25" max="25" width="15.1640625" bestFit="1" customWidth="1"/>
    <col min="41" max="41" width="15.1640625" bestFit="1" customWidth="1"/>
  </cols>
  <sheetData>
    <row r="1" spans="1:6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61</v>
      </c>
    </row>
    <row r="2" spans="1:64" x14ac:dyDescent="0.2">
      <c r="A2" s="1">
        <v>43029</v>
      </c>
      <c r="B2" t="s">
        <v>78</v>
      </c>
      <c r="C2">
        <v>4</v>
      </c>
      <c r="D2" t="s">
        <v>63</v>
      </c>
      <c r="E2" t="s">
        <v>68</v>
      </c>
      <c r="F2" t="s">
        <v>69</v>
      </c>
      <c r="G2" s="2">
        <v>0.55758101851851849</v>
      </c>
      <c r="H2">
        <v>0.56000000000000005</v>
      </c>
      <c r="I2" s="3">
        <v>0.55902777777777779</v>
      </c>
      <c r="J2" s="3">
        <v>0.57291666666666663</v>
      </c>
      <c r="K2">
        <v>1174</v>
      </c>
      <c r="L2">
        <v>1174</v>
      </c>
      <c r="M2">
        <v>1200</v>
      </c>
      <c r="N2">
        <v>0</v>
      </c>
      <c r="O2">
        <v>1200</v>
      </c>
      <c r="P2">
        <v>0</v>
      </c>
      <c r="Q2">
        <v>0</v>
      </c>
      <c r="R2">
        <v>0</v>
      </c>
      <c r="S2">
        <v>0</v>
      </c>
      <c r="T2">
        <v>1200</v>
      </c>
      <c r="U2">
        <v>1200</v>
      </c>
      <c r="V2">
        <v>0</v>
      </c>
      <c r="W2">
        <v>0</v>
      </c>
      <c r="X2">
        <v>0</v>
      </c>
      <c r="Y2">
        <v>1200</v>
      </c>
      <c r="Z2">
        <v>0</v>
      </c>
      <c r="AA2">
        <v>0</v>
      </c>
      <c r="AB2">
        <f>N2/1200</f>
        <v>0</v>
      </c>
      <c r="AC2">
        <f>O2/1200</f>
        <v>1</v>
      </c>
      <c r="AD2">
        <f>P2/1200</f>
        <v>0</v>
      </c>
      <c r="AE2">
        <f>Q2/1200</f>
        <v>0</v>
      </c>
      <c r="AF2">
        <f>R2/1200</f>
        <v>0</v>
      </c>
      <c r="AG2">
        <f>S2/1200</f>
        <v>0</v>
      </c>
      <c r="AH2">
        <v>0</v>
      </c>
      <c r="AI2">
        <v>1</v>
      </c>
      <c r="AJ2">
        <v>100</v>
      </c>
      <c r="AK2">
        <v>1</v>
      </c>
      <c r="AL2">
        <v>0</v>
      </c>
      <c r="AM2">
        <v>0</v>
      </c>
      <c r="AN2">
        <v>0</v>
      </c>
      <c r="AO2">
        <v>1</v>
      </c>
      <c r="AP2">
        <v>0</v>
      </c>
      <c r="AQ2">
        <v>0</v>
      </c>
      <c r="AR2">
        <v>0</v>
      </c>
      <c r="AS2">
        <v>29.7</v>
      </c>
      <c r="AT2">
        <v>7.4832349999999996</v>
      </c>
      <c r="AU2">
        <v>3.6623821840000002</v>
      </c>
      <c r="AV2">
        <v>6.5</v>
      </c>
      <c r="AW2">
        <v>22.5</v>
      </c>
      <c r="AX2">
        <v>29.4</v>
      </c>
      <c r="AY2">
        <v>27.8</v>
      </c>
      <c r="AZ2">
        <v>27.6</v>
      </c>
      <c r="BA2">
        <v>32.1</v>
      </c>
      <c r="BB2">
        <v>1003</v>
      </c>
      <c r="BC2">
        <v>27.7</v>
      </c>
      <c r="BD2">
        <v>3.7</v>
      </c>
      <c r="BE2">
        <v>3.2001225639999999</v>
      </c>
      <c r="BF2">
        <v>-2.57</v>
      </c>
      <c r="BG2">
        <v>16.100000000000001</v>
      </c>
      <c r="BH2">
        <v>27.03</v>
      </c>
      <c r="BI2">
        <v>25.67</v>
      </c>
      <c r="BJ2">
        <v>25.03</v>
      </c>
      <c r="BK2">
        <v>29.37</v>
      </c>
      <c r="BL2">
        <v>981.67</v>
      </c>
    </row>
    <row r="3" spans="1:64" x14ac:dyDescent="0.2">
      <c r="A3" s="1">
        <v>43029</v>
      </c>
      <c r="B3" t="s">
        <v>78</v>
      </c>
      <c r="C3">
        <v>4</v>
      </c>
      <c r="D3" t="s">
        <v>63</v>
      </c>
      <c r="E3" t="s">
        <v>70</v>
      </c>
      <c r="F3" t="s">
        <v>65</v>
      </c>
      <c r="G3" s="2">
        <v>0.56776620370370368</v>
      </c>
      <c r="H3">
        <v>0.56999999999999995</v>
      </c>
      <c r="I3" s="3">
        <v>0.56944444444444442</v>
      </c>
      <c r="J3" s="3">
        <v>0.58333333333333337</v>
      </c>
      <c r="K3">
        <v>1186</v>
      </c>
      <c r="L3">
        <v>1186</v>
      </c>
      <c r="M3">
        <v>1200</v>
      </c>
      <c r="N3">
        <v>0</v>
      </c>
      <c r="O3">
        <v>1200</v>
      </c>
      <c r="P3">
        <v>0</v>
      </c>
      <c r="Q3">
        <v>0</v>
      </c>
      <c r="R3">
        <v>0</v>
      </c>
      <c r="S3">
        <v>0</v>
      </c>
      <c r="T3">
        <v>1200</v>
      </c>
      <c r="U3">
        <v>1200</v>
      </c>
      <c r="V3">
        <v>0</v>
      </c>
      <c r="W3">
        <v>0</v>
      </c>
      <c r="X3">
        <v>0</v>
      </c>
      <c r="Y3">
        <v>1200</v>
      </c>
      <c r="Z3">
        <v>0</v>
      </c>
      <c r="AA3">
        <v>0</v>
      </c>
      <c r="AB3">
        <f>N3/1200</f>
        <v>0</v>
      </c>
      <c r="AC3">
        <f>O3/1200</f>
        <v>1</v>
      </c>
      <c r="AD3">
        <f>P3/1200</f>
        <v>0</v>
      </c>
      <c r="AE3">
        <f>Q3/1200</f>
        <v>0</v>
      </c>
      <c r="AF3">
        <f>R3/1200</f>
        <v>0</v>
      </c>
      <c r="AG3">
        <f>S3/1200</f>
        <v>0</v>
      </c>
      <c r="AH3">
        <v>0</v>
      </c>
      <c r="AI3">
        <v>1</v>
      </c>
      <c r="AJ3">
        <v>100</v>
      </c>
      <c r="AK3">
        <v>1</v>
      </c>
      <c r="AL3">
        <v>0</v>
      </c>
      <c r="AM3">
        <v>0</v>
      </c>
      <c r="AN3">
        <v>0</v>
      </c>
      <c r="AO3">
        <v>1</v>
      </c>
      <c r="AP3">
        <v>0</v>
      </c>
      <c r="AQ3">
        <v>0</v>
      </c>
      <c r="AR3">
        <v>0</v>
      </c>
      <c r="AS3">
        <v>29.7</v>
      </c>
      <c r="AT3">
        <v>7.4832349999999996</v>
      </c>
      <c r="AU3">
        <v>3.6623821840000002</v>
      </c>
      <c r="AV3">
        <v>6.5</v>
      </c>
      <c r="AW3">
        <v>22.5</v>
      </c>
      <c r="AX3">
        <v>29.4</v>
      </c>
      <c r="AY3">
        <v>27.8</v>
      </c>
      <c r="AZ3">
        <v>27.6</v>
      </c>
      <c r="BA3">
        <v>32.1</v>
      </c>
      <c r="BB3">
        <v>1003</v>
      </c>
      <c r="BC3">
        <v>28.53</v>
      </c>
      <c r="BD3">
        <v>3.68</v>
      </c>
      <c r="BE3">
        <v>3.3846295390000001</v>
      </c>
      <c r="BF3">
        <v>-2.6</v>
      </c>
      <c r="BG3">
        <v>15.57</v>
      </c>
      <c r="BH3">
        <v>28.03</v>
      </c>
      <c r="BI3">
        <v>26.6</v>
      </c>
      <c r="BJ3">
        <v>26.1</v>
      </c>
      <c r="BK3">
        <v>30.5</v>
      </c>
      <c r="BL3">
        <v>960</v>
      </c>
    </row>
    <row r="4" spans="1:64" x14ac:dyDescent="0.2">
      <c r="A4" s="1">
        <v>43030</v>
      </c>
      <c r="B4" t="s">
        <v>78</v>
      </c>
      <c r="C4">
        <v>3</v>
      </c>
      <c r="D4" t="s">
        <v>76</v>
      </c>
      <c r="E4" t="s">
        <v>84</v>
      </c>
      <c r="F4" t="s">
        <v>69</v>
      </c>
      <c r="G4" s="2">
        <v>0.50902777777777775</v>
      </c>
      <c r="H4">
        <v>0.51</v>
      </c>
      <c r="I4" s="3">
        <v>0.51041666666666663</v>
      </c>
      <c r="J4" s="3">
        <v>0.52430555555555558</v>
      </c>
      <c r="K4">
        <v>1194</v>
      </c>
      <c r="L4">
        <v>1194</v>
      </c>
      <c r="M4">
        <v>1200</v>
      </c>
      <c r="N4">
        <v>0</v>
      </c>
      <c r="O4">
        <v>1200</v>
      </c>
      <c r="P4">
        <v>0</v>
      </c>
      <c r="Q4">
        <v>0</v>
      </c>
      <c r="R4">
        <v>0</v>
      </c>
      <c r="S4">
        <v>0</v>
      </c>
      <c r="T4">
        <v>1200</v>
      </c>
      <c r="U4">
        <v>1200</v>
      </c>
      <c r="V4">
        <v>0</v>
      </c>
      <c r="W4">
        <v>0</v>
      </c>
      <c r="X4">
        <v>0</v>
      </c>
      <c r="Y4">
        <v>1200</v>
      </c>
      <c r="Z4">
        <v>0</v>
      </c>
      <c r="AA4">
        <v>0</v>
      </c>
      <c r="AB4">
        <f>N4/1200</f>
        <v>0</v>
      </c>
      <c r="AC4">
        <f>O4/1200</f>
        <v>1</v>
      </c>
      <c r="AD4">
        <f>P4/1200</f>
        <v>0</v>
      </c>
      <c r="AE4">
        <f>Q4/1200</f>
        <v>0</v>
      </c>
      <c r="AF4">
        <f>R4/1200</f>
        <v>0</v>
      </c>
      <c r="AG4">
        <f>S4/1200</f>
        <v>0</v>
      </c>
      <c r="AH4">
        <v>0</v>
      </c>
      <c r="AI4">
        <v>1</v>
      </c>
      <c r="AJ4">
        <v>100</v>
      </c>
      <c r="AK4">
        <v>1</v>
      </c>
      <c r="AL4">
        <v>0</v>
      </c>
      <c r="AM4">
        <v>0</v>
      </c>
      <c r="AN4">
        <v>0</v>
      </c>
      <c r="AO4">
        <v>1</v>
      </c>
      <c r="AP4">
        <v>0</v>
      </c>
      <c r="AQ4">
        <v>0</v>
      </c>
      <c r="AR4">
        <v>0</v>
      </c>
      <c r="AS4">
        <v>34.299999999999997</v>
      </c>
      <c r="AT4">
        <v>6.7431359999999998</v>
      </c>
      <c r="AU4">
        <v>4.9084355579999999</v>
      </c>
      <c r="AV4">
        <v>5.4</v>
      </c>
      <c r="AW4">
        <v>17.7</v>
      </c>
      <c r="AX4">
        <v>34.299999999999997</v>
      </c>
      <c r="AY4">
        <v>31.4</v>
      </c>
      <c r="AZ4">
        <v>31.4</v>
      </c>
      <c r="BA4">
        <v>35.799999999999997</v>
      </c>
      <c r="BB4">
        <v>1000</v>
      </c>
      <c r="BC4">
        <v>31.67</v>
      </c>
      <c r="BD4">
        <v>3.37</v>
      </c>
      <c r="BE4">
        <v>4.1881666199999996</v>
      </c>
      <c r="BF4">
        <v>-3.67</v>
      </c>
      <c r="BG4">
        <v>6.4</v>
      </c>
      <c r="BH4">
        <v>31.67</v>
      </c>
      <c r="BI4">
        <v>29.07</v>
      </c>
      <c r="BJ4">
        <v>29.07</v>
      </c>
      <c r="BK4">
        <v>33.93</v>
      </c>
      <c r="BL4">
        <v>793.33</v>
      </c>
    </row>
    <row r="5" spans="1:64" x14ac:dyDescent="0.2">
      <c r="A5" s="1">
        <v>43049</v>
      </c>
      <c r="B5" t="s">
        <v>78</v>
      </c>
      <c r="C5">
        <v>4</v>
      </c>
      <c r="D5" t="s">
        <v>63</v>
      </c>
      <c r="E5" t="s">
        <v>75</v>
      </c>
      <c r="F5" t="s">
        <v>69</v>
      </c>
      <c r="G5" s="2">
        <v>0.55002314814814812</v>
      </c>
      <c r="H5">
        <v>0.55000000000000004</v>
      </c>
      <c r="I5" s="3">
        <v>0.54861111111111105</v>
      </c>
      <c r="J5" s="3">
        <v>0.5625</v>
      </c>
      <c r="K5">
        <v>1196</v>
      </c>
      <c r="L5">
        <v>1196</v>
      </c>
      <c r="M5">
        <v>1200</v>
      </c>
      <c r="N5">
        <v>0</v>
      </c>
      <c r="O5">
        <v>1057.53</v>
      </c>
      <c r="P5">
        <v>0</v>
      </c>
      <c r="Q5">
        <v>142.47</v>
      </c>
      <c r="R5">
        <v>0</v>
      </c>
      <c r="S5">
        <v>0</v>
      </c>
      <c r="T5">
        <v>1200</v>
      </c>
      <c r="U5">
        <v>1200</v>
      </c>
      <c r="V5">
        <v>0</v>
      </c>
      <c r="W5">
        <v>0</v>
      </c>
      <c r="X5">
        <v>0</v>
      </c>
      <c r="Y5">
        <v>1200</v>
      </c>
      <c r="Z5">
        <v>0</v>
      </c>
      <c r="AA5">
        <v>59.2</v>
      </c>
      <c r="AB5">
        <f>N5/1200</f>
        <v>0</v>
      </c>
      <c r="AC5">
        <f>O5/1200</f>
        <v>0.88127500000000003</v>
      </c>
      <c r="AD5">
        <f>P5/1200</f>
        <v>0</v>
      </c>
      <c r="AE5">
        <f>Q5/1200</f>
        <v>0.118725</v>
      </c>
      <c r="AF5">
        <f>R5/1200</f>
        <v>0</v>
      </c>
      <c r="AG5">
        <f>S5/1200</f>
        <v>0</v>
      </c>
      <c r="AH5">
        <v>0</v>
      </c>
      <c r="AI5">
        <v>1</v>
      </c>
      <c r="AJ5">
        <v>100</v>
      </c>
      <c r="AK5">
        <v>1</v>
      </c>
      <c r="AL5">
        <v>0</v>
      </c>
      <c r="AM5">
        <v>0</v>
      </c>
      <c r="AN5">
        <v>0</v>
      </c>
      <c r="AO5">
        <v>1</v>
      </c>
      <c r="AP5">
        <v>0</v>
      </c>
      <c r="AQ5">
        <v>0.05</v>
      </c>
      <c r="AR5">
        <v>0</v>
      </c>
      <c r="AS5">
        <v>32.1</v>
      </c>
      <c r="AT5">
        <v>8.347099</v>
      </c>
      <c r="AU5">
        <v>4.1484227489999999</v>
      </c>
      <c r="AV5">
        <v>8.4</v>
      </c>
      <c r="AW5">
        <v>12.9</v>
      </c>
      <c r="AX5">
        <v>32.1</v>
      </c>
      <c r="AY5">
        <v>29.7</v>
      </c>
      <c r="AZ5">
        <v>29.7</v>
      </c>
      <c r="BA5">
        <v>34.700000000000003</v>
      </c>
      <c r="BB5">
        <v>1007</v>
      </c>
      <c r="BC5">
        <v>28.23</v>
      </c>
      <c r="BD5">
        <v>6.43</v>
      </c>
      <c r="BE5">
        <v>2.9418224940000002</v>
      </c>
      <c r="BF5">
        <v>5.13</v>
      </c>
      <c r="BG5">
        <v>10.199999999999999</v>
      </c>
      <c r="BH5">
        <v>28.17</v>
      </c>
      <c r="BI5">
        <v>26.63</v>
      </c>
      <c r="BJ5">
        <v>26.57</v>
      </c>
      <c r="BK5">
        <v>31.4</v>
      </c>
      <c r="BL5">
        <v>1003</v>
      </c>
    </row>
    <row r="6" spans="1:64" x14ac:dyDescent="0.2">
      <c r="A6" s="1">
        <v>43061</v>
      </c>
      <c r="B6" t="s">
        <v>78</v>
      </c>
      <c r="C6">
        <v>4</v>
      </c>
      <c r="D6" t="s">
        <v>63</v>
      </c>
      <c r="E6" t="s">
        <v>79</v>
      </c>
      <c r="F6" t="s">
        <v>69</v>
      </c>
      <c r="G6" s="2">
        <v>0.57652777777777775</v>
      </c>
      <c r="H6">
        <v>0.57999999999999996</v>
      </c>
      <c r="I6" s="3">
        <v>0.57638888888888895</v>
      </c>
      <c r="J6" s="3">
        <v>0.59027777777777779</v>
      </c>
      <c r="K6">
        <v>1197</v>
      </c>
      <c r="L6">
        <v>1197</v>
      </c>
      <c r="M6">
        <v>1200</v>
      </c>
      <c r="N6">
        <v>0</v>
      </c>
      <c r="O6">
        <v>1200</v>
      </c>
      <c r="P6">
        <v>0</v>
      </c>
      <c r="Q6">
        <v>0</v>
      </c>
      <c r="R6">
        <v>0</v>
      </c>
      <c r="S6">
        <v>0</v>
      </c>
      <c r="T6">
        <v>1200</v>
      </c>
      <c r="U6">
        <v>1200</v>
      </c>
      <c r="V6">
        <v>0</v>
      </c>
      <c r="W6">
        <v>0</v>
      </c>
      <c r="X6">
        <v>0</v>
      </c>
      <c r="Y6">
        <v>1200</v>
      </c>
      <c r="Z6">
        <v>0</v>
      </c>
      <c r="AA6">
        <v>0</v>
      </c>
      <c r="AB6">
        <f>N6/1200</f>
        <v>0</v>
      </c>
      <c r="AC6">
        <f>O6/1200</f>
        <v>1</v>
      </c>
      <c r="AD6">
        <f>P6/1200</f>
        <v>0</v>
      </c>
      <c r="AE6">
        <f>Q6/1200</f>
        <v>0</v>
      </c>
      <c r="AF6">
        <f>R6/1200</f>
        <v>0</v>
      </c>
      <c r="AG6">
        <f>S6/1200</f>
        <v>0</v>
      </c>
      <c r="AH6">
        <v>0</v>
      </c>
      <c r="AI6">
        <v>1</v>
      </c>
      <c r="AJ6">
        <v>100</v>
      </c>
      <c r="AK6">
        <v>1</v>
      </c>
      <c r="AL6">
        <v>0</v>
      </c>
      <c r="AM6">
        <v>0</v>
      </c>
      <c r="AN6">
        <v>0</v>
      </c>
      <c r="AO6">
        <v>1</v>
      </c>
      <c r="AP6">
        <v>0</v>
      </c>
      <c r="AQ6">
        <v>0</v>
      </c>
      <c r="AR6">
        <v>0</v>
      </c>
      <c r="AS6">
        <v>22.3</v>
      </c>
      <c r="AT6">
        <v>6.656574</v>
      </c>
      <c r="AU6">
        <v>2.1516979549999999</v>
      </c>
      <c r="AV6">
        <v>4.7</v>
      </c>
      <c r="AW6">
        <v>17.7</v>
      </c>
      <c r="AX6">
        <v>22.3</v>
      </c>
      <c r="AY6">
        <v>20.2</v>
      </c>
      <c r="AZ6">
        <v>20.2</v>
      </c>
      <c r="BA6">
        <v>24.9</v>
      </c>
      <c r="BB6">
        <v>1023</v>
      </c>
      <c r="BC6">
        <v>19.03</v>
      </c>
      <c r="BD6">
        <v>4.63</v>
      </c>
      <c r="BE6">
        <v>1.583007338</v>
      </c>
      <c r="BF6">
        <v>0.1</v>
      </c>
      <c r="BG6">
        <v>8.07</v>
      </c>
      <c r="BH6">
        <v>19.03</v>
      </c>
      <c r="BI6">
        <v>16.8</v>
      </c>
      <c r="BJ6">
        <v>16.8</v>
      </c>
      <c r="BK6">
        <v>21.07</v>
      </c>
      <c r="BL6">
        <v>1019</v>
      </c>
    </row>
    <row r="7" spans="1:64" x14ac:dyDescent="0.2">
      <c r="A7" s="1">
        <v>43065</v>
      </c>
      <c r="B7" t="s">
        <v>78</v>
      </c>
      <c r="C7">
        <v>4</v>
      </c>
      <c r="D7" t="s">
        <v>63</v>
      </c>
      <c r="E7" t="s">
        <v>82</v>
      </c>
      <c r="F7" t="s">
        <v>65</v>
      </c>
      <c r="G7" s="2">
        <v>0.59541666666666659</v>
      </c>
      <c r="H7">
        <v>0.6</v>
      </c>
      <c r="I7" s="3">
        <v>0.59722222222222221</v>
      </c>
      <c r="J7" s="3">
        <v>0.61111111111111105</v>
      </c>
      <c r="K7">
        <v>1190</v>
      </c>
      <c r="L7">
        <v>1190</v>
      </c>
      <c r="M7">
        <v>1200</v>
      </c>
      <c r="N7">
        <v>0</v>
      </c>
      <c r="O7">
        <v>1200</v>
      </c>
      <c r="P7">
        <v>0</v>
      </c>
      <c r="Q7">
        <v>0</v>
      </c>
      <c r="R7">
        <v>0</v>
      </c>
      <c r="S7">
        <v>0</v>
      </c>
      <c r="T7">
        <v>1200</v>
      </c>
      <c r="U7">
        <v>1200</v>
      </c>
      <c r="V7">
        <v>0</v>
      </c>
      <c r="W7">
        <v>0</v>
      </c>
      <c r="X7">
        <v>0</v>
      </c>
      <c r="Y7">
        <v>1200</v>
      </c>
      <c r="Z7">
        <v>643.36</v>
      </c>
      <c r="AA7">
        <v>0</v>
      </c>
      <c r="AB7">
        <f>N7/1200</f>
        <v>0</v>
      </c>
      <c r="AC7">
        <f>O7/1200</f>
        <v>1</v>
      </c>
      <c r="AD7">
        <f>P7/1200</f>
        <v>0</v>
      </c>
      <c r="AE7">
        <f>Q7/1200</f>
        <v>0</v>
      </c>
      <c r="AF7">
        <f>R7/1200</f>
        <v>0</v>
      </c>
      <c r="AG7">
        <f>S7/1200</f>
        <v>0</v>
      </c>
      <c r="AH7">
        <v>0</v>
      </c>
      <c r="AI7">
        <v>1</v>
      </c>
      <c r="AJ7">
        <v>100</v>
      </c>
      <c r="AK7">
        <v>1</v>
      </c>
      <c r="AL7">
        <v>0</v>
      </c>
      <c r="AM7">
        <v>0</v>
      </c>
      <c r="AN7">
        <v>0</v>
      </c>
      <c r="AO7">
        <v>1</v>
      </c>
      <c r="AP7">
        <v>0.54</v>
      </c>
      <c r="AQ7">
        <v>0</v>
      </c>
      <c r="AR7">
        <v>0</v>
      </c>
      <c r="AS7">
        <v>33.4</v>
      </c>
      <c r="AT7">
        <v>6.9288369999999997</v>
      </c>
      <c r="AU7">
        <v>4.5653961220000001</v>
      </c>
      <c r="AV7">
        <v>6</v>
      </c>
      <c r="AW7">
        <v>20.9</v>
      </c>
      <c r="AX7">
        <v>33.4</v>
      </c>
      <c r="AY7">
        <v>30.9</v>
      </c>
      <c r="AZ7">
        <v>30.9</v>
      </c>
      <c r="BA7">
        <v>35.9</v>
      </c>
      <c r="BB7">
        <v>1022</v>
      </c>
      <c r="BC7">
        <v>31.43</v>
      </c>
      <c r="BD7">
        <v>4.2</v>
      </c>
      <c r="BE7">
        <v>4.0114659760000002</v>
      </c>
      <c r="BF7">
        <v>-0.73</v>
      </c>
      <c r="BG7">
        <v>7.47</v>
      </c>
      <c r="BH7">
        <v>31.43</v>
      </c>
      <c r="BI7">
        <v>28.9</v>
      </c>
      <c r="BJ7">
        <v>28.9</v>
      </c>
      <c r="BK7">
        <v>33.07</v>
      </c>
      <c r="BL7">
        <v>999.67</v>
      </c>
    </row>
    <row r="8" spans="1:64" x14ac:dyDescent="0.2">
      <c r="A8" s="1">
        <v>43067</v>
      </c>
      <c r="B8" t="s">
        <v>78</v>
      </c>
      <c r="C8">
        <v>3</v>
      </c>
      <c r="D8" t="s">
        <v>76</v>
      </c>
      <c r="E8" t="s">
        <v>82</v>
      </c>
      <c r="F8" t="s">
        <v>65</v>
      </c>
      <c r="G8" s="2">
        <v>0.49451388888888892</v>
      </c>
      <c r="H8">
        <v>0.49</v>
      </c>
      <c r="I8" s="3">
        <v>0.49305555555555558</v>
      </c>
      <c r="J8" s="3">
        <v>0.50694444444444442</v>
      </c>
      <c r="K8">
        <v>1198</v>
      </c>
      <c r="L8">
        <v>1198</v>
      </c>
      <c r="M8">
        <v>1200</v>
      </c>
      <c r="N8">
        <v>0</v>
      </c>
      <c r="O8">
        <v>1200</v>
      </c>
      <c r="P8">
        <v>0</v>
      </c>
      <c r="Q8">
        <v>0</v>
      </c>
      <c r="R8">
        <v>0</v>
      </c>
      <c r="S8">
        <v>0</v>
      </c>
      <c r="T8">
        <v>1200</v>
      </c>
      <c r="U8">
        <v>1200</v>
      </c>
      <c r="V8">
        <v>0</v>
      </c>
      <c r="W8">
        <v>0</v>
      </c>
      <c r="X8">
        <v>0</v>
      </c>
      <c r="Y8">
        <v>1200</v>
      </c>
      <c r="Z8">
        <v>0</v>
      </c>
      <c r="AA8">
        <v>1200</v>
      </c>
      <c r="AB8">
        <f>N8/1200</f>
        <v>0</v>
      </c>
      <c r="AC8">
        <f>O8/1200</f>
        <v>1</v>
      </c>
      <c r="AD8">
        <f>P8/1200</f>
        <v>0</v>
      </c>
      <c r="AE8">
        <f>Q8/1200</f>
        <v>0</v>
      </c>
      <c r="AF8">
        <f>R8/1200</f>
        <v>0</v>
      </c>
      <c r="AG8">
        <f>S8/1200</f>
        <v>0</v>
      </c>
      <c r="AH8">
        <v>0</v>
      </c>
      <c r="AI8">
        <v>1</v>
      </c>
      <c r="AJ8">
        <v>100</v>
      </c>
      <c r="AK8">
        <v>1</v>
      </c>
      <c r="AL8">
        <v>0</v>
      </c>
      <c r="AM8">
        <v>0</v>
      </c>
      <c r="AN8">
        <v>0</v>
      </c>
      <c r="AO8">
        <v>1</v>
      </c>
      <c r="AP8">
        <v>0</v>
      </c>
      <c r="AQ8">
        <v>1</v>
      </c>
      <c r="AR8">
        <v>0</v>
      </c>
      <c r="AS8">
        <v>37.9</v>
      </c>
      <c r="AT8">
        <v>6.6183389999999997</v>
      </c>
      <c r="AU8">
        <v>6.1063872940000001</v>
      </c>
      <c r="AV8">
        <v>5.8</v>
      </c>
      <c r="AW8">
        <v>25.7</v>
      </c>
      <c r="AX8">
        <v>37.9</v>
      </c>
      <c r="AY8">
        <v>34.299999999999997</v>
      </c>
      <c r="AZ8">
        <v>34.299999999999997</v>
      </c>
      <c r="BA8">
        <v>39.1</v>
      </c>
      <c r="BB8">
        <v>1029</v>
      </c>
      <c r="BC8">
        <v>34.4</v>
      </c>
      <c r="BD8">
        <v>3.1</v>
      </c>
      <c r="BE8">
        <v>4.9895030220000001</v>
      </c>
      <c r="BF8">
        <v>-4.63</v>
      </c>
      <c r="BG8">
        <v>10.23</v>
      </c>
      <c r="BH8">
        <v>34.4</v>
      </c>
      <c r="BI8">
        <v>31.4</v>
      </c>
      <c r="BJ8">
        <v>31.4</v>
      </c>
      <c r="BK8">
        <v>36.369999999999997</v>
      </c>
      <c r="BL8">
        <v>955.67</v>
      </c>
    </row>
    <row r="9" spans="1:64" x14ac:dyDescent="0.2">
      <c r="A9" s="1">
        <v>43067</v>
      </c>
      <c r="B9" t="s">
        <v>78</v>
      </c>
      <c r="C9">
        <v>3</v>
      </c>
      <c r="D9" t="s">
        <v>76</v>
      </c>
      <c r="E9" t="s">
        <v>79</v>
      </c>
      <c r="F9" t="s">
        <v>69</v>
      </c>
      <c r="G9" s="2">
        <v>0.52817129629629633</v>
      </c>
      <c r="H9">
        <v>0.53</v>
      </c>
      <c r="I9" s="3">
        <v>0.52777777777777779</v>
      </c>
      <c r="J9" s="3">
        <v>0.54166666666666663</v>
      </c>
      <c r="K9">
        <v>1195</v>
      </c>
      <c r="L9">
        <v>1195</v>
      </c>
      <c r="M9">
        <v>1200</v>
      </c>
      <c r="N9">
        <v>0</v>
      </c>
      <c r="O9">
        <v>1200</v>
      </c>
      <c r="P9">
        <v>0</v>
      </c>
      <c r="Q9">
        <v>0</v>
      </c>
      <c r="R9">
        <v>0</v>
      </c>
      <c r="S9">
        <v>0</v>
      </c>
      <c r="T9">
        <v>1200</v>
      </c>
      <c r="U9">
        <v>1200</v>
      </c>
      <c r="V9">
        <v>0</v>
      </c>
      <c r="W9">
        <v>0</v>
      </c>
      <c r="X9">
        <v>0</v>
      </c>
      <c r="Y9">
        <v>1200</v>
      </c>
      <c r="Z9">
        <v>0</v>
      </c>
      <c r="AA9">
        <v>1200</v>
      </c>
      <c r="AB9">
        <f>N9/1200</f>
        <v>0</v>
      </c>
      <c r="AC9">
        <f>O9/1200</f>
        <v>1</v>
      </c>
      <c r="AD9">
        <f>P9/1200</f>
        <v>0</v>
      </c>
      <c r="AE9">
        <f>Q9/1200</f>
        <v>0</v>
      </c>
      <c r="AF9">
        <f>R9/1200</f>
        <v>0</v>
      </c>
      <c r="AG9">
        <f>S9/1200</f>
        <v>0</v>
      </c>
      <c r="AH9">
        <v>0</v>
      </c>
      <c r="AI9">
        <v>1</v>
      </c>
      <c r="AJ9">
        <v>100</v>
      </c>
      <c r="AK9">
        <v>1</v>
      </c>
      <c r="AL9">
        <v>0</v>
      </c>
      <c r="AM9">
        <v>0</v>
      </c>
      <c r="AN9">
        <v>0</v>
      </c>
      <c r="AO9">
        <v>1</v>
      </c>
      <c r="AP9">
        <v>0</v>
      </c>
      <c r="AQ9">
        <v>1</v>
      </c>
      <c r="AR9">
        <v>0</v>
      </c>
      <c r="AS9">
        <v>37.9</v>
      </c>
      <c r="AT9">
        <v>6.6183389999999997</v>
      </c>
      <c r="AU9">
        <v>6.1063872940000001</v>
      </c>
      <c r="AV9">
        <v>5.8</v>
      </c>
      <c r="AW9">
        <v>25.7</v>
      </c>
      <c r="AX9">
        <v>37.9</v>
      </c>
      <c r="AY9">
        <v>34.299999999999997</v>
      </c>
      <c r="AZ9">
        <v>34.299999999999997</v>
      </c>
      <c r="BA9">
        <v>39.1</v>
      </c>
      <c r="BB9">
        <v>1029</v>
      </c>
      <c r="BC9">
        <v>35.1</v>
      </c>
      <c r="BD9">
        <v>3.49</v>
      </c>
      <c r="BE9">
        <v>5.1475474590000001</v>
      </c>
      <c r="BF9">
        <v>-3.03</v>
      </c>
      <c r="BG9">
        <v>9.1</v>
      </c>
      <c r="BH9">
        <v>35.1</v>
      </c>
      <c r="BI9">
        <v>32.130000000000003</v>
      </c>
      <c r="BJ9">
        <v>32.130000000000003</v>
      </c>
      <c r="BK9">
        <v>37.1</v>
      </c>
      <c r="BL9">
        <v>893.33</v>
      </c>
    </row>
    <row r="10" spans="1:64" x14ac:dyDescent="0.2">
      <c r="A10" s="1">
        <v>43073</v>
      </c>
      <c r="B10" t="s">
        <v>81</v>
      </c>
      <c r="C10">
        <v>5</v>
      </c>
      <c r="D10" t="s">
        <v>63</v>
      </c>
      <c r="E10" t="s">
        <v>86</v>
      </c>
      <c r="F10" t="s">
        <v>65</v>
      </c>
      <c r="G10" s="2">
        <v>0.66881944444444441</v>
      </c>
      <c r="H10">
        <v>0.67</v>
      </c>
      <c r="I10" s="3">
        <v>0.67013888888888884</v>
      </c>
      <c r="J10" s="3">
        <v>0.68402777777777779</v>
      </c>
      <c r="K10">
        <v>1197</v>
      </c>
      <c r="L10">
        <v>1197</v>
      </c>
      <c r="M10">
        <v>1200</v>
      </c>
      <c r="N10">
        <v>0</v>
      </c>
      <c r="O10">
        <v>1200</v>
      </c>
      <c r="P10">
        <v>0</v>
      </c>
      <c r="Q10">
        <v>0</v>
      </c>
      <c r="R10">
        <v>0</v>
      </c>
      <c r="S10">
        <v>0</v>
      </c>
      <c r="T10">
        <v>1200</v>
      </c>
      <c r="U10">
        <v>1200</v>
      </c>
      <c r="V10">
        <v>0</v>
      </c>
      <c r="W10">
        <v>0</v>
      </c>
      <c r="X10">
        <v>0</v>
      </c>
      <c r="Y10">
        <v>1200</v>
      </c>
      <c r="Z10">
        <v>306.77</v>
      </c>
      <c r="AA10">
        <v>0</v>
      </c>
      <c r="AB10">
        <f>N10/1200</f>
        <v>0</v>
      </c>
      <c r="AC10">
        <f>O10/1200</f>
        <v>1</v>
      </c>
      <c r="AD10">
        <f>P10/1200</f>
        <v>0</v>
      </c>
      <c r="AE10">
        <f>Q10/1200</f>
        <v>0</v>
      </c>
      <c r="AF10">
        <f>R10/1200</f>
        <v>0</v>
      </c>
      <c r="AG10">
        <f>S10/1200</f>
        <v>0</v>
      </c>
      <c r="AH10">
        <v>0</v>
      </c>
      <c r="AI10">
        <v>1</v>
      </c>
      <c r="AJ10">
        <v>100</v>
      </c>
      <c r="AK10">
        <v>1</v>
      </c>
      <c r="AL10">
        <v>0</v>
      </c>
      <c r="AM10">
        <v>0</v>
      </c>
      <c r="AN10">
        <v>0</v>
      </c>
      <c r="AO10">
        <v>1</v>
      </c>
      <c r="AP10">
        <v>0.26</v>
      </c>
      <c r="AQ10">
        <v>0</v>
      </c>
      <c r="AR10">
        <v>0</v>
      </c>
      <c r="AS10">
        <v>32.722000000000001</v>
      </c>
      <c r="AT10">
        <v>8.5401120820000003</v>
      </c>
      <c r="AU10">
        <v>4.2902777529999998</v>
      </c>
      <c r="AV10">
        <v>8.41</v>
      </c>
      <c r="AX10">
        <v>32.345999999999997</v>
      </c>
      <c r="AY10">
        <v>30.082000000000001</v>
      </c>
      <c r="AZ10">
        <v>30.111999999999998</v>
      </c>
      <c r="BC10">
        <v>31.753</v>
      </c>
      <c r="BD10">
        <v>5.1124296390000001</v>
      </c>
      <c r="BE10">
        <v>2.9398691239999999</v>
      </c>
      <c r="BF10">
        <v>2.0099999999999998</v>
      </c>
      <c r="BH10">
        <v>27.353999999999999</v>
      </c>
      <c r="BI10">
        <v>25.486499999999999</v>
      </c>
      <c r="BJ10">
        <v>25.744</v>
      </c>
      <c r="BK10">
        <v>32.22195</v>
      </c>
      <c r="BL10">
        <v>521.79999999999995</v>
      </c>
    </row>
    <row r="11" spans="1:64" x14ac:dyDescent="0.2">
      <c r="A11" s="1">
        <v>43074</v>
      </c>
      <c r="B11" t="s">
        <v>81</v>
      </c>
      <c r="C11">
        <v>5</v>
      </c>
      <c r="D11" t="s">
        <v>76</v>
      </c>
      <c r="E11" t="s">
        <v>86</v>
      </c>
      <c r="F11" t="s">
        <v>65</v>
      </c>
      <c r="G11" s="2">
        <v>0.67076388888888883</v>
      </c>
      <c r="H11">
        <v>0.67</v>
      </c>
      <c r="I11" s="3">
        <v>0.67013888888888884</v>
      </c>
      <c r="J11" s="3">
        <v>0.68402777777777779</v>
      </c>
      <c r="K11">
        <v>1197</v>
      </c>
      <c r="L11">
        <v>1197</v>
      </c>
      <c r="M11">
        <v>1200</v>
      </c>
      <c r="N11">
        <v>0</v>
      </c>
      <c r="O11">
        <v>1200</v>
      </c>
      <c r="P11">
        <v>0</v>
      </c>
      <c r="Q11">
        <v>0</v>
      </c>
      <c r="R11">
        <v>0</v>
      </c>
      <c r="S11">
        <v>0</v>
      </c>
      <c r="T11">
        <v>1200</v>
      </c>
      <c r="U11">
        <v>1200</v>
      </c>
      <c r="V11">
        <v>0</v>
      </c>
      <c r="W11">
        <v>0</v>
      </c>
      <c r="X11">
        <v>0</v>
      </c>
      <c r="Y11">
        <v>1200</v>
      </c>
      <c r="Z11">
        <v>0</v>
      </c>
      <c r="AA11">
        <v>1200</v>
      </c>
      <c r="AB11">
        <f>N11/1200</f>
        <v>0</v>
      </c>
      <c r="AC11">
        <f>O11/1200</f>
        <v>1</v>
      </c>
      <c r="AD11">
        <f>P11/1200</f>
        <v>0</v>
      </c>
      <c r="AE11">
        <f>Q11/1200</f>
        <v>0</v>
      </c>
      <c r="AF11">
        <f>R11/1200</f>
        <v>0</v>
      </c>
      <c r="AG11">
        <f>S11/1200</f>
        <v>0</v>
      </c>
      <c r="AH11">
        <v>0</v>
      </c>
      <c r="AI11">
        <v>1</v>
      </c>
      <c r="AJ11">
        <v>100</v>
      </c>
      <c r="AK11">
        <v>1</v>
      </c>
      <c r="AL11">
        <v>0</v>
      </c>
      <c r="AM11">
        <v>0</v>
      </c>
      <c r="AN11">
        <v>0</v>
      </c>
      <c r="AO11">
        <v>1</v>
      </c>
      <c r="AP11">
        <v>0</v>
      </c>
      <c r="AQ11">
        <v>1</v>
      </c>
      <c r="AR11">
        <v>0</v>
      </c>
      <c r="AS11">
        <v>35.271999999999998</v>
      </c>
      <c r="AT11">
        <v>7.1786910830000004</v>
      </c>
      <c r="AU11">
        <v>4.968</v>
      </c>
      <c r="AV11">
        <v>6.33</v>
      </c>
      <c r="AX11">
        <v>34.746000000000002</v>
      </c>
      <c r="AY11">
        <v>32.506</v>
      </c>
      <c r="AZ11">
        <v>32.415999999999997</v>
      </c>
      <c r="BC11">
        <v>34.762</v>
      </c>
      <c r="BD11">
        <v>5.7486770390000004</v>
      </c>
      <c r="BE11">
        <v>3.8779535599999999</v>
      </c>
      <c r="BF11">
        <v>3.73</v>
      </c>
      <c r="BH11">
        <v>31.29</v>
      </c>
      <c r="BI11">
        <v>29.274000000000001</v>
      </c>
      <c r="BJ11">
        <v>29.2</v>
      </c>
      <c r="BK11">
        <v>35.682299999999998</v>
      </c>
      <c r="BL11">
        <v>512.4</v>
      </c>
    </row>
    <row r="12" spans="1:64" x14ac:dyDescent="0.2">
      <c r="A12" s="1">
        <v>43077</v>
      </c>
      <c r="B12" t="s">
        <v>78</v>
      </c>
      <c r="C12">
        <v>4</v>
      </c>
      <c r="D12" t="s">
        <v>76</v>
      </c>
      <c r="E12" t="s">
        <v>86</v>
      </c>
      <c r="F12" t="s">
        <v>65</v>
      </c>
      <c r="G12" s="2">
        <v>0.56417824074074074</v>
      </c>
      <c r="H12">
        <v>0.56000000000000005</v>
      </c>
      <c r="I12" s="3">
        <v>0.5625</v>
      </c>
      <c r="J12" s="3">
        <v>0.57638888888888895</v>
      </c>
      <c r="K12">
        <v>1196</v>
      </c>
      <c r="L12">
        <v>1196</v>
      </c>
      <c r="M12">
        <v>1200</v>
      </c>
      <c r="N12">
        <v>0</v>
      </c>
      <c r="O12">
        <v>1200</v>
      </c>
      <c r="P12">
        <v>0</v>
      </c>
      <c r="Q12">
        <v>0</v>
      </c>
      <c r="R12">
        <v>0</v>
      </c>
      <c r="S12">
        <v>0</v>
      </c>
      <c r="T12">
        <v>1200</v>
      </c>
      <c r="U12">
        <v>1200</v>
      </c>
      <c r="V12">
        <v>0</v>
      </c>
      <c r="W12">
        <v>0</v>
      </c>
      <c r="X12">
        <v>0</v>
      </c>
      <c r="Y12">
        <v>1200</v>
      </c>
      <c r="Z12">
        <v>1005.35</v>
      </c>
      <c r="AA12">
        <v>1200</v>
      </c>
      <c r="AB12">
        <f>N12/1200</f>
        <v>0</v>
      </c>
      <c r="AC12">
        <f>O12/1200</f>
        <v>1</v>
      </c>
      <c r="AD12">
        <f>P12/1200</f>
        <v>0</v>
      </c>
      <c r="AE12">
        <f>Q12/1200</f>
        <v>0</v>
      </c>
      <c r="AF12">
        <f>R12/1200</f>
        <v>0</v>
      </c>
      <c r="AG12">
        <f>S12/1200</f>
        <v>0</v>
      </c>
      <c r="AH12">
        <v>0</v>
      </c>
      <c r="AI12">
        <v>1</v>
      </c>
      <c r="AJ12">
        <v>100</v>
      </c>
      <c r="AK12">
        <v>1</v>
      </c>
      <c r="AL12">
        <v>0</v>
      </c>
      <c r="AM12">
        <v>0</v>
      </c>
      <c r="AN12">
        <v>0</v>
      </c>
      <c r="AO12">
        <v>1</v>
      </c>
      <c r="AP12">
        <v>0.84</v>
      </c>
      <c r="AQ12">
        <v>1</v>
      </c>
      <c r="AR12">
        <v>0</v>
      </c>
      <c r="AS12">
        <v>37.21</v>
      </c>
      <c r="AT12">
        <v>9.7431214090000005</v>
      </c>
      <c r="AU12">
        <v>5.3390000000000004</v>
      </c>
      <c r="AV12">
        <v>10.81</v>
      </c>
      <c r="AX12">
        <v>36.57</v>
      </c>
      <c r="AY12">
        <v>35.435000000000002</v>
      </c>
      <c r="AZ12">
        <v>35.200000000000003</v>
      </c>
      <c r="BC12">
        <v>35.68</v>
      </c>
      <c r="BD12">
        <v>7.5281824789999998</v>
      </c>
      <c r="BE12">
        <v>4.7552791970000001</v>
      </c>
      <c r="BF12">
        <v>7.89</v>
      </c>
      <c r="BH12">
        <v>35.130000000000003</v>
      </c>
      <c r="BI12">
        <v>33.616999999999997</v>
      </c>
      <c r="BJ12">
        <v>33.472000000000001</v>
      </c>
      <c r="BK12">
        <v>36.738</v>
      </c>
      <c r="BL12">
        <v>882.1</v>
      </c>
    </row>
    <row r="13" spans="1:64" x14ac:dyDescent="0.2">
      <c r="A13" s="1">
        <v>43077</v>
      </c>
      <c r="B13" t="s">
        <v>78</v>
      </c>
      <c r="C13">
        <v>4</v>
      </c>
      <c r="D13" t="s">
        <v>76</v>
      </c>
      <c r="E13" t="s">
        <v>71</v>
      </c>
      <c r="F13" t="s">
        <v>69</v>
      </c>
      <c r="G13" s="2">
        <v>0.58832175925925922</v>
      </c>
      <c r="H13">
        <v>0.59</v>
      </c>
      <c r="I13" s="3">
        <v>0.58680555555555558</v>
      </c>
      <c r="J13" s="3">
        <v>0.60069444444444442</v>
      </c>
      <c r="K13">
        <v>1195</v>
      </c>
      <c r="L13">
        <v>1195</v>
      </c>
      <c r="M13">
        <v>1200</v>
      </c>
      <c r="N13">
        <v>0</v>
      </c>
      <c r="O13">
        <v>1200</v>
      </c>
      <c r="P13">
        <v>0</v>
      </c>
      <c r="Q13">
        <v>0</v>
      </c>
      <c r="R13">
        <v>0</v>
      </c>
      <c r="S13">
        <v>0</v>
      </c>
      <c r="T13">
        <v>1200</v>
      </c>
      <c r="U13">
        <v>1200</v>
      </c>
      <c r="V13">
        <v>0</v>
      </c>
      <c r="W13">
        <v>0</v>
      </c>
      <c r="X13">
        <v>0</v>
      </c>
      <c r="Y13">
        <v>1200</v>
      </c>
      <c r="Z13">
        <v>1200</v>
      </c>
      <c r="AA13">
        <v>1200</v>
      </c>
      <c r="AB13">
        <f>N13/1200</f>
        <v>0</v>
      </c>
      <c r="AC13">
        <f>O13/1200</f>
        <v>1</v>
      </c>
      <c r="AD13">
        <f>P13/1200</f>
        <v>0</v>
      </c>
      <c r="AE13">
        <f>Q13/1200</f>
        <v>0</v>
      </c>
      <c r="AF13">
        <f>R13/1200</f>
        <v>0</v>
      </c>
      <c r="AG13">
        <f>S13/1200</f>
        <v>0</v>
      </c>
      <c r="AH13">
        <v>0</v>
      </c>
      <c r="AI13">
        <v>1</v>
      </c>
      <c r="AJ13">
        <v>100</v>
      </c>
      <c r="AK13">
        <v>1</v>
      </c>
      <c r="AL13">
        <v>0</v>
      </c>
      <c r="AM13">
        <v>0</v>
      </c>
      <c r="AN13">
        <v>0</v>
      </c>
      <c r="AO13">
        <v>1</v>
      </c>
      <c r="AP13">
        <v>1</v>
      </c>
      <c r="AQ13">
        <v>1</v>
      </c>
      <c r="AR13">
        <v>0</v>
      </c>
      <c r="AS13">
        <v>37.21</v>
      </c>
      <c r="AT13">
        <v>9.7431214090000005</v>
      </c>
      <c r="AU13">
        <v>5.3390000000000004</v>
      </c>
      <c r="AV13">
        <v>10.81</v>
      </c>
      <c r="AX13">
        <v>36.57</v>
      </c>
      <c r="AY13">
        <v>35.435000000000002</v>
      </c>
      <c r="AZ13">
        <v>35.200000000000003</v>
      </c>
      <c r="BC13">
        <v>36.088000000000001</v>
      </c>
      <c r="BD13">
        <v>7.5281824789999998</v>
      </c>
      <c r="BE13">
        <v>4.916154497</v>
      </c>
      <c r="BF13">
        <v>7.49</v>
      </c>
      <c r="BH13">
        <v>35.514000000000003</v>
      </c>
      <c r="BI13">
        <v>33.970500000000001</v>
      </c>
      <c r="BJ13">
        <v>33.808</v>
      </c>
      <c r="BK13">
        <v>37.2072</v>
      </c>
      <c r="BL13">
        <v>830.23</v>
      </c>
    </row>
    <row r="14" spans="1:64" x14ac:dyDescent="0.2">
      <c r="A14" s="1">
        <v>43078</v>
      </c>
      <c r="B14" t="s">
        <v>62</v>
      </c>
      <c r="C14">
        <v>2</v>
      </c>
      <c r="D14" t="s">
        <v>76</v>
      </c>
      <c r="E14" t="s">
        <v>86</v>
      </c>
      <c r="F14" t="s">
        <v>65</v>
      </c>
      <c r="G14" s="2">
        <v>0.39903935185185185</v>
      </c>
      <c r="H14">
        <v>0.4</v>
      </c>
      <c r="I14" s="3">
        <v>0.39930555555555558</v>
      </c>
      <c r="J14" s="3">
        <v>0.41319444444444442</v>
      </c>
      <c r="K14">
        <v>1194</v>
      </c>
      <c r="L14">
        <v>1194</v>
      </c>
      <c r="M14">
        <v>1200</v>
      </c>
      <c r="N14">
        <v>0</v>
      </c>
      <c r="O14">
        <v>1200</v>
      </c>
      <c r="P14">
        <v>0</v>
      </c>
      <c r="Q14">
        <v>0</v>
      </c>
      <c r="R14">
        <v>0</v>
      </c>
      <c r="S14">
        <v>0</v>
      </c>
      <c r="T14">
        <v>1200</v>
      </c>
      <c r="U14">
        <v>1200</v>
      </c>
      <c r="V14">
        <v>0</v>
      </c>
      <c r="W14">
        <v>0</v>
      </c>
      <c r="X14">
        <v>0</v>
      </c>
      <c r="Y14">
        <v>1200</v>
      </c>
      <c r="Z14">
        <v>0</v>
      </c>
      <c r="AA14">
        <v>1161.81</v>
      </c>
      <c r="AB14">
        <f>N14/1200</f>
        <v>0</v>
      </c>
      <c r="AC14">
        <f>O14/1200</f>
        <v>1</v>
      </c>
      <c r="AD14">
        <f>P14/1200</f>
        <v>0</v>
      </c>
      <c r="AE14">
        <f>Q14/1200</f>
        <v>0</v>
      </c>
      <c r="AF14">
        <f>R14/1200</f>
        <v>0</v>
      </c>
      <c r="AG14">
        <f>S14/1200</f>
        <v>0</v>
      </c>
      <c r="AH14">
        <v>0</v>
      </c>
      <c r="AI14">
        <v>1</v>
      </c>
      <c r="AJ14">
        <v>100</v>
      </c>
      <c r="AK14">
        <v>1</v>
      </c>
      <c r="AL14">
        <v>0</v>
      </c>
      <c r="AM14">
        <v>0</v>
      </c>
      <c r="AN14">
        <v>0</v>
      </c>
      <c r="AO14">
        <v>1</v>
      </c>
      <c r="AP14">
        <v>0</v>
      </c>
      <c r="AQ14">
        <v>0.97</v>
      </c>
      <c r="AR14">
        <v>0</v>
      </c>
      <c r="AS14">
        <v>37.619999999999997</v>
      </c>
      <c r="AT14">
        <v>8.6885420769999993</v>
      </c>
      <c r="AU14">
        <v>5.7210000000000001</v>
      </c>
      <c r="AV14">
        <v>8.9700000000000006</v>
      </c>
      <c r="AX14">
        <v>36.950000000000003</v>
      </c>
      <c r="AY14">
        <v>34.729999999999997</v>
      </c>
      <c r="AZ14">
        <v>34.619999999999997</v>
      </c>
      <c r="BC14">
        <v>30.222999999999999</v>
      </c>
      <c r="BD14">
        <v>7.704451422</v>
      </c>
      <c r="BE14">
        <v>3.244681693</v>
      </c>
      <c r="BF14">
        <v>7.57</v>
      </c>
      <c r="BH14">
        <v>29.466000000000001</v>
      </c>
      <c r="BI14">
        <v>28.6175</v>
      </c>
      <c r="BJ14">
        <v>28.192</v>
      </c>
      <c r="BK14">
        <v>30.46245</v>
      </c>
      <c r="BL14">
        <v>643.03</v>
      </c>
    </row>
    <row r="15" spans="1:64" x14ac:dyDescent="0.2">
      <c r="A15" s="1">
        <v>43078</v>
      </c>
      <c r="B15" t="s">
        <v>78</v>
      </c>
      <c r="C15">
        <v>4</v>
      </c>
      <c r="D15" t="s">
        <v>76</v>
      </c>
      <c r="E15" t="s">
        <v>87</v>
      </c>
      <c r="F15" t="s">
        <v>65</v>
      </c>
      <c r="G15" s="2">
        <v>0.5658333333333333</v>
      </c>
      <c r="H15">
        <v>0.56999999999999995</v>
      </c>
      <c r="I15" s="3">
        <v>0.56597222222222221</v>
      </c>
      <c r="J15" s="3">
        <v>0.57986111111111105</v>
      </c>
      <c r="K15">
        <v>1195</v>
      </c>
      <c r="L15">
        <v>1195</v>
      </c>
      <c r="M15">
        <v>1200</v>
      </c>
      <c r="N15">
        <v>0</v>
      </c>
      <c r="O15">
        <v>1200</v>
      </c>
      <c r="P15">
        <v>0</v>
      </c>
      <c r="Q15">
        <v>0</v>
      </c>
      <c r="R15">
        <v>0</v>
      </c>
      <c r="S15">
        <v>0</v>
      </c>
      <c r="T15">
        <v>1200</v>
      </c>
      <c r="U15">
        <v>1200</v>
      </c>
      <c r="V15">
        <v>0</v>
      </c>
      <c r="W15">
        <v>0</v>
      </c>
      <c r="X15">
        <v>0</v>
      </c>
      <c r="Y15">
        <v>1200</v>
      </c>
      <c r="Z15">
        <v>1200</v>
      </c>
      <c r="AA15">
        <v>1029.29</v>
      </c>
      <c r="AB15">
        <f>N15/1200</f>
        <v>0</v>
      </c>
      <c r="AC15">
        <f>O15/1200</f>
        <v>1</v>
      </c>
      <c r="AD15">
        <f>P15/1200</f>
        <v>0</v>
      </c>
      <c r="AE15">
        <f>Q15/1200</f>
        <v>0</v>
      </c>
      <c r="AF15">
        <f>R15/1200</f>
        <v>0</v>
      </c>
      <c r="AG15">
        <f>S15/1200</f>
        <v>0</v>
      </c>
      <c r="AH15">
        <v>0</v>
      </c>
      <c r="AI15">
        <v>1</v>
      </c>
      <c r="AJ15">
        <v>100</v>
      </c>
      <c r="AK15">
        <v>1</v>
      </c>
      <c r="AL15">
        <v>0</v>
      </c>
      <c r="AM15">
        <v>0</v>
      </c>
      <c r="AN15">
        <v>0</v>
      </c>
      <c r="AO15">
        <v>1</v>
      </c>
      <c r="AP15">
        <v>1</v>
      </c>
      <c r="AQ15">
        <v>0.86</v>
      </c>
      <c r="AR15">
        <v>0</v>
      </c>
      <c r="AS15">
        <v>37.619999999999997</v>
      </c>
      <c r="AT15">
        <v>8.6885420769999993</v>
      </c>
      <c r="AU15">
        <v>5.7210000000000001</v>
      </c>
      <c r="AV15">
        <v>8.9700000000000006</v>
      </c>
      <c r="AX15">
        <v>36.950000000000003</v>
      </c>
      <c r="AY15">
        <v>34.729999999999997</v>
      </c>
      <c r="AZ15">
        <v>34.619999999999997</v>
      </c>
      <c r="BC15">
        <v>35.017000000000003</v>
      </c>
      <c r="BD15">
        <v>6.2868097909999996</v>
      </c>
      <c r="BE15">
        <v>4.7363183510000004</v>
      </c>
      <c r="BF15">
        <v>5.05</v>
      </c>
      <c r="BH15">
        <v>34.506</v>
      </c>
      <c r="BI15">
        <v>32.707999999999998</v>
      </c>
      <c r="BJ15">
        <v>32.607999999999997</v>
      </c>
      <c r="BK15">
        <v>35.975549999999998</v>
      </c>
      <c r="BL15">
        <v>879.26</v>
      </c>
    </row>
    <row r="16" spans="1:64" x14ac:dyDescent="0.2">
      <c r="A16" s="1">
        <v>43080</v>
      </c>
      <c r="B16" t="s">
        <v>78</v>
      </c>
      <c r="C16">
        <v>4</v>
      </c>
      <c r="D16" t="s">
        <v>76</v>
      </c>
      <c r="E16" t="s">
        <v>86</v>
      </c>
      <c r="F16" t="s">
        <v>65</v>
      </c>
      <c r="G16" s="2">
        <v>0.57597222222222222</v>
      </c>
      <c r="H16">
        <v>0.57999999999999996</v>
      </c>
      <c r="I16" s="3">
        <v>0.57638888888888895</v>
      </c>
      <c r="J16" s="3">
        <v>0.59027777777777779</v>
      </c>
      <c r="K16">
        <v>1196</v>
      </c>
      <c r="L16">
        <v>1196</v>
      </c>
      <c r="M16">
        <v>1200</v>
      </c>
      <c r="N16">
        <v>0</v>
      </c>
      <c r="O16">
        <v>1200</v>
      </c>
      <c r="P16">
        <v>0</v>
      </c>
      <c r="Q16">
        <v>0</v>
      </c>
      <c r="R16">
        <v>0</v>
      </c>
      <c r="S16">
        <v>0</v>
      </c>
      <c r="T16">
        <v>1200</v>
      </c>
      <c r="U16">
        <v>1200</v>
      </c>
      <c r="V16">
        <v>0</v>
      </c>
      <c r="W16">
        <v>0</v>
      </c>
      <c r="X16">
        <v>0</v>
      </c>
      <c r="Y16">
        <v>1200</v>
      </c>
      <c r="Z16">
        <v>0</v>
      </c>
      <c r="AA16">
        <v>1200</v>
      </c>
      <c r="AB16">
        <f>N16/1200</f>
        <v>0</v>
      </c>
      <c r="AC16">
        <f>O16/1200</f>
        <v>1</v>
      </c>
      <c r="AD16">
        <f>P16/1200</f>
        <v>0</v>
      </c>
      <c r="AE16">
        <f>Q16/1200</f>
        <v>0</v>
      </c>
      <c r="AF16">
        <f>R16/1200</f>
        <v>0</v>
      </c>
      <c r="AG16">
        <f>S16/1200</f>
        <v>0</v>
      </c>
      <c r="AH16">
        <v>0</v>
      </c>
      <c r="AI16">
        <v>1</v>
      </c>
      <c r="AJ16">
        <v>100</v>
      </c>
      <c r="AK16">
        <v>1</v>
      </c>
      <c r="AL16">
        <v>0</v>
      </c>
      <c r="AM16">
        <v>0</v>
      </c>
      <c r="AN16">
        <v>0</v>
      </c>
      <c r="AO16">
        <v>1</v>
      </c>
      <c r="AP16">
        <v>0</v>
      </c>
      <c r="AQ16">
        <v>1</v>
      </c>
      <c r="AR16">
        <v>0</v>
      </c>
      <c r="AS16">
        <v>34.049999999999997</v>
      </c>
      <c r="AT16">
        <v>5.7162596519999997</v>
      </c>
      <c r="AU16">
        <v>4.7439999999999998</v>
      </c>
      <c r="AV16">
        <v>3.29</v>
      </c>
      <c r="AX16">
        <v>33.590000000000003</v>
      </c>
      <c r="AY16">
        <v>31.19</v>
      </c>
      <c r="AZ16">
        <v>31.17</v>
      </c>
      <c r="BC16">
        <v>30.512</v>
      </c>
      <c r="BD16">
        <v>3.455109899</v>
      </c>
      <c r="BE16">
        <v>3.8780000000000001</v>
      </c>
      <c r="BF16">
        <v>-3.27</v>
      </c>
      <c r="BH16">
        <v>30.106000000000002</v>
      </c>
      <c r="BI16">
        <v>28.129333330000001</v>
      </c>
      <c r="BJ16">
        <v>28.128</v>
      </c>
      <c r="BK16">
        <v>30.794799999999999</v>
      </c>
      <c r="BL16">
        <v>859.53</v>
      </c>
    </row>
    <row r="17" spans="1:64" x14ac:dyDescent="0.2">
      <c r="A17" s="1">
        <v>43486</v>
      </c>
      <c r="B17" t="s">
        <v>78</v>
      </c>
      <c r="C17">
        <v>3</v>
      </c>
      <c r="D17" t="s">
        <v>76</v>
      </c>
      <c r="E17" t="s">
        <v>92</v>
      </c>
      <c r="F17" t="s">
        <v>65</v>
      </c>
      <c r="G17" s="2">
        <v>0.53054398148148152</v>
      </c>
      <c r="H17">
        <v>0.53</v>
      </c>
      <c r="I17" s="3">
        <v>0.52777777777777779</v>
      </c>
      <c r="J17" s="3">
        <v>0.54166666666666663</v>
      </c>
      <c r="K17">
        <v>1194</v>
      </c>
      <c r="L17">
        <v>1194</v>
      </c>
      <c r="M17">
        <v>1200</v>
      </c>
      <c r="N17">
        <v>0</v>
      </c>
      <c r="O17">
        <v>1191.96</v>
      </c>
      <c r="P17">
        <v>8.0399999999999991</v>
      </c>
      <c r="Q17">
        <v>0</v>
      </c>
      <c r="R17">
        <v>0</v>
      </c>
      <c r="S17">
        <v>0</v>
      </c>
      <c r="T17">
        <v>1200</v>
      </c>
      <c r="U17">
        <v>1200</v>
      </c>
      <c r="V17">
        <v>0</v>
      </c>
      <c r="W17">
        <v>0</v>
      </c>
      <c r="X17">
        <v>0</v>
      </c>
      <c r="Y17">
        <v>1200</v>
      </c>
      <c r="Z17">
        <v>769.85</v>
      </c>
      <c r="AA17">
        <v>833.17</v>
      </c>
      <c r="AB17">
        <f>N17/1200</f>
        <v>0</v>
      </c>
      <c r="AC17">
        <f>O17/1200</f>
        <v>0.99330000000000007</v>
      </c>
      <c r="AD17">
        <f>P17/1200</f>
        <v>6.6999999999999994E-3</v>
      </c>
      <c r="AE17">
        <f>Q17/1200</f>
        <v>0</v>
      </c>
      <c r="AF17">
        <f>R17/1200</f>
        <v>0</v>
      </c>
      <c r="AG17">
        <f>S17/1200</f>
        <v>0</v>
      </c>
      <c r="AH17">
        <v>0</v>
      </c>
      <c r="AI17">
        <v>1</v>
      </c>
      <c r="AJ17">
        <v>100</v>
      </c>
      <c r="AK17">
        <v>1</v>
      </c>
      <c r="AL17">
        <v>0</v>
      </c>
      <c r="AM17">
        <v>0</v>
      </c>
      <c r="AN17">
        <v>0</v>
      </c>
      <c r="AO17">
        <v>1</v>
      </c>
      <c r="AP17">
        <v>0.64</v>
      </c>
      <c r="AQ17">
        <v>0.69</v>
      </c>
      <c r="AR17">
        <v>0</v>
      </c>
      <c r="AS17">
        <v>38.200000000000003</v>
      </c>
      <c r="AT17">
        <v>4.6738784029999998</v>
      </c>
      <c r="AU17">
        <v>6.3429094299999997</v>
      </c>
      <c r="AV17">
        <v>0.8</v>
      </c>
      <c r="AW17">
        <v>25.7</v>
      </c>
      <c r="AX17">
        <v>38.200000000000003</v>
      </c>
      <c r="AY17">
        <v>34.4</v>
      </c>
      <c r="AZ17">
        <v>34.4</v>
      </c>
      <c r="BA17">
        <v>39.6</v>
      </c>
      <c r="BB17">
        <v>1007</v>
      </c>
      <c r="BC17">
        <v>36.866666670000001</v>
      </c>
      <c r="BD17">
        <v>1.9063503079999999</v>
      </c>
      <c r="BE17">
        <v>5.9412501779999998</v>
      </c>
      <c r="BF17">
        <v>-10.866666670000001</v>
      </c>
      <c r="BG17">
        <v>15.56666667</v>
      </c>
      <c r="BH17">
        <v>36.866666670000001</v>
      </c>
      <c r="BI17">
        <v>32.933333330000004</v>
      </c>
      <c r="BJ17">
        <v>32.933333330000004</v>
      </c>
      <c r="BK17">
        <v>36.333333330000002</v>
      </c>
      <c r="BL17">
        <v>1003.333333</v>
      </c>
    </row>
    <row r="18" spans="1:64" x14ac:dyDescent="0.2">
      <c r="A18" s="1">
        <v>43493</v>
      </c>
      <c r="B18" t="s">
        <v>78</v>
      </c>
      <c r="C18">
        <v>4</v>
      </c>
      <c r="D18" t="s">
        <v>76</v>
      </c>
      <c r="E18" t="s">
        <v>93</v>
      </c>
      <c r="F18" t="s">
        <v>65</v>
      </c>
      <c r="G18" s="2">
        <v>0.59040509259259266</v>
      </c>
      <c r="H18">
        <v>0.59</v>
      </c>
      <c r="I18" s="3">
        <v>0.59027777777777779</v>
      </c>
      <c r="J18" s="3">
        <v>0.60416666666666663</v>
      </c>
      <c r="K18">
        <v>1193</v>
      </c>
      <c r="L18">
        <v>1193</v>
      </c>
      <c r="M18">
        <v>1200</v>
      </c>
      <c r="N18">
        <v>0</v>
      </c>
      <c r="O18">
        <v>1174.8499999999999</v>
      </c>
      <c r="P18">
        <v>0</v>
      </c>
      <c r="Q18">
        <v>0</v>
      </c>
      <c r="R18">
        <v>25.15</v>
      </c>
      <c r="S18">
        <v>0</v>
      </c>
      <c r="T18">
        <v>1200</v>
      </c>
      <c r="U18">
        <v>1200</v>
      </c>
      <c r="V18">
        <v>0</v>
      </c>
      <c r="W18">
        <v>0</v>
      </c>
      <c r="X18">
        <v>0</v>
      </c>
      <c r="Y18">
        <v>1200</v>
      </c>
      <c r="Z18">
        <v>931.43</v>
      </c>
      <c r="AA18">
        <v>1174.8499999999999</v>
      </c>
      <c r="AB18">
        <f>N18/1200</f>
        <v>0</v>
      </c>
      <c r="AC18">
        <f>O18/1200</f>
        <v>0.97904166666666659</v>
      </c>
      <c r="AD18">
        <f>P18/1200</f>
        <v>0</v>
      </c>
      <c r="AE18">
        <f>Q18/1200</f>
        <v>0</v>
      </c>
      <c r="AF18">
        <f>R18/1200</f>
        <v>2.0958333333333332E-2</v>
      </c>
      <c r="AG18">
        <f>S18/1200</f>
        <v>0</v>
      </c>
      <c r="AH18">
        <v>0</v>
      </c>
      <c r="AI18">
        <v>1</v>
      </c>
      <c r="AJ18">
        <v>100</v>
      </c>
      <c r="AK18">
        <v>1</v>
      </c>
      <c r="AL18">
        <v>0</v>
      </c>
      <c r="AM18">
        <v>0</v>
      </c>
      <c r="AN18">
        <v>0</v>
      </c>
      <c r="AO18">
        <v>1</v>
      </c>
      <c r="AP18">
        <v>0.78</v>
      </c>
      <c r="AQ18">
        <v>0.98</v>
      </c>
      <c r="AR18">
        <v>0</v>
      </c>
      <c r="AS18">
        <v>40.299999999999997</v>
      </c>
      <c r="AT18">
        <v>8.0754809999999999</v>
      </c>
      <c r="AU18">
        <v>6.871343714</v>
      </c>
      <c r="AV18">
        <v>8.8000000000000007</v>
      </c>
      <c r="AW18">
        <v>29</v>
      </c>
      <c r="AX18">
        <v>40.299999999999997</v>
      </c>
      <c r="AY18">
        <v>37.4</v>
      </c>
      <c r="AZ18">
        <v>37.4</v>
      </c>
      <c r="BA18">
        <v>42.8</v>
      </c>
      <c r="BB18">
        <v>987</v>
      </c>
      <c r="BC18">
        <v>38.9</v>
      </c>
      <c r="BD18">
        <v>4.4029766290000003</v>
      </c>
      <c r="BE18">
        <v>6.3076676770000004</v>
      </c>
      <c r="BF18">
        <v>0.3</v>
      </c>
      <c r="BG18">
        <v>9.1333333329999995</v>
      </c>
      <c r="BH18">
        <v>38.9</v>
      </c>
      <c r="BI18">
        <v>35.666666669999998</v>
      </c>
      <c r="BJ18">
        <v>35.666666669999998</v>
      </c>
      <c r="BK18">
        <v>40.299999999999997</v>
      </c>
      <c r="BL18">
        <v>940.33333330000005</v>
      </c>
    </row>
    <row r="19" spans="1:64" x14ac:dyDescent="0.2">
      <c r="A19" s="1">
        <v>43502</v>
      </c>
      <c r="B19" t="s">
        <v>78</v>
      </c>
      <c r="C19">
        <v>4</v>
      </c>
      <c r="D19" t="s">
        <v>76</v>
      </c>
      <c r="E19" t="s">
        <v>94</v>
      </c>
      <c r="F19" t="s">
        <v>69</v>
      </c>
      <c r="G19" s="2">
        <v>0.59944444444444445</v>
      </c>
      <c r="H19">
        <v>0.6</v>
      </c>
      <c r="I19" s="3">
        <v>0.59722222222222221</v>
      </c>
      <c r="J19" s="3">
        <v>0.61111111111111105</v>
      </c>
      <c r="K19">
        <v>1197</v>
      </c>
      <c r="L19">
        <v>1197</v>
      </c>
      <c r="M19">
        <v>1200</v>
      </c>
      <c r="N19">
        <v>0</v>
      </c>
      <c r="O19">
        <v>1200</v>
      </c>
      <c r="P19">
        <v>0</v>
      </c>
      <c r="Q19">
        <v>0</v>
      </c>
      <c r="R19">
        <v>0</v>
      </c>
      <c r="S19">
        <v>0</v>
      </c>
      <c r="T19">
        <v>1200</v>
      </c>
      <c r="U19">
        <v>1200</v>
      </c>
      <c r="V19">
        <v>0</v>
      </c>
      <c r="W19">
        <v>0</v>
      </c>
      <c r="X19">
        <v>0</v>
      </c>
      <c r="Y19">
        <v>1200</v>
      </c>
      <c r="Z19">
        <v>1170.93</v>
      </c>
      <c r="AA19">
        <v>1200</v>
      </c>
      <c r="AB19">
        <f>N19/1200</f>
        <v>0</v>
      </c>
      <c r="AC19">
        <f>O19/1200</f>
        <v>1</v>
      </c>
      <c r="AD19">
        <f>P19/1200</f>
        <v>0</v>
      </c>
      <c r="AE19">
        <f>Q19/1200</f>
        <v>0</v>
      </c>
      <c r="AF19">
        <f>R19/1200</f>
        <v>0</v>
      </c>
      <c r="AG19">
        <f>S19/1200</f>
        <v>0</v>
      </c>
      <c r="AH19">
        <v>0</v>
      </c>
      <c r="AI19">
        <v>1</v>
      </c>
      <c r="AJ19">
        <v>100</v>
      </c>
      <c r="AK19">
        <v>1</v>
      </c>
      <c r="AL19">
        <v>0</v>
      </c>
      <c r="AM19">
        <v>0</v>
      </c>
      <c r="AN19">
        <v>0</v>
      </c>
      <c r="AO19">
        <v>1</v>
      </c>
      <c r="AP19">
        <v>0.98</v>
      </c>
      <c r="AQ19">
        <v>1</v>
      </c>
      <c r="AR19">
        <v>0</v>
      </c>
      <c r="AS19">
        <v>40.200000000000003</v>
      </c>
      <c r="AT19">
        <v>8.4136463599999995</v>
      </c>
      <c r="AU19">
        <v>6.6483917379999999</v>
      </c>
      <c r="AV19">
        <v>7.4412188370000001</v>
      </c>
      <c r="AW19">
        <v>27.4</v>
      </c>
      <c r="AX19">
        <v>40.200000000000003</v>
      </c>
      <c r="AY19">
        <v>37.299999999999997</v>
      </c>
      <c r="AZ19">
        <v>37.299999999999997</v>
      </c>
      <c r="BA19">
        <v>43.7</v>
      </c>
      <c r="BB19">
        <v>970</v>
      </c>
      <c r="BC19">
        <v>39.200000000000003</v>
      </c>
      <c r="BD19">
        <v>5.4517605720000004</v>
      </c>
      <c r="BE19">
        <v>6.2697725399999999</v>
      </c>
      <c r="BF19">
        <v>3.3</v>
      </c>
      <c r="BG19">
        <v>9.6333333329999995</v>
      </c>
      <c r="BH19">
        <v>39.200000000000003</v>
      </c>
      <c r="BI19">
        <v>36.333333330000002</v>
      </c>
      <c r="BJ19">
        <v>36.366666670000001</v>
      </c>
      <c r="BK19">
        <v>41.133333329999999</v>
      </c>
      <c r="BL19">
        <v>912.66666669999995</v>
      </c>
    </row>
    <row r="20" spans="1:64" x14ac:dyDescent="0.2">
      <c r="A20" s="1">
        <v>43502</v>
      </c>
      <c r="B20" t="s">
        <v>78</v>
      </c>
      <c r="C20">
        <v>4</v>
      </c>
      <c r="D20" t="s">
        <v>76</v>
      </c>
      <c r="E20" t="s">
        <v>93</v>
      </c>
      <c r="F20" t="s">
        <v>65</v>
      </c>
      <c r="G20" s="2">
        <v>0.61373842592592587</v>
      </c>
      <c r="H20">
        <v>0.61</v>
      </c>
      <c r="I20" s="3">
        <v>0.61111111111111105</v>
      </c>
      <c r="J20" s="3">
        <v>0.625</v>
      </c>
      <c r="K20">
        <v>1194</v>
      </c>
      <c r="L20">
        <v>1194</v>
      </c>
      <c r="M20">
        <v>1200</v>
      </c>
      <c r="N20">
        <v>0</v>
      </c>
      <c r="O20">
        <v>1200</v>
      </c>
      <c r="P20">
        <v>0</v>
      </c>
      <c r="Q20">
        <v>0</v>
      </c>
      <c r="R20">
        <v>0</v>
      </c>
      <c r="S20">
        <v>0</v>
      </c>
      <c r="T20">
        <v>1200</v>
      </c>
      <c r="U20">
        <v>1200</v>
      </c>
      <c r="V20">
        <v>0</v>
      </c>
      <c r="W20">
        <v>0</v>
      </c>
      <c r="X20">
        <v>0</v>
      </c>
      <c r="Y20">
        <v>1200</v>
      </c>
      <c r="Z20">
        <v>1200</v>
      </c>
      <c r="AA20">
        <v>1200</v>
      </c>
      <c r="AB20">
        <f>N20/1200</f>
        <v>0</v>
      </c>
      <c r="AC20">
        <f>O20/1200</f>
        <v>1</v>
      </c>
      <c r="AD20">
        <f>P20/1200</f>
        <v>0</v>
      </c>
      <c r="AE20">
        <f>Q20/1200</f>
        <v>0</v>
      </c>
      <c r="AF20">
        <f>R20/1200</f>
        <v>0</v>
      </c>
      <c r="AG20">
        <f>S20/1200</f>
        <v>0</v>
      </c>
      <c r="AH20">
        <v>0</v>
      </c>
      <c r="AI20">
        <v>1</v>
      </c>
      <c r="AJ20">
        <v>100</v>
      </c>
      <c r="AK20">
        <v>1</v>
      </c>
      <c r="AL20">
        <v>0</v>
      </c>
      <c r="AM20">
        <v>0</v>
      </c>
      <c r="AN20">
        <v>0</v>
      </c>
      <c r="AO20">
        <v>1</v>
      </c>
      <c r="AP20">
        <v>1</v>
      </c>
      <c r="AQ20">
        <v>1</v>
      </c>
      <c r="AR20">
        <v>0</v>
      </c>
      <c r="AS20">
        <v>40.200000000000003</v>
      </c>
      <c r="AT20">
        <v>8.4136463599999995</v>
      </c>
      <c r="AU20">
        <v>6.6483917379999999</v>
      </c>
      <c r="AV20">
        <v>7.4412188370000001</v>
      </c>
      <c r="AW20">
        <v>27.4</v>
      </c>
      <c r="AX20">
        <v>40.200000000000003</v>
      </c>
      <c r="AY20">
        <v>37.299999999999997</v>
      </c>
      <c r="AZ20">
        <v>37.299999999999997</v>
      </c>
      <c r="BA20">
        <v>43.7</v>
      </c>
      <c r="BB20">
        <v>970</v>
      </c>
      <c r="BC20">
        <v>39.266666669999999</v>
      </c>
      <c r="BD20">
        <v>5.4762833620000002</v>
      </c>
      <c r="BE20">
        <v>6.2912657369999998</v>
      </c>
      <c r="BF20">
        <v>3.3666666670000001</v>
      </c>
      <c r="BG20">
        <v>11.3</v>
      </c>
      <c r="BH20">
        <v>39.266666669999999</v>
      </c>
      <c r="BI20">
        <v>36.4</v>
      </c>
      <c r="BJ20">
        <v>36.433333330000004</v>
      </c>
      <c r="BK20">
        <v>41.433333330000004</v>
      </c>
      <c r="BL20">
        <v>880.66666669999995</v>
      </c>
    </row>
    <row r="21" spans="1:64" x14ac:dyDescent="0.2">
      <c r="A21" s="1">
        <v>43068</v>
      </c>
      <c r="B21" t="s">
        <v>78</v>
      </c>
      <c r="C21">
        <v>4</v>
      </c>
      <c r="D21" t="s">
        <v>76</v>
      </c>
      <c r="E21" t="s">
        <v>82</v>
      </c>
      <c r="F21" t="s">
        <v>65</v>
      </c>
      <c r="G21" s="2">
        <v>0.59995370370370371</v>
      </c>
      <c r="H21">
        <v>0.6</v>
      </c>
      <c r="I21" s="3">
        <v>0.60069444444444442</v>
      </c>
      <c r="J21" s="3">
        <v>0.61458333333333337</v>
      </c>
      <c r="K21">
        <v>1195</v>
      </c>
      <c r="L21">
        <v>1162</v>
      </c>
      <c r="M21">
        <v>1200</v>
      </c>
      <c r="N21">
        <v>0</v>
      </c>
      <c r="O21">
        <v>1195.8699999999999</v>
      </c>
      <c r="P21">
        <v>4.13</v>
      </c>
      <c r="Q21">
        <v>0</v>
      </c>
      <c r="R21">
        <v>0</v>
      </c>
      <c r="S21">
        <v>4.13</v>
      </c>
      <c r="T21">
        <v>1195.8699999999999</v>
      </c>
      <c r="U21">
        <v>1195.8699999999999</v>
      </c>
      <c r="V21">
        <v>4.13</v>
      </c>
      <c r="W21">
        <v>4.13</v>
      </c>
      <c r="X21">
        <v>0</v>
      </c>
      <c r="Y21">
        <v>1195.8699999999999</v>
      </c>
      <c r="Z21">
        <v>1107.06</v>
      </c>
      <c r="AA21">
        <v>1195.8699999999999</v>
      </c>
      <c r="AB21">
        <f>N21/1200</f>
        <v>0</v>
      </c>
      <c r="AC21">
        <f>O21/1200</f>
        <v>0.99655833333333321</v>
      </c>
      <c r="AD21">
        <f>P21/1200</f>
        <v>3.4416666666666667E-3</v>
      </c>
      <c r="AE21">
        <f>Q21/1200</f>
        <v>0</v>
      </c>
      <c r="AF21">
        <f>R21/1200</f>
        <v>0</v>
      </c>
      <c r="AG21">
        <f>S21/1200</f>
        <v>3.4416666666666667E-3</v>
      </c>
      <c r="AH21">
        <v>0</v>
      </c>
      <c r="AI21">
        <v>1</v>
      </c>
      <c r="AJ21">
        <v>100</v>
      </c>
      <c r="AK21">
        <v>1</v>
      </c>
      <c r="AL21">
        <v>0</v>
      </c>
      <c r="AM21">
        <v>0</v>
      </c>
      <c r="AN21">
        <v>0</v>
      </c>
      <c r="AO21">
        <v>1</v>
      </c>
      <c r="AP21">
        <v>0.92</v>
      </c>
      <c r="AQ21">
        <v>1</v>
      </c>
      <c r="AR21">
        <v>0</v>
      </c>
      <c r="AS21">
        <v>36.700000000000003</v>
      </c>
      <c r="AT21">
        <v>7.0407929999999999</v>
      </c>
      <c r="AU21">
        <v>5.6637609900000001</v>
      </c>
      <c r="AV21">
        <v>6.4</v>
      </c>
      <c r="AW21">
        <v>20.9</v>
      </c>
      <c r="AX21">
        <v>36.700000000000003</v>
      </c>
      <c r="AY21">
        <v>33.700000000000003</v>
      </c>
      <c r="AZ21">
        <v>33.700000000000003</v>
      </c>
      <c r="BA21">
        <v>38.700000000000003</v>
      </c>
      <c r="BB21">
        <v>1008</v>
      </c>
      <c r="BC21">
        <v>35.270000000000003</v>
      </c>
      <c r="BD21">
        <v>4.7300000000000004</v>
      </c>
      <c r="BE21">
        <v>5.0262370809999997</v>
      </c>
      <c r="BF21">
        <v>1.1299999999999999</v>
      </c>
      <c r="BG21">
        <v>13.97</v>
      </c>
      <c r="BH21">
        <v>35.270000000000003</v>
      </c>
      <c r="BI21">
        <v>32.700000000000003</v>
      </c>
      <c r="BJ21">
        <v>32.700000000000003</v>
      </c>
      <c r="BK21">
        <v>36.47</v>
      </c>
      <c r="BL21">
        <v>990.67</v>
      </c>
    </row>
    <row r="22" spans="1:64" x14ac:dyDescent="0.2">
      <c r="A22" s="1">
        <v>43068</v>
      </c>
      <c r="B22" t="s">
        <v>78</v>
      </c>
      <c r="C22">
        <v>4</v>
      </c>
      <c r="D22" t="s">
        <v>76</v>
      </c>
      <c r="E22" t="s">
        <v>79</v>
      </c>
      <c r="F22" t="s">
        <v>69</v>
      </c>
      <c r="G22" s="2">
        <v>0.58142361111111118</v>
      </c>
      <c r="H22">
        <v>0.57999999999999996</v>
      </c>
      <c r="I22" s="3">
        <v>0.58333333333333337</v>
      </c>
      <c r="J22" s="3">
        <v>0.59722222222222221</v>
      </c>
      <c r="K22">
        <v>1180</v>
      </c>
      <c r="L22">
        <v>1129</v>
      </c>
      <c r="M22">
        <v>1200</v>
      </c>
      <c r="N22">
        <v>0</v>
      </c>
      <c r="O22">
        <v>1139.42</v>
      </c>
      <c r="P22">
        <v>60.58</v>
      </c>
      <c r="Q22">
        <v>0</v>
      </c>
      <c r="R22">
        <v>0</v>
      </c>
      <c r="S22">
        <v>8.5</v>
      </c>
      <c r="T22">
        <v>1191.5</v>
      </c>
      <c r="U22">
        <v>1200</v>
      </c>
      <c r="V22">
        <v>0</v>
      </c>
      <c r="W22">
        <v>0</v>
      </c>
      <c r="X22">
        <v>8.5</v>
      </c>
      <c r="Y22">
        <v>1200</v>
      </c>
      <c r="Z22">
        <v>964.04</v>
      </c>
      <c r="AA22">
        <v>47.83</v>
      </c>
      <c r="AB22">
        <f>N22/1200</f>
        <v>0</v>
      </c>
      <c r="AC22">
        <f>O22/1200</f>
        <v>0.94951666666666668</v>
      </c>
      <c r="AD22">
        <f>P22/1200</f>
        <v>5.0483333333333331E-2</v>
      </c>
      <c r="AE22">
        <f>Q22/1200</f>
        <v>0</v>
      </c>
      <c r="AF22">
        <f>R22/1200</f>
        <v>0</v>
      </c>
      <c r="AG22">
        <f>S22/1200</f>
        <v>7.083333333333333E-3</v>
      </c>
      <c r="AH22">
        <v>0.01</v>
      </c>
      <c r="AI22">
        <v>0.99</v>
      </c>
      <c r="AJ22">
        <v>99</v>
      </c>
      <c r="AK22">
        <v>1</v>
      </c>
      <c r="AL22">
        <v>0</v>
      </c>
      <c r="AM22">
        <v>0</v>
      </c>
      <c r="AN22">
        <v>0.01</v>
      </c>
      <c r="AO22">
        <v>1</v>
      </c>
      <c r="AP22">
        <v>0.8</v>
      </c>
      <c r="AQ22">
        <v>0.04</v>
      </c>
      <c r="AR22">
        <v>0</v>
      </c>
      <c r="AS22">
        <v>36.700000000000003</v>
      </c>
      <c r="AT22">
        <v>7.0407929999999999</v>
      </c>
      <c r="AU22">
        <v>5.6637609900000001</v>
      </c>
      <c r="AV22">
        <v>6.4</v>
      </c>
      <c r="AW22">
        <v>20.9</v>
      </c>
      <c r="AX22">
        <v>36.700000000000003</v>
      </c>
      <c r="AY22">
        <v>33.700000000000003</v>
      </c>
      <c r="AZ22">
        <v>33.700000000000003</v>
      </c>
      <c r="BA22">
        <v>38.700000000000003</v>
      </c>
      <c r="BB22">
        <v>1008</v>
      </c>
      <c r="BC22">
        <v>35.200000000000003</v>
      </c>
      <c r="BD22">
        <v>4.99</v>
      </c>
      <c r="BE22">
        <v>4.9684340100000002</v>
      </c>
      <c r="BF22">
        <v>1.87</v>
      </c>
      <c r="BG22">
        <v>13.43</v>
      </c>
      <c r="BH22">
        <v>35.200000000000003</v>
      </c>
      <c r="BI22">
        <v>32.770000000000003</v>
      </c>
      <c r="BJ22">
        <v>32.770000000000003</v>
      </c>
      <c r="BK22">
        <v>36.53</v>
      </c>
      <c r="BL22">
        <v>1002.67</v>
      </c>
    </row>
    <row r="23" spans="1:64" x14ac:dyDescent="0.2">
      <c r="A23" s="1">
        <v>43067</v>
      </c>
      <c r="B23" t="s">
        <v>78</v>
      </c>
      <c r="C23">
        <v>4</v>
      </c>
      <c r="D23" t="s">
        <v>76</v>
      </c>
      <c r="E23" t="s">
        <v>77</v>
      </c>
      <c r="F23" t="s">
        <v>69</v>
      </c>
      <c r="G23" s="2">
        <v>0.54284722222222226</v>
      </c>
      <c r="H23">
        <v>0.54</v>
      </c>
      <c r="I23" s="3">
        <v>0.54166666666666663</v>
      </c>
      <c r="J23" s="3">
        <v>0.55555555555555558</v>
      </c>
      <c r="K23">
        <v>1195</v>
      </c>
      <c r="L23">
        <v>1195</v>
      </c>
      <c r="M23">
        <v>1200</v>
      </c>
      <c r="N23">
        <v>1200</v>
      </c>
      <c r="O23">
        <v>0</v>
      </c>
      <c r="P23">
        <v>0</v>
      </c>
      <c r="Q23">
        <v>0</v>
      </c>
      <c r="R23">
        <v>0</v>
      </c>
      <c r="S23">
        <v>10.039999999999999</v>
      </c>
      <c r="T23">
        <v>1189.96</v>
      </c>
      <c r="U23">
        <v>1200</v>
      </c>
      <c r="V23">
        <v>0</v>
      </c>
      <c r="W23">
        <v>0</v>
      </c>
      <c r="X23">
        <v>10.039999999999999</v>
      </c>
      <c r="Y23">
        <v>1189.96</v>
      </c>
      <c r="Z23">
        <v>0</v>
      </c>
      <c r="AA23">
        <v>1200</v>
      </c>
      <c r="AB23">
        <f>N23/1200</f>
        <v>1</v>
      </c>
      <c r="AC23">
        <f>O23/1200</f>
        <v>0</v>
      </c>
      <c r="AD23">
        <f>P23/1200</f>
        <v>0</v>
      </c>
      <c r="AE23">
        <f>Q23/1200</f>
        <v>0</v>
      </c>
      <c r="AF23">
        <f>R23/1200</f>
        <v>0</v>
      </c>
      <c r="AG23">
        <f>S23/1200</f>
        <v>8.3666666666666663E-3</v>
      </c>
      <c r="AH23">
        <v>0.01</v>
      </c>
      <c r="AI23">
        <v>0.99</v>
      </c>
      <c r="AJ23">
        <v>99</v>
      </c>
      <c r="AK23">
        <v>1</v>
      </c>
      <c r="AL23">
        <v>0</v>
      </c>
      <c r="AM23">
        <v>0</v>
      </c>
      <c r="AN23">
        <v>0.01</v>
      </c>
      <c r="AO23">
        <v>0.99</v>
      </c>
      <c r="AP23">
        <v>0</v>
      </c>
      <c r="AQ23">
        <v>1</v>
      </c>
      <c r="AR23">
        <v>0</v>
      </c>
      <c r="AS23">
        <v>37.9</v>
      </c>
      <c r="AT23">
        <v>6.6183389999999997</v>
      </c>
      <c r="AU23">
        <v>6.1063872940000001</v>
      </c>
      <c r="AV23">
        <v>5.8</v>
      </c>
      <c r="AW23">
        <v>25.7</v>
      </c>
      <c r="AX23">
        <v>37.9</v>
      </c>
      <c r="AY23">
        <v>34.299999999999997</v>
      </c>
      <c r="AZ23">
        <v>34.299999999999997</v>
      </c>
      <c r="BA23">
        <v>39.1</v>
      </c>
      <c r="BB23">
        <v>1029</v>
      </c>
      <c r="BC23">
        <v>35.4</v>
      </c>
      <c r="BD23">
        <v>3.68</v>
      </c>
      <c r="BE23">
        <v>5.2152263259999998</v>
      </c>
      <c r="BF23">
        <v>-2.2999999999999998</v>
      </c>
      <c r="BG23">
        <v>8.57</v>
      </c>
      <c r="BH23">
        <v>35.4</v>
      </c>
      <c r="BI23">
        <v>32.47</v>
      </c>
      <c r="BJ23">
        <v>32.47</v>
      </c>
      <c r="BK23">
        <v>36.9</v>
      </c>
      <c r="BL23">
        <v>1022.33</v>
      </c>
    </row>
    <row r="24" spans="1:64" x14ac:dyDescent="0.2">
      <c r="A24" s="1">
        <v>43075</v>
      </c>
      <c r="B24" t="s">
        <v>78</v>
      </c>
      <c r="C24">
        <v>4</v>
      </c>
      <c r="D24" t="s">
        <v>76</v>
      </c>
      <c r="E24" t="s">
        <v>71</v>
      </c>
      <c r="F24" t="s">
        <v>69</v>
      </c>
      <c r="G24" s="2">
        <v>0.57283564814814814</v>
      </c>
      <c r="H24">
        <v>0.56999999999999995</v>
      </c>
      <c r="I24" s="3">
        <v>0.57291666666666663</v>
      </c>
      <c r="J24" s="3">
        <v>0.58680555555555558</v>
      </c>
      <c r="K24">
        <v>1197</v>
      </c>
      <c r="L24">
        <v>1073</v>
      </c>
      <c r="M24">
        <v>1200</v>
      </c>
      <c r="N24">
        <v>72.69</v>
      </c>
      <c r="O24">
        <v>1115</v>
      </c>
      <c r="P24">
        <v>12.3</v>
      </c>
      <c r="Q24">
        <v>0</v>
      </c>
      <c r="R24">
        <v>0</v>
      </c>
      <c r="S24">
        <v>12.3</v>
      </c>
      <c r="T24">
        <v>1187.7</v>
      </c>
      <c r="U24">
        <v>1187.7</v>
      </c>
      <c r="V24">
        <v>12.3</v>
      </c>
      <c r="W24">
        <v>12.3</v>
      </c>
      <c r="X24">
        <v>0</v>
      </c>
      <c r="Y24">
        <v>1187.7</v>
      </c>
      <c r="Z24">
        <v>248.28</v>
      </c>
      <c r="AA24">
        <v>1187.7</v>
      </c>
      <c r="AB24">
        <f>N24/1200</f>
        <v>6.0574999999999997E-2</v>
      </c>
      <c r="AC24">
        <f>O24/1200</f>
        <v>0.9291666666666667</v>
      </c>
      <c r="AD24">
        <f>P24/1200</f>
        <v>1.025E-2</v>
      </c>
      <c r="AE24">
        <f>Q24/1200</f>
        <v>0</v>
      </c>
      <c r="AF24">
        <f>R24/1200</f>
        <v>0</v>
      </c>
      <c r="AG24">
        <f>S24/1200</f>
        <v>1.025E-2</v>
      </c>
      <c r="AH24">
        <v>0.01</v>
      </c>
      <c r="AI24">
        <v>0.99</v>
      </c>
      <c r="AJ24">
        <v>99</v>
      </c>
      <c r="AK24">
        <v>0.99</v>
      </c>
      <c r="AL24">
        <v>0.01</v>
      </c>
      <c r="AM24">
        <v>0.01</v>
      </c>
      <c r="AN24">
        <v>0</v>
      </c>
      <c r="AO24">
        <v>0.99</v>
      </c>
      <c r="AP24">
        <v>0.21</v>
      </c>
      <c r="AQ24">
        <v>0.99</v>
      </c>
      <c r="AR24">
        <v>0</v>
      </c>
      <c r="AS24">
        <v>35.578000000000003</v>
      </c>
      <c r="AT24">
        <v>10.135709009999999</v>
      </c>
      <c r="AU24">
        <v>5.0049074349999998</v>
      </c>
      <c r="AV24">
        <v>10.9</v>
      </c>
      <c r="AX24">
        <v>35.033999999999999</v>
      </c>
      <c r="AY24">
        <v>33.011000000000003</v>
      </c>
      <c r="AZ24">
        <v>32.896000000000001</v>
      </c>
      <c r="BC24">
        <v>32.11</v>
      </c>
      <c r="BD24">
        <v>8.5399991679999996</v>
      </c>
      <c r="BE24">
        <v>3.6236893760000002</v>
      </c>
      <c r="BF24">
        <v>9.01</v>
      </c>
      <c r="BH24">
        <v>31.53</v>
      </c>
      <c r="BI24">
        <v>30.385000000000002</v>
      </c>
      <c r="BJ24">
        <v>30.207999999999998</v>
      </c>
      <c r="BK24">
        <v>32.6325</v>
      </c>
      <c r="BL24">
        <v>866.05</v>
      </c>
    </row>
    <row r="25" spans="1:64" x14ac:dyDescent="0.2">
      <c r="A25" s="1">
        <v>43073</v>
      </c>
      <c r="B25" t="s">
        <v>78</v>
      </c>
      <c r="C25">
        <v>4</v>
      </c>
      <c r="D25" t="s">
        <v>63</v>
      </c>
      <c r="E25" t="s">
        <v>86</v>
      </c>
      <c r="F25" t="s">
        <v>65</v>
      </c>
      <c r="G25" s="2">
        <v>0.61021990740740739</v>
      </c>
      <c r="H25">
        <v>0.61</v>
      </c>
      <c r="I25" s="3">
        <v>0.61111111111111105</v>
      </c>
      <c r="J25" s="3">
        <v>0.625</v>
      </c>
      <c r="K25">
        <v>1192</v>
      </c>
      <c r="L25">
        <v>1192</v>
      </c>
      <c r="M25">
        <v>1200</v>
      </c>
      <c r="N25">
        <v>0</v>
      </c>
      <c r="O25">
        <v>1186.9100000000001</v>
      </c>
      <c r="P25">
        <v>13.09</v>
      </c>
      <c r="Q25">
        <v>0</v>
      </c>
      <c r="R25">
        <v>0</v>
      </c>
      <c r="S25">
        <v>13.09</v>
      </c>
      <c r="T25">
        <v>1186.9100000000001</v>
      </c>
      <c r="U25">
        <v>1186.9100000000001</v>
      </c>
      <c r="V25">
        <v>13.09</v>
      </c>
      <c r="W25">
        <v>13.09</v>
      </c>
      <c r="X25">
        <v>0</v>
      </c>
      <c r="Y25">
        <v>1186.9100000000001</v>
      </c>
      <c r="Z25">
        <v>829.53</v>
      </c>
      <c r="AA25">
        <v>0</v>
      </c>
      <c r="AB25">
        <f>N25/1200</f>
        <v>0</v>
      </c>
      <c r="AC25">
        <f>O25/1200</f>
        <v>0.9890916666666667</v>
      </c>
      <c r="AD25">
        <f>P25/1200</f>
        <v>1.0908333333333332E-2</v>
      </c>
      <c r="AE25">
        <f>Q25/1200</f>
        <v>0</v>
      </c>
      <c r="AF25">
        <f>R25/1200</f>
        <v>0</v>
      </c>
      <c r="AG25">
        <f>S25/1200</f>
        <v>1.0908333333333332E-2</v>
      </c>
      <c r="AH25">
        <v>0.01</v>
      </c>
      <c r="AI25">
        <v>0.99</v>
      </c>
      <c r="AJ25">
        <v>99</v>
      </c>
      <c r="AK25">
        <v>0.99</v>
      </c>
      <c r="AL25">
        <v>0.01</v>
      </c>
      <c r="AM25">
        <v>0.01</v>
      </c>
      <c r="AN25">
        <v>0</v>
      </c>
      <c r="AO25">
        <v>0.99</v>
      </c>
      <c r="AP25">
        <v>0.69</v>
      </c>
      <c r="AQ25">
        <v>0</v>
      </c>
      <c r="AR25">
        <v>0</v>
      </c>
      <c r="AS25">
        <v>32.722000000000001</v>
      </c>
      <c r="AT25">
        <v>8.5401120820000003</v>
      </c>
      <c r="AU25">
        <v>4.29</v>
      </c>
      <c r="AV25">
        <v>8.41</v>
      </c>
      <c r="AX25">
        <v>32.345999999999997</v>
      </c>
      <c r="AY25">
        <v>30.082000000000001</v>
      </c>
      <c r="AZ25">
        <v>30.111999999999998</v>
      </c>
      <c r="BC25">
        <v>29.202999999999999</v>
      </c>
      <c r="BD25">
        <v>4.7515202189999997</v>
      </c>
      <c r="BE25">
        <v>3.3824816270000002</v>
      </c>
      <c r="BF25">
        <v>1.0900000000000001</v>
      </c>
      <c r="BH25">
        <v>29.033999999999999</v>
      </c>
      <c r="BI25">
        <v>27.152999999999999</v>
      </c>
      <c r="BJ25">
        <v>27.327999999999999</v>
      </c>
      <c r="BK25">
        <v>29.289449999999999</v>
      </c>
      <c r="BL25">
        <v>764.97</v>
      </c>
    </row>
    <row r="26" spans="1:64" x14ac:dyDescent="0.2">
      <c r="A26" s="1">
        <v>43078</v>
      </c>
      <c r="B26" t="s">
        <v>78</v>
      </c>
      <c r="C26">
        <v>4</v>
      </c>
      <c r="D26" t="s">
        <v>76</v>
      </c>
      <c r="E26" t="s">
        <v>82</v>
      </c>
      <c r="F26" t="s">
        <v>65</v>
      </c>
      <c r="G26" s="2">
        <v>0.59813657407407406</v>
      </c>
      <c r="H26">
        <v>0.6</v>
      </c>
      <c r="I26" s="3">
        <v>0.59722222222222221</v>
      </c>
      <c r="J26" s="3">
        <v>0.61111111111111105</v>
      </c>
      <c r="K26">
        <v>1197</v>
      </c>
      <c r="L26">
        <v>1084</v>
      </c>
      <c r="M26">
        <v>1200</v>
      </c>
      <c r="N26">
        <v>0</v>
      </c>
      <c r="O26">
        <v>1186.72</v>
      </c>
      <c r="P26">
        <v>13.28</v>
      </c>
      <c r="Q26">
        <v>0</v>
      </c>
      <c r="R26">
        <v>0</v>
      </c>
      <c r="S26">
        <v>13.28</v>
      </c>
      <c r="T26">
        <v>1186.72</v>
      </c>
      <c r="U26">
        <v>1186.72</v>
      </c>
      <c r="V26">
        <v>13.28</v>
      </c>
      <c r="W26">
        <v>13.28</v>
      </c>
      <c r="X26">
        <v>0</v>
      </c>
      <c r="Y26">
        <v>1186.72</v>
      </c>
      <c r="Z26">
        <v>935.42</v>
      </c>
      <c r="AA26">
        <v>998.52</v>
      </c>
      <c r="AB26">
        <f>N26/1200</f>
        <v>0</v>
      </c>
      <c r="AC26">
        <f>O26/1200</f>
        <v>0.98893333333333333</v>
      </c>
      <c r="AD26">
        <f>P26/1200</f>
        <v>1.1066666666666666E-2</v>
      </c>
      <c r="AE26">
        <f>Q26/1200</f>
        <v>0</v>
      </c>
      <c r="AF26">
        <f>R26/1200</f>
        <v>0</v>
      </c>
      <c r="AG26">
        <f>S26/1200</f>
        <v>1.1066666666666666E-2</v>
      </c>
      <c r="AH26">
        <v>0.01</v>
      </c>
      <c r="AI26">
        <v>0.99</v>
      </c>
      <c r="AJ26">
        <v>99</v>
      </c>
      <c r="AK26">
        <v>0.99</v>
      </c>
      <c r="AL26">
        <v>0.01</v>
      </c>
      <c r="AM26">
        <v>0.01</v>
      </c>
      <c r="AN26">
        <v>0</v>
      </c>
      <c r="AO26">
        <v>0.99</v>
      </c>
      <c r="AP26">
        <v>0.78</v>
      </c>
      <c r="AQ26">
        <v>0.83</v>
      </c>
      <c r="AR26">
        <v>0</v>
      </c>
      <c r="AS26">
        <v>37.619999999999997</v>
      </c>
      <c r="AT26">
        <v>8.6885420769999993</v>
      </c>
      <c r="AU26">
        <v>5.7210000000000001</v>
      </c>
      <c r="AV26">
        <v>8.9700000000000006</v>
      </c>
      <c r="AX26">
        <v>36.950000000000003</v>
      </c>
      <c r="AY26">
        <v>34.729999999999997</v>
      </c>
      <c r="AZ26">
        <v>34.619999999999997</v>
      </c>
      <c r="BC26">
        <v>35.816000000000003</v>
      </c>
      <c r="BD26">
        <v>5.7201477599999997</v>
      </c>
      <c r="BE26">
        <v>5.0620140259999999</v>
      </c>
      <c r="BF26">
        <v>3.7966666670000002</v>
      </c>
      <c r="BH26">
        <v>35.258000000000003</v>
      </c>
      <c r="BI26">
        <v>33.179333329999999</v>
      </c>
      <c r="BJ26">
        <v>33.055999999999997</v>
      </c>
      <c r="BK26">
        <v>36.894399999999997</v>
      </c>
      <c r="BL26">
        <v>803.01</v>
      </c>
    </row>
    <row r="27" spans="1:64" x14ac:dyDescent="0.2">
      <c r="A27" s="1">
        <v>43045</v>
      </c>
      <c r="B27" t="s">
        <v>78</v>
      </c>
      <c r="C27">
        <v>4</v>
      </c>
      <c r="D27" t="s">
        <v>76</v>
      </c>
      <c r="E27" t="s">
        <v>64</v>
      </c>
      <c r="F27" t="s">
        <v>65</v>
      </c>
      <c r="G27" s="2">
        <v>0.6053587962962963</v>
      </c>
      <c r="H27">
        <v>0.61</v>
      </c>
      <c r="I27" s="3">
        <v>0.60416666666666663</v>
      </c>
      <c r="J27" s="3">
        <v>0.61805555555555558</v>
      </c>
      <c r="K27">
        <v>1196</v>
      </c>
      <c r="L27">
        <v>1100</v>
      </c>
      <c r="M27">
        <v>1200</v>
      </c>
      <c r="N27">
        <v>0</v>
      </c>
      <c r="O27">
        <v>1172.73</v>
      </c>
      <c r="P27">
        <v>16.36</v>
      </c>
      <c r="Q27">
        <v>10.91</v>
      </c>
      <c r="R27">
        <v>0</v>
      </c>
      <c r="S27">
        <v>16.36</v>
      </c>
      <c r="T27">
        <v>1183.6400000000001</v>
      </c>
      <c r="U27">
        <v>1191.27</v>
      </c>
      <c r="V27">
        <v>8.73</v>
      </c>
      <c r="W27">
        <v>8.73</v>
      </c>
      <c r="X27">
        <v>7.64</v>
      </c>
      <c r="Y27">
        <v>1183.6400000000001</v>
      </c>
      <c r="Z27">
        <v>933.82</v>
      </c>
      <c r="AA27">
        <v>1094.18</v>
      </c>
      <c r="AB27">
        <f>N27/1200</f>
        <v>0</v>
      </c>
      <c r="AC27">
        <f>O27/1200</f>
        <v>0.977275</v>
      </c>
      <c r="AD27">
        <f>P27/1200</f>
        <v>1.3633333333333332E-2</v>
      </c>
      <c r="AE27">
        <f>Q27/1200</f>
        <v>9.0916666666666663E-3</v>
      </c>
      <c r="AF27">
        <f>R27/1200</f>
        <v>0</v>
      </c>
      <c r="AG27">
        <f>S27/1200</f>
        <v>1.3633333333333332E-2</v>
      </c>
      <c r="AH27">
        <v>0.01</v>
      </c>
      <c r="AI27">
        <v>0.99</v>
      </c>
      <c r="AJ27">
        <v>99</v>
      </c>
      <c r="AK27">
        <v>0.99</v>
      </c>
      <c r="AL27">
        <v>0.01</v>
      </c>
      <c r="AM27">
        <v>0.01</v>
      </c>
      <c r="AN27">
        <v>0.01</v>
      </c>
      <c r="AO27">
        <v>0.99</v>
      </c>
      <c r="AP27">
        <v>0.78</v>
      </c>
      <c r="AQ27">
        <v>0.91</v>
      </c>
      <c r="AR27">
        <v>0</v>
      </c>
      <c r="AS27">
        <v>35.799999999999997</v>
      </c>
      <c r="AT27">
        <v>5.9678500000000003</v>
      </c>
      <c r="AU27">
        <v>5.507345806</v>
      </c>
      <c r="AV27">
        <v>3.4</v>
      </c>
      <c r="AW27">
        <v>27.4</v>
      </c>
      <c r="AX27">
        <v>35.799999999999997</v>
      </c>
      <c r="AY27">
        <v>32.299999999999997</v>
      </c>
      <c r="AZ27">
        <v>32.299999999999997</v>
      </c>
      <c r="BA27">
        <v>37.1</v>
      </c>
      <c r="BB27">
        <v>1021</v>
      </c>
      <c r="BC27">
        <v>33.770000000000003</v>
      </c>
      <c r="BD27">
        <v>3.25</v>
      </c>
      <c r="BE27">
        <v>4.7816436500000004</v>
      </c>
      <c r="BF27">
        <v>-4.03</v>
      </c>
      <c r="BG27">
        <v>8.0299999999999994</v>
      </c>
      <c r="BH27">
        <v>33.770000000000003</v>
      </c>
      <c r="BI27">
        <v>30.97</v>
      </c>
      <c r="BJ27">
        <v>30.97</v>
      </c>
      <c r="BK27">
        <v>35.4</v>
      </c>
      <c r="BL27">
        <v>978.33</v>
      </c>
    </row>
    <row r="28" spans="1:64" x14ac:dyDescent="0.2">
      <c r="A28" s="1">
        <v>43036</v>
      </c>
      <c r="B28" t="s">
        <v>78</v>
      </c>
      <c r="C28">
        <v>4</v>
      </c>
      <c r="D28" t="s">
        <v>63</v>
      </c>
      <c r="E28" t="s">
        <v>80</v>
      </c>
      <c r="F28" t="s">
        <v>65</v>
      </c>
      <c r="G28" s="2">
        <v>0.57729166666666665</v>
      </c>
      <c r="H28">
        <v>0.57999999999999996</v>
      </c>
      <c r="I28" s="3">
        <v>0.57638888888888895</v>
      </c>
      <c r="J28" s="3">
        <v>0.59027777777777779</v>
      </c>
      <c r="K28">
        <v>1195</v>
      </c>
      <c r="L28">
        <v>1195</v>
      </c>
      <c r="M28">
        <v>1200</v>
      </c>
      <c r="N28">
        <v>0</v>
      </c>
      <c r="O28">
        <v>1181.92</v>
      </c>
      <c r="P28">
        <v>18.079999999999998</v>
      </c>
      <c r="Q28">
        <v>0</v>
      </c>
      <c r="R28">
        <v>0</v>
      </c>
      <c r="S28">
        <v>18.079999999999998</v>
      </c>
      <c r="T28">
        <v>1181.92</v>
      </c>
      <c r="U28">
        <v>1200</v>
      </c>
      <c r="V28">
        <v>0</v>
      </c>
      <c r="W28">
        <v>0</v>
      </c>
      <c r="X28">
        <v>18.079999999999998</v>
      </c>
      <c r="Y28">
        <v>1181.92</v>
      </c>
      <c r="Z28">
        <v>0</v>
      </c>
      <c r="AA28">
        <v>0</v>
      </c>
      <c r="AB28">
        <f>N28/1200</f>
        <v>0</v>
      </c>
      <c r="AC28">
        <f>O28/1200</f>
        <v>0.98493333333333344</v>
      </c>
      <c r="AD28">
        <f>P28/1200</f>
        <v>1.5066666666666666E-2</v>
      </c>
      <c r="AE28">
        <f>Q28/1200</f>
        <v>0</v>
      </c>
      <c r="AF28">
        <f>R28/1200</f>
        <v>0</v>
      </c>
      <c r="AG28">
        <f>S28/1200</f>
        <v>1.5066666666666666E-2</v>
      </c>
      <c r="AH28">
        <v>0.02</v>
      </c>
      <c r="AI28">
        <v>0.98</v>
      </c>
      <c r="AJ28">
        <v>98</v>
      </c>
      <c r="AK28">
        <v>1</v>
      </c>
      <c r="AL28">
        <v>0</v>
      </c>
      <c r="AM28">
        <v>0</v>
      </c>
      <c r="AN28">
        <v>0.02</v>
      </c>
      <c r="AO28">
        <v>0.98</v>
      </c>
      <c r="AP28">
        <v>0</v>
      </c>
      <c r="AQ28">
        <v>0</v>
      </c>
      <c r="AR28">
        <v>0</v>
      </c>
      <c r="AS28">
        <v>29.6</v>
      </c>
      <c r="AT28">
        <v>4.489446</v>
      </c>
      <c r="AU28">
        <v>3.8062265740000001</v>
      </c>
      <c r="AV28">
        <v>-0.3</v>
      </c>
      <c r="AW28">
        <v>29</v>
      </c>
      <c r="AX28">
        <v>29.4</v>
      </c>
      <c r="AY28">
        <v>27.5</v>
      </c>
      <c r="AZ28">
        <v>27.4</v>
      </c>
      <c r="BA28">
        <v>31.8</v>
      </c>
      <c r="BB28">
        <v>1029</v>
      </c>
      <c r="BC28">
        <v>28.2</v>
      </c>
      <c r="BD28">
        <v>2.41</v>
      </c>
      <c r="BE28">
        <v>3.4846532560000001</v>
      </c>
      <c r="BF28">
        <v>-8.1999999999999993</v>
      </c>
      <c r="BG28">
        <v>12.37</v>
      </c>
      <c r="BH28">
        <v>28.07</v>
      </c>
      <c r="BI28">
        <v>25.93</v>
      </c>
      <c r="BJ28">
        <v>25.77</v>
      </c>
      <c r="BK28">
        <v>30.23</v>
      </c>
      <c r="BL28">
        <v>961.67</v>
      </c>
    </row>
    <row r="29" spans="1:64" x14ac:dyDescent="0.2">
      <c r="A29" s="1">
        <v>43057</v>
      </c>
      <c r="B29" t="s">
        <v>78</v>
      </c>
      <c r="C29">
        <v>4</v>
      </c>
      <c r="D29" t="s">
        <v>63</v>
      </c>
      <c r="E29" t="s">
        <v>67</v>
      </c>
      <c r="F29" t="s">
        <v>65</v>
      </c>
      <c r="G29" s="2">
        <v>0.56589120370370372</v>
      </c>
      <c r="H29">
        <v>0.56999999999999995</v>
      </c>
      <c r="I29" s="3">
        <v>0.56597222222222221</v>
      </c>
      <c r="J29" s="3">
        <v>0.57986111111111105</v>
      </c>
      <c r="K29">
        <v>1196</v>
      </c>
      <c r="L29">
        <v>1054</v>
      </c>
      <c r="M29">
        <v>1200</v>
      </c>
      <c r="N29">
        <v>144.59</v>
      </c>
      <c r="O29">
        <v>1037.19</v>
      </c>
      <c r="P29">
        <v>18.22</v>
      </c>
      <c r="Q29">
        <v>0</v>
      </c>
      <c r="R29">
        <v>0</v>
      </c>
      <c r="S29">
        <v>18.22</v>
      </c>
      <c r="T29">
        <v>1181.78</v>
      </c>
      <c r="U29">
        <v>1193.17</v>
      </c>
      <c r="V29">
        <v>6.83</v>
      </c>
      <c r="W29">
        <v>6.83</v>
      </c>
      <c r="X29">
        <v>11.39</v>
      </c>
      <c r="Y29">
        <v>1181.78</v>
      </c>
      <c r="Z29">
        <v>0</v>
      </c>
      <c r="AA29">
        <v>703.61</v>
      </c>
      <c r="AB29">
        <f>N29/1200</f>
        <v>0.12049166666666666</v>
      </c>
      <c r="AC29">
        <f>O29/1200</f>
        <v>0.86432500000000001</v>
      </c>
      <c r="AD29">
        <f>P29/1200</f>
        <v>1.5183333333333332E-2</v>
      </c>
      <c r="AE29">
        <f>Q29/1200</f>
        <v>0</v>
      </c>
      <c r="AF29">
        <f>R29/1200</f>
        <v>0</v>
      </c>
      <c r="AG29">
        <f>S29/1200</f>
        <v>1.5183333333333332E-2</v>
      </c>
      <c r="AH29">
        <v>0.02</v>
      </c>
      <c r="AI29">
        <v>0.98</v>
      </c>
      <c r="AJ29">
        <v>98</v>
      </c>
      <c r="AK29">
        <v>0.99</v>
      </c>
      <c r="AL29">
        <v>0.01</v>
      </c>
      <c r="AM29">
        <v>0.01</v>
      </c>
      <c r="AN29">
        <v>0.01</v>
      </c>
      <c r="AO29">
        <v>0.98</v>
      </c>
      <c r="AP29">
        <v>0</v>
      </c>
      <c r="AQ29">
        <v>0.59</v>
      </c>
      <c r="AR29">
        <v>0</v>
      </c>
      <c r="AS29">
        <v>29.46</v>
      </c>
      <c r="AT29">
        <v>5.0425070180000002</v>
      </c>
      <c r="AU29">
        <v>3.8194523249999999</v>
      </c>
      <c r="AV29">
        <v>1.29</v>
      </c>
      <c r="AX29">
        <v>29.27</v>
      </c>
      <c r="AY29">
        <v>27.05</v>
      </c>
      <c r="AZ29">
        <v>27.23</v>
      </c>
      <c r="BC29">
        <v>26.652999999999999</v>
      </c>
      <c r="BD29">
        <v>3.349902787</v>
      </c>
      <c r="BE29">
        <v>3.0251858930000002</v>
      </c>
      <c r="BF29">
        <v>-3.95</v>
      </c>
      <c r="BH29">
        <v>26.634</v>
      </c>
      <c r="BI29">
        <v>24.375499999999999</v>
      </c>
      <c r="BJ29">
        <v>24.687999999999999</v>
      </c>
      <c r="BK29">
        <v>26.356950000000001</v>
      </c>
      <c r="BL29">
        <v>879.16</v>
      </c>
    </row>
    <row r="30" spans="1:64" x14ac:dyDescent="0.2">
      <c r="A30" s="1">
        <v>43078</v>
      </c>
      <c r="B30" t="s">
        <v>78</v>
      </c>
      <c r="C30">
        <v>3</v>
      </c>
      <c r="D30" t="s">
        <v>76</v>
      </c>
      <c r="E30" t="s">
        <v>90</v>
      </c>
      <c r="F30" t="s">
        <v>65</v>
      </c>
      <c r="G30" s="2">
        <v>0.52126157407407414</v>
      </c>
      <c r="H30">
        <v>0.52</v>
      </c>
      <c r="I30" s="3">
        <v>0.52083333333333337</v>
      </c>
      <c r="J30" s="3">
        <v>0.53472222222222221</v>
      </c>
      <c r="K30">
        <v>1197</v>
      </c>
      <c r="L30">
        <v>1100</v>
      </c>
      <c r="M30">
        <v>1200</v>
      </c>
      <c r="N30">
        <v>0</v>
      </c>
      <c r="O30">
        <v>1179.27</v>
      </c>
      <c r="P30">
        <v>20.73</v>
      </c>
      <c r="Q30">
        <v>0</v>
      </c>
      <c r="R30">
        <v>0</v>
      </c>
      <c r="S30">
        <v>20.73</v>
      </c>
      <c r="T30">
        <v>1179.27</v>
      </c>
      <c r="U30">
        <v>1179.27</v>
      </c>
      <c r="V30">
        <v>20.73</v>
      </c>
      <c r="W30">
        <v>20.73</v>
      </c>
      <c r="X30">
        <v>0</v>
      </c>
      <c r="Y30">
        <v>1179.27</v>
      </c>
      <c r="Z30">
        <v>967.64</v>
      </c>
      <c r="AA30">
        <v>931.64</v>
      </c>
      <c r="AB30">
        <f>N30/1200</f>
        <v>0</v>
      </c>
      <c r="AC30">
        <f>O30/1200</f>
        <v>0.98272499999999996</v>
      </c>
      <c r="AD30">
        <f>P30/1200</f>
        <v>1.7274999999999999E-2</v>
      </c>
      <c r="AE30">
        <f>Q30/1200</f>
        <v>0</v>
      </c>
      <c r="AF30">
        <f>R30/1200</f>
        <v>0</v>
      </c>
      <c r="AG30">
        <f>S30/1200</f>
        <v>1.7274999999999999E-2</v>
      </c>
      <c r="AH30">
        <v>0.02</v>
      </c>
      <c r="AI30">
        <v>0.98</v>
      </c>
      <c r="AJ30">
        <v>98</v>
      </c>
      <c r="AK30">
        <v>0.98</v>
      </c>
      <c r="AL30">
        <v>0.02</v>
      </c>
      <c r="AM30">
        <v>0.02</v>
      </c>
      <c r="AN30">
        <v>0</v>
      </c>
      <c r="AO30">
        <v>0.98</v>
      </c>
      <c r="AP30">
        <v>0.81</v>
      </c>
      <c r="AQ30">
        <v>0.78</v>
      </c>
      <c r="AR30">
        <v>0</v>
      </c>
      <c r="AS30">
        <v>37.619999999999997</v>
      </c>
      <c r="AT30">
        <v>8.6885420769999993</v>
      </c>
      <c r="AU30">
        <v>5.7210000000000001</v>
      </c>
      <c r="AV30">
        <v>8.9700000000000006</v>
      </c>
      <c r="AX30">
        <v>36.950000000000003</v>
      </c>
      <c r="AY30">
        <v>34.729999999999997</v>
      </c>
      <c r="AZ30">
        <v>34.619999999999997</v>
      </c>
      <c r="BC30">
        <v>33.997</v>
      </c>
      <c r="BD30">
        <v>6.6739620950000003</v>
      </c>
      <c r="BE30">
        <v>4.3811191840000001</v>
      </c>
      <c r="BF30">
        <v>5.81</v>
      </c>
      <c r="BH30">
        <v>33.545999999999999</v>
      </c>
      <c r="BI30">
        <v>31.798999999999999</v>
      </c>
      <c r="BJ30">
        <v>31.744</v>
      </c>
      <c r="BK30">
        <v>34.802549999999997</v>
      </c>
      <c r="BL30">
        <v>917.13</v>
      </c>
    </row>
    <row r="31" spans="1:64" x14ac:dyDescent="0.2">
      <c r="A31" s="1">
        <v>43076</v>
      </c>
      <c r="B31" t="s">
        <v>81</v>
      </c>
      <c r="C31">
        <v>5</v>
      </c>
      <c r="D31" t="s">
        <v>76</v>
      </c>
      <c r="E31" t="s">
        <v>91</v>
      </c>
      <c r="F31" t="s">
        <v>65</v>
      </c>
      <c r="G31" s="2">
        <v>0.73471064814814813</v>
      </c>
      <c r="H31">
        <v>0.73</v>
      </c>
      <c r="I31" s="3">
        <v>0.73611111111111116</v>
      </c>
      <c r="J31" s="3">
        <v>0.75</v>
      </c>
      <c r="K31">
        <v>1196</v>
      </c>
      <c r="L31">
        <v>1038</v>
      </c>
      <c r="M31">
        <v>1200</v>
      </c>
      <c r="N31">
        <v>61.27</v>
      </c>
      <c r="O31">
        <v>1112.1400000000001</v>
      </c>
      <c r="P31">
        <v>26.59</v>
      </c>
      <c r="Q31">
        <v>0</v>
      </c>
      <c r="R31">
        <v>0</v>
      </c>
      <c r="S31">
        <v>26.59</v>
      </c>
      <c r="T31">
        <v>1173.4100000000001</v>
      </c>
      <c r="U31">
        <v>1190.75</v>
      </c>
      <c r="V31">
        <v>9.25</v>
      </c>
      <c r="W31">
        <v>9.25</v>
      </c>
      <c r="X31">
        <v>17.34</v>
      </c>
      <c r="Y31">
        <v>1173.4100000000001</v>
      </c>
      <c r="Z31">
        <v>19.649999999999999</v>
      </c>
      <c r="AA31">
        <v>1173.4100000000001</v>
      </c>
      <c r="AB31">
        <f>N31/1200</f>
        <v>5.1058333333333338E-2</v>
      </c>
      <c r="AC31">
        <f>O31/1200</f>
        <v>0.9267833333333334</v>
      </c>
      <c r="AD31">
        <f>P31/1200</f>
        <v>2.2158333333333332E-2</v>
      </c>
      <c r="AE31">
        <f>Q31/1200</f>
        <v>0</v>
      </c>
      <c r="AF31">
        <f>R31/1200</f>
        <v>0</v>
      </c>
      <c r="AG31">
        <f>S31/1200</f>
        <v>2.2158333333333332E-2</v>
      </c>
      <c r="AH31">
        <v>0.02</v>
      </c>
      <c r="AI31">
        <v>0.98</v>
      </c>
      <c r="AJ31">
        <v>98</v>
      </c>
      <c r="AK31">
        <v>0.99</v>
      </c>
      <c r="AL31">
        <v>0.01</v>
      </c>
      <c r="AM31">
        <v>0.01</v>
      </c>
      <c r="AN31">
        <v>0.01</v>
      </c>
      <c r="AO31">
        <v>0.98</v>
      </c>
      <c r="AP31">
        <v>0.02</v>
      </c>
      <c r="AQ31">
        <v>0.98</v>
      </c>
      <c r="AR31">
        <v>0</v>
      </c>
      <c r="AS31">
        <v>36.904000000000003</v>
      </c>
      <c r="AT31">
        <v>9.4695778330000007</v>
      </c>
      <c r="AU31">
        <v>5.2969999999999997</v>
      </c>
      <c r="AV31">
        <v>10.41</v>
      </c>
      <c r="AX31">
        <v>36.281999999999996</v>
      </c>
      <c r="AY31">
        <v>34.627000000000002</v>
      </c>
      <c r="AZ31">
        <v>34.432000000000002</v>
      </c>
      <c r="BC31">
        <v>36.802</v>
      </c>
      <c r="BD31">
        <v>6.622204301</v>
      </c>
      <c r="BE31">
        <v>5.2654923880000002</v>
      </c>
      <c r="BF31">
        <v>5.81</v>
      </c>
      <c r="BH31">
        <v>36.186</v>
      </c>
      <c r="BI31">
        <v>34.526000000000003</v>
      </c>
      <c r="BJ31">
        <v>34.335999999999999</v>
      </c>
      <c r="BK31">
        <v>38.028300000000002</v>
      </c>
      <c r="BL31">
        <v>171.71</v>
      </c>
    </row>
    <row r="32" spans="1:64" x14ac:dyDescent="0.2">
      <c r="A32" s="1">
        <v>43076</v>
      </c>
      <c r="B32" t="s">
        <v>81</v>
      </c>
      <c r="C32">
        <v>5</v>
      </c>
      <c r="D32" t="s">
        <v>76</v>
      </c>
      <c r="E32" t="s">
        <v>87</v>
      </c>
      <c r="F32" t="s">
        <v>65</v>
      </c>
      <c r="G32" s="2">
        <v>0.69218750000000007</v>
      </c>
      <c r="H32">
        <v>0.69</v>
      </c>
      <c r="I32" s="3">
        <v>0.69097222222222221</v>
      </c>
      <c r="J32" s="3">
        <v>0.70486111111111116</v>
      </c>
      <c r="K32">
        <v>1195</v>
      </c>
      <c r="L32">
        <v>1195</v>
      </c>
      <c r="M32">
        <v>1200</v>
      </c>
      <c r="N32">
        <v>21.09</v>
      </c>
      <c r="O32">
        <v>1169.8699999999999</v>
      </c>
      <c r="P32">
        <v>9.0399999999999991</v>
      </c>
      <c r="Q32">
        <v>0</v>
      </c>
      <c r="R32">
        <v>0</v>
      </c>
      <c r="S32">
        <v>30.13</v>
      </c>
      <c r="T32">
        <v>1169.8699999999999</v>
      </c>
      <c r="U32">
        <v>1193.97</v>
      </c>
      <c r="V32">
        <v>6.03</v>
      </c>
      <c r="W32">
        <v>6.03</v>
      </c>
      <c r="X32">
        <v>24.1</v>
      </c>
      <c r="Y32">
        <v>1169.8699999999999</v>
      </c>
      <c r="Z32">
        <v>384.6</v>
      </c>
      <c r="AA32">
        <v>1169.8699999999999</v>
      </c>
      <c r="AB32">
        <f>N32/1200</f>
        <v>1.7575E-2</v>
      </c>
      <c r="AC32">
        <f>O32/1200</f>
        <v>0.9748916666666666</v>
      </c>
      <c r="AD32">
        <f>P32/1200</f>
        <v>7.5333333333333329E-3</v>
      </c>
      <c r="AE32">
        <f>Q32/1200</f>
        <v>0</v>
      </c>
      <c r="AF32">
        <f>R32/1200</f>
        <v>0</v>
      </c>
      <c r="AG32">
        <f>S32/1200</f>
        <v>2.5108333333333333E-2</v>
      </c>
      <c r="AH32">
        <v>0.03</v>
      </c>
      <c r="AI32">
        <v>0.97</v>
      </c>
      <c r="AJ32">
        <v>97</v>
      </c>
      <c r="AK32">
        <v>0.99</v>
      </c>
      <c r="AL32">
        <v>0.01</v>
      </c>
      <c r="AM32">
        <v>0.01</v>
      </c>
      <c r="AN32">
        <v>0.02</v>
      </c>
      <c r="AO32">
        <v>0.97</v>
      </c>
      <c r="AP32">
        <v>0.32</v>
      </c>
      <c r="AQ32">
        <v>0.97</v>
      </c>
      <c r="AR32">
        <v>0</v>
      </c>
      <c r="AS32">
        <v>36.904000000000003</v>
      </c>
      <c r="AT32">
        <v>9.4695778330000007</v>
      </c>
      <c r="AU32">
        <v>5.2969999999999997</v>
      </c>
      <c r="AV32">
        <v>10.41</v>
      </c>
      <c r="AX32">
        <v>36.281999999999996</v>
      </c>
      <c r="AY32">
        <v>34.627000000000002</v>
      </c>
      <c r="AZ32">
        <v>34.432000000000002</v>
      </c>
      <c r="BC32">
        <v>36.393999999999998</v>
      </c>
      <c r="BD32">
        <v>6.5112449029999997</v>
      </c>
      <c r="BE32">
        <v>5.1445668480000002</v>
      </c>
      <c r="BF32">
        <v>5.57</v>
      </c>
      <c r="BH32">
        <v>35.802</v>
      </c>
      <c r="BI32">
        <v>34.0715</v>
      </c>
      <c r="BJ32">
        <v>33.904000000000003</v>
      </c>
      <c r="BK32">
        <v>37.559100000000001</v>
      </c>
      <c r="BL32">
        <v>404.53</v>
      </c>
    </row>
    <row r="33" spans="1:64" x14ac:dyDescent="0.2">
      <c r="A33" s="1">
        <v>43493</v>
      </c>
      <c r="B33" t="s">
        <v>78</v>
      </c>
      <c r="C33">
        <v>4</v>
      </c>
      <c r="D33" t="s">
        <v>76</v>
      </c>
      <c r="E33" t="s">
        <v>94</v>
      </c>
      <c r="F33" t="s">
        <v>69</v>
      </c>
      <c r="G33" s="2">
        <v>0.59333333333333338</v>
      </c>
      <c r="H33">
        <v>0.59</v>
      </c>
      <c r="I33" s="3">
        <v>0.59027777777777779</v>
      </c>
      <c r="J33" s="3">
        <v>0.60416666666666663</v>
      </c>
      <c r="K33">
        <v>1185</v>
      </c>
      <c r="L33">
        <v>1185</v>
      </c>
      <c r="M33">
        <v>1200</v>
      </c>
      <c r="N33">
        <v>0</v>
      </c>
      <c r="O33">
        <v>1164.56</v>
      </c>
      <c r="P33">
        <v>21.27</v>
      </c>
      <c r="Q33">
        <v>0</v>
      </c>
      <c r="R33">
        <v>14.18</v>
      </c>
      <c r="S33">
        <v>35.44</v>
      </c>
      <c r="T33">
        <v>1164.56</v>
      </c>
      <c r="U33">
        <v>1178.73</v>
      </c>
      <c r="V33">
        <v>21.27</v>
      </c>
      <c r="W33">
        <v>21.27</v>
      </c>
      <c r="X33">
        <v>14.18</v>
      </c>
      <c r="Y33">
        <v>1164.56</v>
      </c>
      <c r="Z33">
        <v>800</v>
      </c>
      <c r="AA33">
        <v>1148.3499999999999</v>
      </c>
      <c r="AB33">
        <f>N33/1200</f>
        <v>0</v>
      </c>
      <c r="AC33">
        <f>O33/1200</f>
        <v>0.97046666666666659</v>
      </c>
      <c r="AD33">
        <f>P33/1200</f>
        <v>1.7725000000000001E-2</v>
      </c>
      <c r="AE33">
        <f>Q33/1200</f>
        <v>0</v>
      </c>
      <c r="AF33">
        <f>R33/1200</f>
        <v>1.1816666666666666E-2</v>
      </c>
      <c r="AG33">
        <f>S33/1200</f>
        <v>2.9533333333333332E-2</v>
      </c>
      <c r="AH33">
        <v>0.03</v>
      </c>
      <c r="AI33">
        <v>0.97</v>
      </c>
      <c r="AJ33">
        <v>97</v>
      </c>
      <c r="AK33">
        <v>0.98</v>
      </c>
      <c r="AL33">
        <v>0.02</v>
      </c>
      <c r="AM33">
        <v>0.02</v>
      </c>
      <c r="AN33">
        <v>0.01</v>
      </c>
      <c r="AO33">
        <v>0.97</v>
      </c>
      <c r="AP33">
        <v>0.67</v>
      </c>
      <c r="AQ33">
        <v>0.96</v>
      </c>
      <c r="AR33">
        <v>0</v>
      </c>
      <c r="AS33">
        <v>40.299999999999997</v>
      </c>
      <c r="AT33">
        <v>8.0754809999999999</v>
      </c>
      <c r="AU33">
        <v>6.871343714</v>
      </c>
      <c r="AV33">
        <v>8.8000000000000007</v>
      </c>
      <c r="AW33">
        <v>29</v>
      </c>
      <c r="AX33">
        <v>40.299999999999997</v>
      </c>
      <c r="AY33">
        <v>37.4</v>
      </c>
      <c r="AZ33">
        <v>37.4</v>
      </c>
      <c r="BA33">
        <v>42.8</v>
      </c>
      <c r="BB33">
        <v>987</v>
      </c>
      <c r="BC33">
        <v>38.9</v>
      </c>
      <c r="BD33">
        <v>4.4029766290000003</v>
      </c>
      <c r="BE33">
        <v>6.3076676770000004</v>
      </c>
      <c r="BF33">
        <v>0.3</v>
      </c>
      <c r="BG33">
        <v>9.1333333329999995</v>
      </c>
      <c r="BH33">
        <v>38.9</v>
      </c>
      <c r="BI33">
        <v>35.666666669999998</v>
      </c>
      <c r="BJ33">
        <v>35.666666669999998</v>
      </c>
      <c r="BK33">
        <v>40.299999999999997</v>
      </c>
      <c r="BL33">
        <v>940.33333330000005</v>
      </c>
    </row>
    <row r="34" spans="1:64" x14ac:dyDescent="0.2">
      <c r="A34" s="6">
        <v>43085</v>
      </c>
      <c r="B34" s="5" t="s">
        <v>78</v>
      </c>
      <c r="C34" s="5">
        <v>3</v>
      </c>
      <c r="D34" s="5" t="s">
        <v>76</v>
      </c>
      <c r="E34" s="5" t="s">
        <v>88</v>
      </c>
      <c r="F34" s="5" t="s">
        <v>65</v>
      </c>
      <c r="G34" s="7">
        <v>0.52033564814814814</v>
      </c>
      <c r="H34" s="5">
        <v>0.52</v>
      </c>
      <c r="I34" s="8">
        <v>0.52083333333333337</v>
      </c>
      <c r="J34" s="8">
        <v>0.53472222222222221</v>
      </c>
      <c r="K34" s="5">
        <v>1197</v>
      </c>
      <c r="L34" s="5">
        <v>919</v>
      </c>
      <c r="M34" s="5">
        <v>1200</v>
      </c>
      <c r="N34" s="5">
        <v>0</v>
      </c>
      <c r="O34" s="5">
        <v>1159.52</v>
      </c>
      <c r="P34" s="5">
        <v>11.75</v>
      </c>
      <c r="Q34" s="5">
        <v>3.92</v>
      </c>
      <c r="R34" s="5">
        <v>24.81</v>
      </c>
      <c r="S34" s="5">
        <v>36.56</v>
      </c>
      <c r="T34" s="5">
        <v>1163.44</v>
      </c>
      <c r="U34" s="5">
        <v>1173.8800000000001</v>
      </c>
      <c r="V34" s="5">
        <v>26.12</v>
      </c>
      <c r="W34" s="5">
        <v>26.12</v>
      </c>
      <c r="X34" s="5">
        <v>10.45</v>
      </c>
      <c r="Y34" s="5">
        <v>1163.44</v>
      </c>
      <c r="Z34" s="5">
        <v>0</v>
      </c>
      <c r="AA34" s="5">
        <v>729.92</v>
      </c>
      <c r="AB34" s="5">
        <f>N34/1200</f>
        <v>0</v>
      </c>
      <c r="AC34" s="5">
        <f>O34/1200</f>
        <v>0.96626666666666661</v>
      </c>
      <c r="AD34" s="5">
        <f>P34/1200</f>
        <v>9.7916666666666673E-3</v>
      </c>
      <c r="AE34" s="5">
        <f>Q34/1200</f>
        <v>3.2666666666666664E-3</v>
      </c>
      <c r="AF34" s="5">
        <f>R34/1200</f>
        <v>2.0674999999999999E-2</v>
      </c>
      <c r="AG34" s="5">
        <f>S34/1200</f>
        <v>3.046666666666667E-2</v>
      </c>
      <c r="AH34" s="5">
        <v>0.03</v>
      </c>
      <c r="AI34" s="5">
        <v>0.97</v>
      </c>
      <c r="AJ34" s="5">
        <v>97</v>
      </c>
      <c r="AK34" s="5">
        <v>0.98</v>
      </c>
      <c r="AL34" s="5">
        <v>0.02</v>
      </c>
      <c r="AM34" s="5">
        <v>0.02</v>
      </c>
      <c r="AN34" s="5">
        <v>0.01</v>
      </c>
      <c r="AO34" s="5">
        <v>0.97</v>
      </c>
      <c r="AP34" s="5">
        <v>0</v>
      </c>
      <c r="AQ34" s="5">
        <v>0.61</v>
      </c>
      <c r="AR34" s="5">
        <v>0</v>
      </c>
      <c r="AS34" s="5">
        <v>37.11</v>
      </c>
      <c r="AT34" s="5">
        <v>8.6989999999999998</v>
      </c>
      <c r="AU34" s="5">
        <v>5.51</v>
      </c>
      <c r="AV34" s="5">
        <v>9.2899999999999991</v>
      </c>
      <c r="AW34" s="5"/>
      <c r="AX34" s="5">
        <v>36.47</v>
      </c>
      <c r="AY34" s="5">
        <v>35.53</v>
      </c>
      <c r="AZ34" s="5">
        <v>34.340000000000003</v>
      </c>
      <c r="BA34" s="5"/>
      <c r="BB34" s="5"/>
      <c r="BC34" s="5">
        <v>31.753</v>
      </c>
      <c r="BD34" s="5">
        <v>5.7615688120000002</v>
      </c>
      <c r="BE34" s="5">
        <v>3.8777964850000002</v>
      </c>
      <c r="BF34" s="5">
        <v>3.77</v>
      </c>
      <c r="BG34" s="5"/>
      <c r="BH34" s="5">
        <v>31.434000000000001</v>
      </c>
      <c r="BI34" s="5">
        <v>29.475999999999999</v>
      </c>
      <c r="BJ34" s="5">
        <v>29.536000000000001</v>
      </c>
      <c r="BK34" s="5">
        <v>32.22195</v>
      </c>
      <c r="BL34" s="5">
        <v>917.05</v>
      </c>
    </row>
    <row r="35" spans="1:64" x14ac:dyDescent="0.2">
      <c r="A35" s="1">
        <v>43046</v>
      </c>
      <c r="B35" t="s">
        <v>81</v>
      </c>
      <c r="C35">
        <v>5</v>
      </c>
      <c r="D35" t="s">
        <v>76</v>
      </c>
      <c r="E35" t="s">
        <v>67</v>
      </c>
      <c r="F35" t="s">
        <v>65</v>
      </c>
      <c r="G35" s="2">
        <v>0.68797453703703704</v>
      </c>
      <c r="H35">
        <v>0.69</v>
      </c>
      <c r="I35" s="3">
        <v>0.6875</v>
      </c>
      <c r="J35" s="3">
        <v>0.70138888888888884</v>
      </c>
      <c r="K35">
        <v>1182</v>
      </c>
      <c r="L35">
        <v>1182</v>
      </c>
      <c r="M35">
        <v>1200</v>
      </c>
      <c r="N35">
        <v>0</v>
      </c>
      <c r="O35">
        <v>1150.25</v>
      </c>
      <c r="P35">
        <v>49.75</v>
      </c>
      <c r="Q35">
        <v>0</v>
      </c>
      <c r="R35">
        <v>0</v>
      </c>
      <c r="S35">
        <v>49.75</v>
      </c>
      <c r="T35">
        <v>1150.25</v>
      </c>
      <c r="U35">
        <v>1187.82</v>
      </c>
      <c r="V35">
        <v>12.18</v>
      </c>
      <c r="W35">
        <v>12.18</v>
      </c>
      <c r="X35">
        <v>37.56</v>
      </c>
      <c r="Y35">
        <v>1150.25</v>
      </c>
      <c r="Z35">
        <v>0</v>
      </c>
      <c r="AA35">
        <v>1150.25</v>
      </c>
      <c r="AB35">
        <f>N35/1200</f>
        <v>0</v>
      </c>
      <c r="AC35">
        <f>O35/1200</f>
        <v>0.95854166666666663</v>
      </c>
      <c r="AD35">
        <f>P35/1200</f>
        <v>4.1458333333333333E-2</v>
      </c>
      <c r="AE35">
        <f>Q35/1200</f>
        <v>0</v>
      </c>
      <c r="AF35">
        <f>R35/1200</f>
        <v>0</v>
      </c>
      <c r="AG35">
        <f>S35/1200</f>
        <v>4.1458333333333333E-2</v>
      </c>
      <c r="AH35">
        <v>0.04</v>
      </c>
      <c r="AI35">
        <v>0.96</v>
      </c>
      <c r="AJ35">
        <v>96</v>
      </c>
      <c r="AK35">
        <v>0.99</v>
      </c>
      <c r="AL35">
        <v>0.01</v>
      </c>
      <c r="AM35">
        <v>0.01</v>
      </c>
      <c r="AN35">
        <v>0.03</v>
      </c>
      <c r="AO35">
        <v>0.96</v>
      </c>
      <c r="AP35">
        <v>0</v>
      </c>
      <c r="AQ35">
        <v>0.96</v>
      </c>
      <c r="AR35">
        <v>0</v>
      </c>
      <c r="AS35">
        <v>34.86</v>
      </c>
      <c r="AT35">
        <v>5.1120149340000003</v>
      </c>
      <c r="AU35">
        <v>5.2644798189999999</v>
      </c>
      <c r="AV35">
        <v>1.77</v>
      </c>
      <c r="AX35">
        <v>34.36</v>
      </c>
      <c r="AY35">
        <v>30.99</v>
      </c>
      <c r="AZ35">
        <v>30.98</v>
      </c>
      <c r="BC35">
        <v>34.456000000000003</v>
      </c>
      <c r="BD35">
        <v>2.738417637</v>
      </c>
      <c r="BE35">
        <v>5.0633127529999999</v>
      </c>
      <c r="BF35">
        <v>-6.51</v>
      </c>
      <c r="BH35">
        <v>33.978000000000002</v>
      </c>
      <c r="BI35">
        <v>30.789000000000001</v>
      </c>
      <c r="BJ35">
        <v>30.783999999999999</v>
      </c>
      <c r="BL35">
        <v>426.31</v>
      </c>
    </row>
    <row r="36" spans="1:64" x14ac:dyDescent="0.2">
      <c r="A36" s="1">
        <v>43080</v>
      </c>
      <c r="B36" t="s">
        <v>78</v>
      </c>
      <c r="C36">
        <v>4</v>
      </c>
      <c r="D36" t="s">
        <v>63</v>
      </c>
      <c r="E36" t="s">
        <v>87</v>
      </c>
      <c r="F36" t="s">
        <v>65</v>
      </c>
      <c r="G36" s="2">
        <v>0.55166666666666664</v>
      </c>
      <c r="H36">
        <v>0.55000000000000004</v>
      </c>
      <c r="I36" s="3">
        <v>0.55208333333333337</v>
      </c>
      <c r="J36" s="3">
        <v>0.56597222222222221</v>
      </c>
      <c r="K36">
        <v>1196</v>
      </c>
      <c r="L36">
        <v>1179</v>
      </c>
      <c r="M36">
        <v>1200</v>
      </c>
      <c r="N36">
        <v>21.37</v>
      </c>
      <c r="O36">
        <v>1126.72</v>
      </c>
      <c r="P36">
        <v>51.91</v>
      </c>
      <c r="Q36">
        <v>0</v>
      </c>
      <c r="R36">
        <v>0</v>
      </c>
      <c r="S36">
        <v>57</v>
      </c>
      <c r="T36">
        <v>1143</v>
      </c>
      <c r="U36">
        <v>1191.8599999999999</v>
      </c>
      <c r="V36">
        <v>8.14</v>
      </c>
      <c r="W36">
        <v>8.14</v>
      </c>
      <c r="X36">
        <v>48.85</v>
      </c>
      <c r="Y36">
        <v>1143</v>
      </c>
      <c r="Z36">
        <v>529.26</v>
      </c>
      <c r="AA36">
        <v>1141.98</v>
      </c>
      <c r="AB36">
        <f>N36/1200</f>
        <v>1.7808333333333336E-2</v>
      </c>
      <c r="AC36">
        <f>O36/1200</f>
        <v>0.9389333333333334</v>
      </c>
      <c r="AD36">
        <f>P36/1200</f>
        <v>4.3258333333333329E-2</v>
      </c>
      <c r="AE36">
        <f>Q36/1200</f>
        <v>0</v>
      </c>
      <c r="AF36">
        <f>R36/1200</f>
        <v>0</v>
      </c>
      <c r="AG36">
        <f>S36/1200</f>
        <v>4.7500000000000001E-2</v>
      </c>
      <c r="AH36">
        <v>0.05</v>
      </c>
      <c r="AI36">
        <v>0.95</v>
      </c>
      <c r="AJ36">
        <v>95</v>
      </c>
      <c r="AK36">
        <v>0.99</v>
      </c>
      <c r="AL36">
        <v>0.01</v>
      </c>
      <c r="AM36">
        <v>0.01</v>
      </c>
      <c r="AN36">
        <v>0.04</v>
      </c>
      <c r="AO36">
        <v>0.95</v>
      </c>
      <c r="AP36">
        <v>0.44</v>
      </c>
      <c r="AQ36">
        <v>0.95</v>
      </c>
      <c r="AR36">
        <v>0</v>
      </c>
      <c r="AS36">
        <v>34.049999999999997</v>
      </c>
      <c r="AT36">
        <v>5.7162596519999997</v>
      </c>
      <c r="AU36">
        <v>4.7439999999999998</v>
      </c>
      <c r="AV36">
        <v>3.29</v>
      </c>
      <c r="AX36">
        <v>33.590000000000003</v>
      </c>
      <c r="AY36">
        <v>31.19</v>
      </c>
      <c r="AZ36">
        <v>31.17</v>
      </c>
      <c r="BC36">
        <v>29.611000000000001</v>
      </c>
      <c r="BD36">
        <v>3.380420075</v>
      </c>
      <c r="BE36">
        <v>3.67</v>
      </c>
      <c r="BF36">
        <v>-3.59</v>
      </c>
      <c r="BH36">
        <v>29.417999999999999</v>
      </c>
      <c r="BI36">
        <v>27.456</v>
      </c>
      <c r="BJ36">
        <v>27.616</v>
      </c>
      <c r="BK36">
        <v>29.758649999999999</v>
      </c>
      <c r="BL36">
        <v>900.05</v>
      </c>
    </row>
    <row r="37" spans="1:64" x14ac:dyDescent="0.2">
      <c r="A37" s="1">
        <v>43036</v>
      </c>
      <c r="B37" t="s">
        <v>78</v>
      </c>
      <c r="C37">
        <v>3</v>
      </c>
      <c r="D37" t="s">
        <v>63</v>
      </c>
      <c r="E37" t="s">
        <v>80</v>
      </c>
      <c r="F37" t="s">
        <v>65</v>
      </c>
      <c r="G37" s="2">
        <v>0.54048611111111111</v>
      </c>
      <c r="H37">
        <v>0.54</v>
      </c>
      <c r="I37" s="3">
        <v>0.54166666666666663</v>
      </c>
      <c r="J37" s="3">
        <v>0.55555555555555558</v>
      </c>
      <c r="K37">
        <v>1196</v>
      </c>
      <c r="L37">
        <v>1196</v>
      </c>
      <c r="M37">
        <v>1200</v>
      </c>
      <c r="N37">
        <v>0</v>
      </c>
      <c r="O37">
        <v>1142.81</v>
      </c>
      <c r="P37">
        <v>27.09</v>
      </c>
      <c r="Q37">
        <v>0</v>
      </c>
      <c r="R37">
        <v>30.1</v>
      </c>
      <c r="S37">
        <v>57.19</v>
      </c>
      <c r="T37">
        <v>1142.81</v>
      </c>
      <c r="U37">
        <v>1159.8699999999999</v>
      </c>
      <c r="V37">
        <v>40.130000000000003</v>
      </c>
      <c r="W37">
        <v>40.130000000000003</v>
      </c>
      <c r="X37">
        <v>17.059999999999999</v>
      </c>
      <c r="Y37">
        <v>1142.81</v>
      </c>
      <c r="Z37">
        <v>0</v>
      </c>
      <c r="AA37">
        <v>0</v>
      </c>
      <c r="AB37">
        <f>N37/1200</f>
        <v>0</v>
      </c>
      <c r="AC37">
        <f>O37/1200</f>
        <v>0.95234166666666664</v>
      </c>
      <c r="AD37">
        <f>P37/1200</f>
        <v>2.2575000000000001E-2</v>
      </c>
      <c r="AE37">
        <f>Q37/1200</f>
        <v>0</v>
      </c>
      <c r="AF37">
        <f>R37/1200</f>
        <v>2.5083333333333336E-2</v>
      </c>
      <c r="AG37">
        <f>S37/1200</f>
        <v>4.765833333333333E-2</v>
      </c>
      <c r="AH37">
        <v>0.05</v>
      </c>
      <c r="AI37">
        <v>0.95</v>
      </c>
      <c r="AJ37">
        <v>95</v>
      </c>
      <c r="AK37">
        <v>0.97</v>
      </c>
      <c r="AL37">
        <v>0.03</v>
      </c>
      <c r="AM37">
        <v>0.03</v>
      </c>
      <c r="AN37">
        <v>0.01</v>
      </c>
      <c r="AO37">
        <v>0.95</v>
      </c>
      <c r="AP37">
        <v>0</v>
      </c>
      <c r="AQ37">
        <v>0</v>
      </c>
      <c r="AR37">
        <v>0</v>
      </c>
      <c r="AS37">
        <v>29.6</v>
      </c>
      <c r="AT37">
        <v>4.489446</v>
      </c>
      <c r="AU37">
        <v>3.8062265740000001</v>
      </c>
      <c r="AV37">
        <v>-0.3</v>
      </c>
      <c r="AW37">
        <v>29</v>
      </c>
      <c r="AX37">
        <v>29.4</v>
      </c>
      <c r="AY37">
        <v>27.5</v>
      </c>
      <c r="AZ37">
        <v>27.4</v>
      </c>
      <c r="BA37">
        <v>31.8</v>
      </c>
      <c r="BB37">
        <v>1029</v>
      </c>
      <c r="BC37">
        <v>27.17</v>
      </c>
      <c r="BD37">
        <v>2.5499999999999998</v>
      </c>
      <c r="BE37">
        <v>3.2442105219999999</v>
      </c>
      <c r="BF37">
        <v>-7.53</v>
      </c>
      <c r="BG37">
        <v>16.100000000000001</v>
      </c>
      <c r="BH37">
        <v>26.4</v>
      </c>
      <c r="BI37">
        <v>24.93</v>
      </c>
      <c r="BJ37">
        <v>24.13</v>
      </c>
      <c r="BK37">
        <v>28.2</v>
      </c>
      <c r="BL37">
        <v>1010.33</v>
      </c>
    </row>
    <row r="38" spans="1:64" x14ac:dyDescent="0.2">
      <c r="A38" s="1">
        <v>43065</v>
      </c>
      <c r="B38" t="s">
        <v>81</v>
      </c>
      <c r="C38">
        <v>5</v>
      </c>
      <c r="D38" t="s">
        <v>63</v>
      </c>
      <c r="E38" t="s">
        <v>77</v>
      </c>
      <c r="F38" t="s">
        <v>69</v>
      </c>
      <c r="G38" s="2">
        <v>0.67592592592592593</v>
      </c>
      <c r="H38">
        <v>0.68</v>
      </c>
      <c r="I38" s="3">
        <v>0.67708333333333337</v>
      </c>
      <c r="J38" s="3">
        <v>0.69097222222222221</v>
      </c>
      <c r="K38">
        <v>1194</v>
      </c>
      <c r="L38">
        <v>1147</v>
      </c>
      <c r="M38">
        <v>1200</v>
      </c>
      <c r="N38">
        <v>74.28</v>
      </c>
      <c r="O38">
        <v>971.93</v>
      </c>
      <c r="P38">
        <v>150.65</v>
      </c>
      <c r="Q38">
        <v>3.14</v>
      </c>
      <c r="R38">
        <v>0</v>
      </c>
      <c r="S38">
        <v>61.73</v>
      </c>
      <c r="T38">
        <v>1138.27</v>
      </c>
      <c r="U38">
        <v>1200</v>
      </c>
      <c r="V38">
        <v>0</v>
      </c>
      <c r="W38">
        <v>0</v>
      </c>
      <c r="X38">
        <v>61.73</v>
      </c>
      <c r="Y38">
        <v>1138.27</v>
      </c>
      <c r="Z38">
        <v>0</v>
      </c>
      <c r="AA38">
        <v>247.95</v>
      </c>
      <c r="AB38">
        <f>N38/1200</f>
        <v>6.1900000000000004E-2</v>
      </c>
      <c r="AC38">
        <f>O38/1200</f>
        <v>0.80994166666666667</v>
      </c>
      <c r="AD38">
        <f>P38/1200</f>
        <v>0.12554166666666666</v>
      </c>
      <c r="AE38">
        <f>Q38/1200</f>
        <v>2.6166666666666669E-3</v>
      </c>
      <c r="AF38">
        <f>R38/1200</f>
        <v>0</v>
      </c>
      <c r="AG38">
        <f>S38/1200</f>
        <v>5.1441666666666663E-2</v>
      </c>
      <c r="AH38">
        <v>0.05</v>
      </c>
      <c r="AI38">
        <v>0.95</v>
      </c>
      <c r="AJ38">
        <v>95</v>
      </c>
      <c r="AK38">
        <v>1</v>
      </c>
      <c r="AL38">
        <v>0</v>
      </c>
      <c r="AM38">
        <v>0</v>
      </c>
      <c r="AN38">
        <v>0.05</v>
      </c>
      <c r="AO38">
        <v>0.95</v>
      </c>
      <c r="AP38">
        <v>0</v>
      </c>
      <c r="AQ38">
        <v>0.21</v>
      </c>
      <c r="AR38">
        <v>0</v>
      </c>
      <c r="AS38">
        <v>33.4</v>
      </c>
      <c r="AT38">
        <v>6.9288369999999997</v>
      </c>
      <c r="AU38">
        <v>4.5653961220000001</v>
      </c>
      <c r="AV38">
        <v>6</v>
      </c>
      <c r="AW38">
        <v>20.9</v>
      </c>
      <c r="AX38">
        <v>33.4</v>
      </c>
      <c r="AY38">
        <v>30.9</v>
      </c>
      <c r="AZ38">
        <v>30.9</v>
      </c>
      <c r="BA38">
        <v>35.9</v>
      </c>
      <c r="BB38">
        <v>1022</v>
      </c>
      <c r="BC38">
        <v>33.03</v>
      </c>
      <c r="BD38">
        <v>3.97</v>
      </c>
      <c r="BE38">
        <v>4.4151634919999996</v>
      </c>
      <c r="BF38">
        <v>-1.37</v>
      </c>
      <c r="BG38">
        <v>11.27</v>
      </c>
      <c r="BH38">
        <v>33.03</v>
      </c>
      <c r="BI38">
        <v>30.53</v>
      </c>
      <c r="BJ38">
        <v>30.53</v>
      </c>
      <c r="BK38">
        <v>35.4</v>
      </c>
      <c r="BL38">
        <v>787.33</v>
      </c>
    </row>
    <row r="39" spans="1:64" x14ac:dyDescent="0.2">
      <c r="A39" s="1">
        <v>43061</v>
      </c>
      <c r="B39" t="s">
        <v>78</v>
      </c>
      <c r="C39">
        <v>4</v>
      </c>
      <c r="D39" t="s">
        <v>63</v>
      </c>
      <c r="E39" t="s">
        <v>82</v>
      </c>
      <c r="F39" t="s">
        <v>65</v>
      </c>
      <c r="G39" s="2">
        <v>0.59409722222222217</v>
      </c>
      <c r="H39">
        <v>0.59</v>
      </c>
      <c r="I39" s="3">
        <v>0.59375</v>
      </c>
      <c r="J39" s="3">
        <v>0.60763888888888895</v>
      </c>
      <c r="K39">
        <v>1196</v>
      </c>
      <c r="L39">
        <v>1086</v>
      </c>
      <c r="M39">
        <v>1200</v>
      </c>
      <c r="N39">
        <v>20.99</v>
      </c>
      <c r="O39">
        <v>1112.71</v>
      </c>
      <c r="P39">
        <v>66.3</v>
      </c>
      <c r="Q39">
        <v>0</v>
      </c>
      <c r="R39">
        <v>0</v>
      </c>
      <c r="S39">
        <v>72.930000000000007</v>
      </c>
      <c r="T39">
        <v>1127.07</v>
      </c>
      <c r="U39">
        <v>1193.3699999999999</v>
      </c>
      <c r="V39">
        <v>6.63</v>
      </c>
      <c r="W39">
        <v>6.63</v>
      </c>
      <c r="X39">
        <v>66.3</v>
      </c>
      <c r="Y39">
        <v>1127.07</v>
      </c>
      <c r="Z39">
        <v>0</v>
      </c>
      <c r="AA39">
        <v>0</v>
      </c>
      <c r="AB39">
        <f>N39/1200</f>
        <v>1.7491666666666666E-2</v>
      </c>
      <c r="AC39">
        <f>O39/1200</f>
        <v>0.92725833333333341</v>
      </c>
      <c r="AD39">
        <f>P39/1200</f>
        <v>5.525E-2</v>
      </c>
      <c r="AE39">
        <f>Q39/1200</f>
        <v>0</v>
      </c>
      <c r="AF39">
        <f>R39/1200</f>
        <v>0</v>
      </c>
      <c r="AG39">
        <f>S39/1200</f>
        <v>6.0775000000000003E-2</v>
      </c>
      <c r="AH39">
        <v>0.06</v>
      </c>
      <c r="AI39">
        <v>0.94</v>
      </c>
      <c r="AJ39">
        <v>94</v>
      </c>
      <c r="AK39">
        <v>0.99</v>
      </c>
      <c r="AL39">
        <v>0.01</v>
      </c>
      <c r="AM39">
        <v>0.01</v>
      </c>
      <c r="AN39">
        <v>0.06</v>
      </c>
      <c r="AO39">
        <v>0.94</v>
      </c>
      <c r="AP39">
        <v>0</v>
      </c>
      <c r="AQ39">
        <v>0</v>
      </c>
      <c r="AR39">
        <v>0</v>
      </c>
      <c r="AS39">
        <v>22.3</v>
      </c>
      <c r="AT39">
        <v>6.656574</v>
      </c>
      <c r="AU39">
        <v>2.1516979549999999</v>
      </c>
      <c r="AV39">
        <v>4.7</v>
      </c>
      <c r="AW39">
        <v>17.7</v>
      </c>
      <c r="AX39">
        <v>22.3</v>
      </c>
      <c r="AY39">
        <v>20.2</v>
      </c>
      <c r="AZ39">
        <v>20.2</v>
      </c>
      <c r="BA39">
        <v>24.9</v>
      </c>
      <c r="BB39">
        <v>1023</v>
      </c>
      <c r="BC39">
        <v>19.600000000000001</v>
      </c>
      <c r="BD39">
        <v>4.55</v>
      </c>
      <c r="BE39">
        <v>1.673024405</v>
      </c>
      <c r="BF39">
        <v>-0.13</v>
      </c>
      <c r="BG39">
        <v>10.17</v>
      </c>
      <c r="BH39">
        <v>19.329999999999998</v>
      </c>
      <c r="BI39">
        <v>17.27</v>
      </c>
      <c r="BJ39">
        <v>17</v>
      </c>
      <c r="BK39">
        <v>21.13</v>
      </c>
      <c r="BL39">
        <v>998</v>
      </c>
    </row>
    <row r="40" spans="1:64" x14ac:dyDescent="0.2">
      <c r="A40" s="1">
        <v>43075</v>
      </c>
      <c r="B40" t="s">
        <v>81</v>
      </c>
      <c r="C40">
        <v>5</v>
      </c>
      <c r="D40" t="s">
        <v>76</v>
      </c>
      <c r="E40" t="s">
        <v>87</v>
      </c>
      <c r="F40" t="s">
        <v>65</v>
      </c>
      <c r="G40" s="2">
        <v>0.68259259259259253</v>
      </c>
      <c r="H40">
        <v>0.68</v>
      </c>
      <c r="I40" s="3">
        <v>0.68402777777777779</v>
      </c>
      <c r="J40" s="3">
        <v>0.69791666666666663</v>
      </c>
      <c r="K40">
        <v>1196</v>
      </c>
      <c r="L40">
        <v>1125</v>
      </c>
      <c r="M40">
        <v>1200</v>
      </c>
      <c r="N40">
        <v>48</v>
      </c>
      <c r="O40">
        <v>1049.5999999999999</v>
      </c>
      <c r="P40">
        <v>102.4</v>
      </c>
      <c r="Q40">
        <v>0</v>
      </c>
      <c r="R40">
        <v>0</v>
      </c>
      <c r="S40">
        <v>102.4</v>
      </c>
      <c r="T40">
        <v>1097.5999999999999</v>
      </c>
      <c r="U40">
        <v>1195.73</v>
      </c>
      <c r="V40">
        <v>4.2699999999999996</v>
      </c>
      <c r="W40">
        <v>4.2699999999999996</v>
      </c>
      <c r="X40">
        <v>98.13</v>
      </c>
      <c r="Y40">
        <v>1097.5999999999999</v>
      </c>
      <c r="Z40">
        <v>227.2</v>
      </c>
      <c r="AA40">
        <v>1097.5999999999999</v>
      </c>
      <c r="AB40">
        <f>N40/1200</f>
        <v>0.04</v>
      </c>
      <c r="AC40">
        <f>O40/1200</f>
        <v>0.87466666666666659</v>
      </c>
      <c r="AD40">
        <f>P40/1200</f>
        <v>8.5333333333333344E-2</v>
      </c>
      <c r="AE40">
        <f>Q40/1200</f>
        <v>0</v>
      </c>
      <c r="AF40">
        <f>R40/1200</f>
        <v>0</v>
      </c>
      <c r="AG40">
        <f>S40/1200</f>
        <v>8.5333333333333344E-2</v>
      </c>
      <c r="AH40">
        <v>0.09</v>
      </c>
      <c r="AI40">
        <v>0.91</v>
      </c>
      <c r="AJ40">
        <v>91</v>
      </c>
      <c r="AK40">
        <v>1</v>
      </c>
      <c r="AL40">
        <v>0</v>
      </c>
      <c r="AM40">
        <v>0</v>
      </c>
      <c r="AN40">
        <v>0.08</v>
      </c>
      <c r="AO40">
        <v>0.91</v>
      </c>
      <c r="AP40">
        <v>0.19</v>
      </c>
      <c r="AQ40">
        <v>0.91</v>
      </c>
      <c r="AR40">
        <v>0</v>
      </c>
      <c r="AS40">
        <v>35.578000000000003</v>
      </c>
      <c r="AT40">
        <v>10.135709009999999</v>
      </c>
      <c r="AU40">
        <v>5.0049074349999998</v>
      </c>
      <c r="AV40">
        <v>10.9</v>
      </c>
      <c r="AX40">
        <v>35.033999999999999</v>
      </c>
      <c r="AY40">
        <v>33.011000000000003</v>
      </c>
      <c r="AZ40">
        <v>32.896000000000001</v>
      </c>
      <c r="BC40">
        <v>34.914999999999999</v>
      </c>
      <c r="BD40">
        <v>9.1109339390000006</v>
      </c>
      <c r="BE40">
        <v>3.101794012</v>
      </c>
      <c r="BF40">
        <v>9.81</v>
      </c>
      <c r="BH40">
        <v>29.37</v>
      </c>
      <c r="BI40">
        <v>29.071999999999999</v>
      </c>
      <c r="BJ40">
        <v>28.384</v>
      </c>
      <c r="BK40">
        <v>35.858249999999998</v>
      </c>
      <c r="BL40">
        <v>453.74</v>
      </c>
    </row>
    <row r="41" spans="1:64" x14ac:dyDescent="0.2">
      <c r="A41" s="1">
        <v>43030</v>
      </c>
      <c r="B41" t="s">
        <v>81</v>
      </c>
      <c r="C41">
        <v>5</v>
      </c>
      <c r="D41" t="s">
        <v>76</v>
      </c>
      <c r="E41" t="s">
        <v>70</v>
      </c>
      <c r="F41" t="s">
        <v>65</v>
      </c>
      <c r="G41" s="2">
        <v>0.68896990740740749</v>
      </c>
      <c r="H41">
        <v>0.69</v>
      </c>
      <c r="I41" s="3">
        <v>0.6875</v>
      </c>
      <c r="J41" s="3">
        <v>0.70138888888888884</v>
      </c>
      <c r="K41">
        <v>1195</v>
      </c>
      <c r="L41">
        <v>983</v>
      </c>
      <c r="M41">
        <v>1200</v>
      </c>
      <c r="N41">
        <v>0</v>
      </c>
      <c r="O41">
        <v>1068.1600000000001</v>
      </c>
      <c r="P41">
        <v>131.84</v>
      </c>
      <c r="Q41">
        <v>0</v>
      </c>
      <c r="R41">
        <v>0</v>
      </c>
      <c r="S41">
        <v>131.84</v>
      </c>
      <c r="T41">
        <v>1068.1600000000001</v>
      </c>
      <c r="U41">
        <v>1174.3599999999999</v>
      </c>
      <c r="V41">
        <v>25.64</v>
      </c>
      <c r="W41">
        <v>25.64</v>
      </c>
      <c r="X41">
        <v>106.21</v>
      </c>
      <c r="Y41">
        <v>1068.1600000000001</v>
      </c>
      <c r="Z41">
        <v>0</v>
      </c>
      <c r="AA41">
        <v>0</v>
      </c>
      <c r="AB41">
        <f>N41/1200</f>
        <v>0</v>
      </c>
      <c r="AC41">
        <f>O41/1200</f>
        <v>0.89013333333333344</v>
      </c>
      <c r="AD41">
        <f>P41/1200</f>
        <v>0.10986666666666667</v>
      </c>
      <c r="AE41">
        <f>Q41/1200</f>
        <v>0</v>
      </c>
      <c r="AF41">
        <f>R41/1200</f>
        <v>0</v>
      </c>
      <c r="AG41">
        <f>S41/1200</f>
        <v>0.10986666666666667</v>
      </c>
      <c r="AH41">
        <v>0.11</v>
      </c>
      <c r="AI41">
        <v>0.89</v>
      </c>
      <c r="AJ41">
        <v>89</v>
      </c>
      <c r="AK41">
        <v>0.98</v>
      </c>
      <c r="AL41">
        <v>0.02</v>
      </c>
      <c r="AM41">
        <v>0.02</v>
      </c>
      <c r="AN41">
        <v>0.09</v>
      </c>
      <c r="AO41">
        <v>0.89</v>
      </c>
      <c r="AP41">
        <v>0</v>
      </c>
      <c r="AQ41">
        <v>0</v>
      </c>
      <c r="AR41">
        <v>0</v>
      </c>
      <c r="AS41">
        <v>34.299999999999997</v>
      </c>
      <c r="AT41">
        <v>6.7431359999999998</v>
      </c>
      <c r="AU41">
        <v>4.9084355579999999</v>
      </c>
      <c r="AV41">
        <v>5.4</v>
      </c>
      <c r="AW41">
        <v>17.7</v>
      </c>
      <c r="AX41">
        <v>34.299999999999997</v>
      </c>
      <c r="AY41">
        <v>31.4</v>
      </c>
      <c r="AZ41">
        <v>31.4</v>
      </c>
      <c r="BA41">
        <v>35.799999999999997</v>
      </c>
      <c r="BB41">
        <v>1000</v>
      </c>
      <c r="BC41">
        <v>33.799999999999997</v>
      </c>
      <c r="BD41">
        <v>3.25</v>
      </c>
      <c r="BE41">
        <v>4.7909813129999996</v>
      </c>
      <c r="BF41">
        <v>-4.03</v>
      </c>
      <c r="BG41">
        <v>7.47</v>
      </c>
      <c r="BH41">
        <v>33.799999999999997</v>
      </c>
      <c r="BI41">
        <v>30.97</v>
      </c>
      <c r="BJ41">
        <v>30.97</v>
      </c>
      <c r="BK41">
        <v>35.33</v>
      </c>
      <c r="BL41">
        <v>480.33</v>
      </c>
    </row>
    <row r="42" spans="1:64" x14ac:dyDescent="0.2">
      <c r="A42" s="1">
        <v>43057</v>
      </c>
      <c r="B42" t="s">
        <v>78</v>
      </c>
      <c r="C42">
        <v>3</v>
      </c>
      <c r="D42" t="s">
        <v>63</v>
      </c>
      <c r="E42" t="s">
        <v>75</v>
      </c>
      <c r="F42" t="s">
        <v>69</v>
      </c>
      <c r="G42" s="2">
        <v>0.46591435185185182</v>
      </c>
      <c r="H42">
        <v>0.47</v>
      </c>
      <c r="I42" s="3">
        <v>0.46527777777777773</v>
      </c>
      <c r="J42" s="3">
        <v>0.47916666666666669</v>
      </c>
      <c r="K42">
        <v>1195</v>
      </c>
      <c r="L42">
        <v>1195</v>
      </c>
      <c r="M42">
        <v>1200</v>
      </c>
      <c r="N42">
        <v>35.15</v>
      </c>
      <c r="O42">
        <v>570.38</v>
      </c>
      <c r="P42">
        <v>129.54</v>
      </c>
      <c r="Q42">
        <v>464.94</v>
      </c>
      <c r="R42">
        <v>0</v>
      </c>
      <c r="S42">
        <v>150.63</v>
      </c>
      <c r="T42">
        <v>1049.3699999999999</v>
      </c>
      <c r="U42">
        <v>1200</v>
      </c>
      <c r="V42">
        <v>0</v>
      </c>
      <c r="W42">
        <v>0</v>
      </c>
      <c r="X42">
        <v>150.63</v>
      </c>
      <c r="Y42">
        <v>1049.3699999999999</v>
      </c>
      <c r="Z42">
        <v>0</v>
      </c>
      <c r="AA42">
        <v>311.3</v>
      </c>
      <c r="AB42">
        <f>N42/1200</f>
        <v>2.9291666666666664E-2</v>
      </c>
      <c r="AC42">
        <f>O42/1200</f>
        <v>0.47531666666666667</v>
      </c>
      <c r="AD42">
        <f>P42/1200</f>
        <v>0.10794999999999999</v>
      </c>
      <c r="AE42">
        <f>Q42/1200</f>
        <v>0.38745000000000002</v>
      </c>
      <c r="AF42">
        <f>R42/1200</f>
        <v>0</v>
      </c>
      <c r="AG42">
        <f>S42/1200</f>
        <v>0.125525</v>
      </c>
      <c r="AH42">
        <v>0.13</v>
      </c>
      <c r="AI42">
        <v>0.87</v>
      </c>
      <c r="AJ42">
        <v>87</v>
      </c>
      <c r="AK42">
        <v>1</v>
      </c>
      <c r="AL42">
        <v>0</v>
      </c>
      <c r="AM42">
        <v>0</v>
      </c>
      <c r="AN42">
        <v>0.13</v>
      </c>
      <c r="AO42">
        <v>0.87</v>
      </c>
      <c r="AP42">
        <v>0</v>
      </c>
      <c r="AQ42">
        <v>0.26</v>
      </c>
      <c r="AR42">
        <v>0</v>
      </c>
      <c r="AS42">
        <v>29.46</v>
      </c>
      <c r="AT42">
        <v>5.0425070180000002</v>
      </c>
      <c r="AU42">
        <v>3.8194523249999999</v>
      </c>
      <c r="AV42">
        <v>1.29</v>
      </c>
      <c r="AX42">
        <v>29.27</v>
      </c>
      <c r="AY42">
        <v>27.05</v>
      </c>
      <c r="AZ42">
        <v>27.23</v>
      </c>
      <c r="BC42">
        <v>23.032</v>
      </c>
      <c r="BD42">
        <v>4.1801420939999998</v>
      </c>
      <c r="BE42">
        <v>2.2362198599999998</v>
      </c>
      <c r="BF42">
        <v>-0.87</v>
      </c>
      <c r="BH42">
        <v>23.225999999999999</v>
      </c>
      <c r="BI42">
        <v>20.992000000000001</v>
      </c>
      <c r="BJ42">
        <v>21.472000000000001</v>
      </c>
      <c r="BK42">
        <v>22.192799999999998</v>
      </c>
      <c r="BL42">
        <v>853.32</v>
      </c>
    </row>
    <row r="43" spans="1:64" x14ac:dyDescent="0.2">
      <c r="A43" s="1">
        <v>43077</v>
      </c>
      <c r="B43" t="s">
        <v>62</v>
      </c>
      <c r="C43">
        <v>2</v>
      </c>
      <c r="D43" t="s">
        <v>76</v>
      </c>
      <c r="E43" t="s">
        <v>87</v>
      </c>
      <c r="F43" t="s">
        <v>65</v>
      </c>
      <c r="G43" s="2">
        <v>0.39608796296296295</v>
      </c>
      <c r="H43">
        <v>0.4</v>
      </c>
      <c r="I43" s="3">
        <v>0.39583333333333331</v>
      </c>
      <c r="J43" s="3">
        <v>0.40972222222222227</v>
      </c>
      <c r="K43">
        <v>1197</v>
      </c>
      <c r="L43">
        <v>1147</v>
      </c>
      <c r="M43">
        <v>1200</v>
      </c>
      <c r="N43">
        <v>58.59</v>
      </c>
      <c r="O43">
        <v>1001.22</v>
      </c>
      <c r="P43">
        <v>140.19</v>
      </c>
      <c r="Q43">
        <v>0</v>
      </c>
      <c r="R43">
        <v>0</v>
      </c>
      <c r="S43">
        <v>149.61000000000001</v>
      </c>
      <c r="T43">
        <v>1048.3</v>
      </c>
      <c r="U43">
        <v>1197.9100000000001</v>
      </c>
      <c r="V43">
        <v>2.09</v>
      </c>
      <c r="W43">
        <v>2.09</v>
      </c>
      <c r="X43">
        <v>147.52000000000001</v>
      </c>
      <c r="Y43">
        <v>1048.3</v>
      </c>
      <c r="Z43">
        <v>0</v>
      </c>
      <c r="AA43">
        <v>933.22</v>
      </c>
      <c r="AB43">
        <f>N43/1200</f>
        <v>4.8825E-2</v>
      </c>
      <c r="AC43">
        <f>O43/1200</f>
        <v>0.83435000000000004</v>
      </c>
      <c r="AD43">
        <f>P43/1200</f>
        <v>0.116825</v>
      </c>
      <c r="AE43">
        <f>Q43/1200</f>
        <v>0</v>
      </c>
      <c r="AF43">
        <f>R43/1200</f>
        <v>0</v>
      </c>
      <c r="AG43">
        <f>S43/1200</f>
        <v>0.12467500000000001</v>
      </c>
      <c r="AH43">
        <v>0.12</v>
      </c>
      <c r="AI43">
        <v>0.87</v>
      </c>
      <c r="AJ43">
        <v>87</v>
      </c>
      <c r="AK43">
        <v>1</v>
      </c>
      <c r="AL43">
        <v>0</v>
      </c>
      <c r="AM43">
        <v>0</v>
      </c>
      <c r="AN43">
        <v>0.12</v>
      </c>
      <c r="AO43">
        <v>0.87</v>
      </c>
      <c r="AP43">
        <v>0</v>
      </c>
      <c r="AQ43">
        <v>0.78</v>
      </c>
      <c r="AR43">
        <v>0</v>
      </c>
      <c r="AS43">
        <v>37.21</v>
      </c>
      <c r="AT43">
        <v>9.7431214090000005</v>
      </c>
      <c r="AU43">
        <v>5.3390000000000004</v>
      </c>
      <c r="AV43">
        <v>10.81</v>
      </c>
      <c r="AX43">
        <v>36.57</v>
      </c>
      <c r="AY43">
        <v>35.435000000000002</v>
      </c>
      <c r="AZ43">
        <v>35.200000000000003</v>
      </c>
      <c r="BC43">
        <v>30.835000000000001</v>
      </c>
      <c r="BD43">
        <v>9.0439495010000002</v>
      </c>
      <c r="BE43">
        <v>3.2342970009999998</v>
      </c>
      <c r="BF43">
        <v>9.73</v>
      </c>
      <c r="BH43">
        <v>30.138000000000002</v>
      </c>
      <c r="BI43">
        <v>29.4255</v>
      </c>
      <c r="BJ43">
        <v>29.056000000000001</v>
      </c>
      <c r="BK43">
        <v>31.166250000000002</v>
      </c>
      <c r="BL43">
        <v>631.38</v>
      </c>
    </row>
    <row r="44" spans="1:64" x14ac:dyDescent="0.2">
      <c r="A44" s="1">
        <v>43031</v>
      </c>
      <c r="B44" t="s">
        <v>81</v>
      </c>
      <c r="C44">
        <v>5</v>
      </c>
      <c r="D44" t="s">
        <v>63</v>
      </c>
      <c r="E44" t="s">
        <v>72</v>
      </c>
      <c r="F44" t="s">
        <v>65</v>
      </c>
      <c r="G44" s="2">
        <v>0.70328703703703699</v>
      </c>
      <c r="H44">
        <v>0.7</v>
      </c>
      <c r="I44" s="3">
        <v>0.70138888888888884</v>
      </c>
      <c r="J44" s="3">
        <v>0.71527777777777779</v>
      </c>
      <c r="K44">
        <v>1195</v>
      </c>
      <c r="L44">
        <v>1069</v>
      </c>
      <c r="M44">
        <v>1200</v>
      </c>
      <c r="N44">
        <f>71/L44*1200</f>
        <v>79.700654817586539</v>
      </c>
      <c r="O44">
        <f>898/L44*1200</f>
        <v>1008.0449017773619</v>
      </c>
      <c r="P44">
        <v>102.15</v>
      </c>
      <c r="Q44">
        <v>10.1</v>
      </c>
      <c r="R44">
        <v>0</v>
      </c>
      <c r="S44">
        <v>185.22</v>
      </c>
      <c r="T44">
        <v>1014.78</v>
      </c>
      <c r="U44">
        <v>1159.5899999999999</v>
      </c>
      <c r="V44">
        <v>40.409999999999997</v>
      </c>
      <c r="W44">
        <v>40.409999999999997</v>
      </c>
      <c r="X44">
        <v>144.81</v>
      </c>
      <c r="Y44">
        <v>1014.78</v>
      </c>
      <c r="Z44">
        <v>0</v>
      </c>
      <c r="AA44">
        <v>0</v>
      </c>
      <c r="AB44">
        <f>N44/1200</f>
        <v>6.641721234798878E-2</v>
      </c>
      <c r="AC44">
        <f>O44/1200</f>
        <v>0.84003741814780164</v>
      </c>
      <c r="AD44">
        <f>P44/1200</f>
        <v>8.5125000000000006E-2</v>
      </c>
      <c r="AE44">
        <f>Q44/1200</f>
        <v>8.416666666666666E-3</v>
      </c>
      <c r="AF44">
        <f>R44/1200</f>
        <v>0</v>
      </c>
      <c r="AG44">
        <f>S44/1200</f>
        <v>0.15434999999999999</v>
      </c>
      <c r="AH44">
        <v>0.15</v>
      </c>
      <c r="AI44">
        <v>0.85</v>
      </c>
      <c r="AJ44">
        <v>85</v>
      </c>
      <c r="AK44">
        <v>0.97</v>
      </c>
      <c r="AL44">
        <v>0.03</v>
      </c>
      <c r="AM44">
        <v>0.03</v>
      </c>
      <c r="AN44">
        <v>0.12</v>
      </c>
      <c r="AO44">
        <v>0.85</v>
      </c>
      <c r="AP44">
        <v>0</v>
      </c>
      <c r="AQ44">
        <v>0</v>
      </c>
      <c r="AR44">
        <v>0</v>
      </c>
      <c r="AS44">
        <v>32.4</v>
      </c>
      <c r="AT44">
        <v>6.35</v>
      </c>
      <c r="AU44">
        <v>4.3632873170000002</v>
      </c>
      <c r="AV44">
        <v>4.7</v>
      </c>
      <c r="AW44">
        <v>24.1</v>
      </c>
      <c r="AX44">
        <v>32.4</v>
      </c>
      <c r="AY44">
        <v>299</v>
      </c>
      <c r="AZ44">
        <v>29.9</v>
      </c>
      <c r="BA44">
        <v>34.299999999999997</v>
      </c>
      <c r="BB44">
        <v>1002</v>
      </c>
      <c r="BC44">
        <v>31.37</v>
      </c>
      <c r="BD44">
        <v>4.97</v>
      </c>
      <c r="BE44">
        <v>3.8876743330000001</v>
      </c>
      <c r="BF44">
        <v>1.63</v>
      </c>
      <c r="BG44">
        <v>18.23</v>
      </c>
      <c r="BH44">
        <v>31.07</v>
      </c>
      <c r="BI44">
        <v>28.97</v>
      </c>
      <c r="BJ44">
        <v>28.67</v>
      </c>
      <c r="BK44">
        <v>32.33</v>
      </c>
      <c r="BL44">
        <v>399</v>
      </c>
    </row>
    <row r="45" spans="1:64" x14ac:dyDescent="0.2">
      <c r="A45" s="1">
        <v>43062</v>
      </c>
      <c r="B45" t="s">
        <v>81</v>
      </c>
      <c r="C45">
        <v>5</v>
      </c>
      <c r="D45" t="s">
        <v>63</v>
      </c>
      <c r="E45" t="s">
        <v>82</v>
      </c>
      <c r="F45" t="s">
        <v>65</v>
      </c>
      <c r="G45" s="2">
        <v>0.68641203703703713</v>
      </c>
      <c r="H45">
        <v>0.69</v>
      </c>
      <c r="I45" s="3">
        <v>0.6875</v>
      </c>
      <c r="J45" s="3">
        <v>0.70138888888888884</v>
      </c>
      <c r="K45">
        <v>1196</v>
      </c>
      <c r="L45">
        <v>1142</v>
      </c>
      <c r="M45">
        <v>1200</v>
      </c>
      <c r="N45">
        <v>13.66</v>
      </c>
      <c r="O45">
        <v>940.46</v>
      </c>
      <c r="P45">
        <v>132.4</v>
      </c>
      <c r="Q45">
        <v>18.91</v>
      </c>
      <c r="R45">
        <v>94.57</v>
      </c>
      <c r="S45">
        <v>189.14</v>
      </c>
      <c r="T45">
        <v>1010.86</v>
      </c>
      <c r="U45">
        <v>1113.8399999999999</v>
      </c>
      <c r="V45">
        <v>86.16</v>
      </c>
      <c r="W45">
        <v>86.16</v>
      </c>
      <c r="X45">
        <v>159.72</v>
      </c>
      <c r="Y45">
        <v>1010.86</v>
      </c>
      <c r="Z45">
        <v>15.76</v>
      </c>
      <c r="AA45">
        <v>0</v>
      </c>
      <c r="AB45">
        <f>N45/1200</f>
        <v>1.1383333333333334E-2</v>
      </c>
      <c r="AC45">
        <f>O45/1200</f>
        <v>0.78371666666666673</v>
      </c>
      <c r="AD45">
        <f>P45/1200</f>
        <v>0.11033333333333334</v>
      </c>
      <c r="AE45">
        <f>Q45/1200</f>
        <v>1.5758333333333333E-2</v>
      </c>
      <c r="AF45">
        <f>R45/1200</f>
        <v>7.8808333333333327E-2</v>
      </c>
      <c r="AG45">
        <f>S45/1200</f>
        <v>0.15761666666666665</v>
      </c>
      <c r="AH45">
        <v>0.16</v>
      </c>
      <c r="AI45">
        <v>0.84</v>
      </c>
      <c r="AJ45">
        <v>84</v>
      </c>
      <c r="AK45">
        <v>0.93</v>
      </c>
      <c r="AL45">
        <v>7.0000000000000007E-2</v>
      </c>
      <c r="AM45">
        <v>7.0000000000000007E-2</v>
      </c>
      <c r="AN45">
        <v>0.13</v>
      </c>
      <c r="AO45">
        <v>0.84</v>
      </c>
      <c r="AP45">
        <v>0.01</v>
      </c>
      <c r="AQ45">
        <v>0</v>
      </c>
      <c r="AR45">
        <v>0</v>
      </c>
      <c r="AS45">
        <v>29.2</v>
      </c>
      <c r="AT45">
        <v>6.628393</v>
      </c>
      <c r="AU45">
        <v>3.6990280169999998</v>
      </c>
      <c r="AV45">
        <v>4.7</v>
      </c>
      <c r="AW45">
        <v>27.4</v>
      </c>
      <c r="AX45">
        <v>29.1</v>
      </c>
      <c r="AY45">
        <v>27.2</v>
      </c>
      <c r="AZ45">
        <v>27.2</v>
      </c>
      <c r="BA45">
        <v>31.9</v>
      </c>
      <c r="BB45">
        <v>1039</v>
      </c>
      <c r="BC45">
        <v>27.83</v>
      </c>
      <c r="BD45">
        <v>2.99</v>
      </c>
      <c r="BE45">
        <v>3.3259150669999999</v>
      </c>
      <c r="BF45">
        <v>-5.43</v>
      </c>
      <c r="BG45">
        <v>10.199999999999999</v>
      </c>
      <c r="BH45">
        <v>27.77</v>
      </c>
      <c r="BI45">
        <v>25.57</v>
      </c>
      <c r="BJ45">
        <v>25.53</v>
      </c>
      <c r="BK45">
        <v>30.23</v>
      </c>
      <c r="BL45">
        <v>739</v>
      </c>
    </row>
    <row r="46" spans="1:64" x14ac:dyDescent="0.2">
      <c r="A46" s="1">
        <v>43055</v>
      </c>
      <c r="B46" t="s">
        <v>78</v>
      </c>
      <c r="C46">
        <v>4</v>
      </c>
      <c r="D46" t="s">
        <v>63</v>
      </c>
      <c r="E46" t="s">
        <v>75</v>
      </c>
      <c r="F46" t="s">
        <v>69</v>
      </c>
      <c r="G46" s="2">
        <v>0.5910185185185185</v>
      </c>
      <c r="H46">
        <v>0.59</v>
      </c>
      <c r="I46" s="3">
        <v>0.59027777777777779</v>
      </c>
      <c r="J46" s="3">
        <v>0.60416666666666663</v>
      </c>
      <c r="K46">
        <v>1195</v>
      </c>
      <c r="L46">
        <v>1143</v>
      </c>
      <c r="M46">
        <v>1200</v>
      </c>
      <c r="N46">
        <v>178.48</v>
      </c>
      <c r="O46">
        <v>730.71</v>
      </c>
      <c r="P46">
        <v>133.33000000000001</v>
      </c>
      <c r="Q46">
        <v>157.47999999999999</v>
      </c>
      <c r="R46">
        <v>0</v>
      </c>
      <c r="S46">
        <v>191.08</v>
      </c>
      <c r="T46">
        <v>1008.92</v>
      </c>
      <c r="U46">
        <v>1193.7</v>
      </c>
      <c r="V46">
        <v>6.3</v>
      </c>
      <c r="W46">
        <v>6.3</v>
      </c>
      <c r="X46">
        <v>184.78</v>
      </c>
      <c r="Y46">
        <v>1008.92</v>
      </c>
      <c r="Z46">
        <v>0</v>
      </c>
      <c r="AA46">
        <v>0</v>
      </c>
      <c r="AB46">
        <f>N46/1200</f>
        <v>0.14873333333333333</v>
      </c>
      <c r="AC46">
        <f>O46/1200</f>
        <v>0.60892500000000005</v>
      </c>
      <c r="AD46">
        <f>P46/1200</f>
        <v>0.11110833333333335</v>
      </c>
      <c r="AE46">
        <f>Q46/1200</f>
        <v>0.13123333333333331</v>
      </c>
      <c r="AF46">
        <f>R46/1200</f>
        <v>0</v>
      </c>
      <c r="AG46">
        <f>S46/1200</f>
        <v>0.15923333333333334</v>
      </c>
      <c r="AH46">
        <v>0.16</v>
      </c>
      <c r="AI46">
        <v>0.84</v>
      </c>
      <c r="AJ46">
        <v>84</v>
      </c>
      <c r="AK46">
        <v>0.99</v>
      </c>
      <c r="AL46">
        <v>0.01</v>
      </c>
      <c r="AM46">
        <v>0.01</v>
      </c>
      <c r="AN46">
        <v>0.15</v>
      </c>
      <c r="AO46">
        <v>0.84</v>
      </c>
      <c r="AP46">
        <v>0</v>
      </c>
      <c r="AQ46">
        <v>0</v>
      </c>
      <c r="AR46">
        <v>0</v>
      </c>
      <c r="AS46">
        <v>28.2</v>
      </c>
      <c r="AT46">
        <v>5.8068669999999996</v>
      </c>
      <c r="AU46">
        <v>3.4136490770000001</v>
      </c>
      <c r="AV46">
        <v>2.9</v>
      </c>
      <c r="AW46">
        <v>14.5</v>
      </c>
      <c r="AX46">
        <v>28.2</v>
      </c>
      <c r="AY46">
        <v>26</v>
      </c>
      <c r="AZ46">
        <v>26</v>
      </c>
      <c r="BA46">
        <v>30.9</v>
      </c>
      <c r="BB46">
        <v>1026</v>
      </c>
      <c r="BC46">
        <v>25.53</v>
      </c>
      <c r="BD46">
        <v>3.92</v>
      </c>
      <c r="BE46">
        <v>2.7315131770000001</v>
      </c>
      <c r="BF46">
        <v>-1.9</v>
      </c>
      <c r="BG46">
        <v>10.77</v>
      </c>
      <c r="BH46">
        <v>25.43</v>
      </c>
      <c r="BI46">
        <v>24.17</v>
      </c>
      <c r="BJ46">
        <v>24.07</v>
      </c>
      <c r="BK46">
        <v>28.23</v>
      </c>
      <c r="BL46">
        <v>1006.33</v>
      </c>
    </row>
    <row r="47" spans="1:64" x14ac:dyDescent="0.2">
      <c r="A47" s="1">
        <v>43082</v>
      </c>
      <c r="B47" t="s">
        <v>78</v>
      </c>
      <c r="C47">
        <v>4</v>
      </c>
      <c r="D47" t="s">
        <v>63</v>
      </c>
      <c r="E47" t="s">
        <v>87</v>
      </c>
      <c r="F47" t="s">
        <v>65</v>
      </c>
      <c r="G47" s="2">
        <v>0.57155092592592593</v>
      </c>
      <c r="H47">
        <v>0.56999999999999995</v>
      </c>
      <c r="I47" s="3">
        <v>0.57291666666666663</v>
      </c>
      <c r="J47" s="3">
        <v>0.58680555555555558</v>
      </c>
      <c r="K47">
        <v>1195</v>
      </c>
      <c r="L47">
        <v>1006</v>
      </c>
      <c r="M47">
        <v>1200</v>
      </c>
      <c r="N47">
        <v>25.05</v>
      </c>
      <c r="O47">
        <v>979.32</v>
      </c>
      <c r="P47">
        <v>141.94999999999999</v>
      </c>
      <c r="Q47">
        <v>0</v>
      </c>
      <c r="R47">
        <v>53.68</v>
      </c>
      <c r="S47">
        <v>195.63</v>
      </c>
      <c r="T47">
        <v>1004.37</v>
      </c>
      <c r="U47">
        <v>1137.97</v>
      </c>
      <c r="V47">
        <v>62.03</v>
      </c>
      <c r="W47">
        <v>62.03</v>
      </c>
      <c r="X47">
        <v>133.6</v>
      </c>
      <c r="Y47">
        <v>1004.37</v>
      </c>
      <c r="Z47">
        <v>0</v>
      </c>
      <c r="AA47">
        <v>122.86</v>
      </c>
      <c r="AB47">
        <f>N47/1200</f>
        <v>2.0875000000000001E-2</v>
      </c>
      <c r="AC47">
        <f>O47/1200</f>
        <v>0.81610000000000005</v>
      </c>
      <c r="AD47">
        <f>P47/1200</f>
        <v>0.11829166666666666</v>
      </c>
      <c r="AE47">
        <f>Q47/1200</f>
        <v>0</v>
      </c>
      <c r="AF47">
        <f>R47/1200</f>
        <v>4.4733333333333333E-2</v>
      </c>
      <c r="AG47">
        <f>S47/1200</f>
        <v>0.163025</v>
      </c>
      <c r="AH47">
        <v>0.16</v>
      </c>
      <c r="AI47">
        <v>0.84</v>
      </c>
      <c r="AJ47">
        <v>84</v>
      </c>
      <c r="AK47">
        <v>0.95</v>
      </c>
      <c r="AL47">
        <v>0.05</v>
      </c>
      <c r="AM47">
        <v>0.05</v>
      </c>
      <c r="AN47">
        <v>0.11</v>
      </c>
      <c r="AO47">
        <v>0.84</v>
      </c>
      <c r="AP47">
        <v>0</v>
      </c>
      <c r="AQ47">
        <v>0.1</v>
      </c>
      <c r="AR47">
        <v>0</v>
      </c>
      <c r="AS47">
        <v>29.46</v>
      </c>
      <c r="AT47">
        <v>7.7759999999999998</v>
      </c>
      <c r="AU47">
        <v>3.3090000000000002</v>
      </c>
      <c r="AV47">
        <v>7.53</v>
      </c>
      <c r="AX47">
        <v>28.218</v>
      </c>
      <c r="AY47">
        <v>27.46</v>
      </c>
      <c r="AZ47">
        <v>26.66</v>
      </c>
      <c r="BC47">
        <v>26.041</v>
      </c>
      <c r="BD47">
        <v>3.9042033960000002</v>
      </c>
      <c r="BE47">
        <v>2.8248513040000001</v>
      </c>
      <c r="BF47">
        <v>-1.75</v>
      </c>
      <c r="BH47">
        <v>25.146000000000001</v>
      </c>
      <c r="BI47">
        <v>24.224</v>
      </c>
      <c r="BJ47">
        <v>23.584</v>
      </c>
      <c r="BK47">
        <v>25.65315</v>
      </c>
      <c r="BL47">
        <v>868.62</v>
      </c>
    </row>
    <row r="48" spans="1:64" x14ac:dyDescent="0.2">
      <c r="A48" s="1">
        <v>43069</v>
      </c>
      <c r="B48" t="s">
        <v>62</v>
      </c>
      <c r="C48">
        <v>2</v>
      </c>
      <c r="D48" t="s">
        <v>63</v>
      </c>
      <c r="E48" t="s">
        <v>77</v>
      </c>
      <c r="F48" t="s">
        <v>69</v>
      </c>
      <c r="G48" s="2">
        <v>0.34372685185185187</v>
      </c>
      <c r="H48">
        <v>0.34</v>
      </c>
      <c r="I48" s="3">
        <v>0.34375</v>
      </c>
      <c r="J48" s="3">
        <v>0.3576388888888889</v>
      </c>
      <c r="K48">
        <v>1197</v>
      </c>
      <c r="L48">
        <v>947</v>
      </c>
      <c r="M48">
        <v>1200</v>
      </c>
      <c r="N48">
        <v>78.56</v>
      </c>
      <c r="O48">
        <v>887.01</v>
      </c>
      <c r="P48">
        <v>91.24</v>
      </c>
      <c r="Q48">
        <v>17.739999999999998</v>
      </c>
      <c r="R48">
        <v>125.45</v>
      </c>
      <c r="S48">
        <v>216.68</v>
      </c>
      <c r="T48">
        <v>983.32</v>
      </c>
      <c r="U48">
        <v>983.32</v>
      </c>
      <c r="V48">
        <v>216.68</v>
      </c>
      <c r="W48">
        <v>216.68</v>
      </c>
      <c r="X48">
        <v>0</v>
      </c>
      <c r="Y48">
        <v>983.32</v>
      </c>
      <c r="Z48">
        <v>0</v>
      </c>
      <c r="AA48">
        <v>0</v>
      </c>
      <c r="AB48">
        <f>N48/1200</f>
        <v>6.5466666666666673E-2</v>
      </c>
      <c r="AC48">
        <f>O48/1200</f>
        <v>0.73917500000000003</v>
      </c>
      <c r="AD48">
        <f>P48/1200</f>
        <v>7.6033333333333328E-2</v>
      </c>
      <c r="AE48">
        <f>Q48/1200</f>
        <v>1.4783333333333332E-2</v>
      </c>
      <c r="AF48">
        <f>R48/1200</f>
        <v>0.10454166666666667</v>
      </c>
      <c r="AG48">
        <f>S48/1200</f>
        <v>0.18056666666666668</v>
      </c>
      <c r="AH48">
        <v>0.18</v>
      </c>
      <c r="AI48">
        <v>0.82</v>
      </c>
      <c r="AJ48">
        <v>82</v>
      </c>
      <c r="AK48">
        <v>0.82</v>
      </c>
      <c r="AL48">
        <v>0.18</v>
      </c>
      <c r="AM48">
        <v>0.18</v>
      </c>
      <c r="AN48">
        <v>0</v>
      </c>
      <c r="AO48">
        <v>0.82</v>
      </c>
      <c r="AP48">
        <v>0</v>
      </c>
      <c r="AQ48">
        <v>0</v>
      </c>
      <c r="AR48">
        <v>0</v>
      </c>
      <c r="AS48">
        <v>37.5</v>
      </c>
      <c r="AT48">
        <v>7.111853</v>
      </c>
      <c r="AU48">
        <v>6.0089122250000004</v>
      </c>
      <c r="AV48">
        <v>6.4</v>
      </c>
      <c r="AW48">
        <v>25.7</v>
      </c>
      <c r="AX48">
        <v>37.5</v>
      </c>
      <c r="AY48">
        <v>34.1</v>
      </c>
      <c r="AZ48">
        <v>34.1</v>
      </c>
      <c r="BA48">
        <v>38.200000000000003</v>
      </c>
      <c r="BB48">
        <v>1023</v>
      </c>
      <c r="BC48">
        <v>20.399999999999999</v>
      </c>
      <c r="BD48">
        <v>6.81</v>
      </c>
      <c r="BE48">
        <v>1.4838497500000001</v>
      </c>
      <c r="BF48">
        <v>5.6</v>
      </c>
      <c r="BG48">
        <v>6.4</v>
      </c>
      <c r="BH48">
        <v>20.399999999999999</v>
      </c>
      <c r="BI48">
        <v>18.97</v>
      </c>
      <c r="BJ48">
        <v>18.97</v>
      </c>
      <c r="BK48">
        <v>23.33</v>
      </c>
      <c r="BL48">
        <v>280</v>
      </c>
    </row>
    <row r="49" spans="1:64" x14ac:dyDescent="0.2">
      <c r="A49" s="1">
        <v>43045</v>
      </c>
      <c r="B49" t="s">
        <v>81</v>
      </c>
      <c r="C49">
        <v>5</v>
      </c>
      <c r="D49" t="s">
        <v>76</v>
      </c>
      <c r="E49" t="s">
        <v>66</v>
      </c>
      <c r="F49" t="s">
        <v>65</v>
      </c>
      <c r="G49" s="2">
        <v>0.67108796296296302</v>
      </c>
      <c r="H49">
        <v>0.67</v>
      </c>
      <c r="I49" s="3">
        <v>0.67013888888888884</v>
      </c>
      <c r="J49" s="3">
        <v>0.68402777777777779</v>
      </c>
      <c r="K49">
        <v>1193</v>
      </c>
      <c r="L49">
        <v>1193</v>
      </c>
      <c r="M49">
        <v>1200</v>
      </c>
      <c r="N49">
        <v>0</v>
      </c>
      <c r="O49">
        <v>1007.88</v>
      </c>
      <c r="P49">
        <v>118.69</v>
      </c>
      <c r="Q49">
        <v>0</v>
      </c>
      <c r="R49">
        <v>73.430000000000007</v>
      </c>
      <c r="S49">
        <v>221.29</v>
      </c>
      <c r="T49">
        <v>978.71</v>
      </c>
      <c r="U49">
        <v>1099.4100000000001</v>
      </c>
      <c r="V49">
        <v>100.59</v>
      </c>
      <c r="W49">
        <v>100.59</v>
      </c>
      <c r="X49">
        <v>120.7</v>
      </c>
      <c r="Y49">
        <v>978.71</v>
      </c>
      <c r="Z49">
        <v>29.17</v>
      </c>
      <c r="AA49">
        <v>781.56</v>
      </c>
      <c r="AB49">
        <f>N49/1200</f>
        <v>0</v>
      </c>
      <c r="AC49">
        <f>O49/1200</f>
        <v>0.83989999999999998</v>
      </c>
      <c r="AD49">
        <f>P49/1200</f>
        <v>9.8908333333333334E-2</v>
      </c>
      <c r="AE49">
        <f>Q49/1200</f>
        <v>0</v>
      </c>
      <c r="AF49">
        <f>R49/1200</f>
        <v>6.1191666666666672E-2</v>
      </c>
      <c r="AG49">
        <f>S49/1200</f>
        <v>0.18440833333333331</v>
      </c>
      <c r="AH49">
        <v>0.18</v>
      </c>
      <c r="AI49">
        <v>0.82</v>
      </c>
      <c r="AJ49">
        <v>82</v>
      </c>
      <c r="AK49">
        <v>0.92</v>
      </c>
      <c r="AL49">
        <v>0.08</v>
      </c>
      <c r="AM49">
        <v>0.08</v>
      </c>
      <c r="AN49">
        <v>0.1</v>
      </c>
      <c r="AO49">
        <v>0.82</v>
      </c>
      <c r="AP49">
        <v>0.02</v>
      </c>
      <c r="AQ49">
        <v>0.65</v>
      </c>
      <c r="AR49">
        <v>0</v>
      </c>
      <c r="AS49">
        <v>35.799999999999997</v>
      </c>
      <c r="AT49">
        <v>5.9678500000000003</v>
      </c>
      <c r="AU49">
        <v>5.507345806</v>
      </c>
      <c r="AV49">
        <v>3.4</v>
      </c>
      <c r="AW49">
        <v>27.4</v>
      </c>
      <c r="AX49">
        <v>35.799999999999997</v>
      </c>
      <c r="AY49">
        <v>32.299999999999997</v>
      </c>
      <c r="AZ49">
        <v>32.299999999999997</v>
      </c>
      <c r="BA49">
        <v>37.1</v>
      </c>
      <c r="BB49">
        <v>1021</v>
      </c>
      <c r="BC49">
        <v>35.07</v>
      </c>
      <c r="BD49">
        <v>2.81</v>
      </c>
      <c r="BE49">
        <v>5.2330661149999997</v>
      </c>
      <c r="BF49">
        <v>-5.9</v>
      </c>
      <c r="BG49">
        <v>6.97</v>
      </c>
      <c r="BH49">
        <v>35.07</v>
      </c>
      <c r="BI49">
        <v>31.83</v>
      </c>
      <c r="BJ49">
        <v>31.83</v>
      </c>
      <c r="BK49">
        <v>36.369999999999997</v>
      </c>
      <c r="BL49">
        <v>769.67</v>
      </c>
    </row>
    <row r="50" spans="1:64" x14ac:dyDescent="0.2">
      <c r="A50" s="1">
        <v>43062</v>
      </c>
      <c r="B50" t="s">
        <v>81</v>
      </c>
      <c r="C50">
        <v>5</v>
      </c>
      <c r="D50" t="s">
        <v>63</v>
      </c>
      <c r="E50" t="s">
        <v>82</v>
      </c>
      <c r="F50" t="s">
        <v>65</v>
      </c>
      <c r="G50" s="2">
        <v>0.74445601851851861</v>
      </c>
      <c r="H50">
        <v>0.74</v>
      </c>
      <c r="I50" s="3">
        <v>0.74305555555555547</v>
      </c>
      <c r="J50" s="3">
        <v>0.75694444444444453</v>
      </c>
      <c r="K50">
        <v>1195</v>
      </c>
      <c r="L50">
        <v>1041</v>
      </c>
      <c r="M50">
        <v>1200</v>
      </c>
      <c r="N50">
        <f>65/L50*1200</f>
        <v>74.927953890489903</v>
      </c>
      <c r="O50">
        <v>877.23</v>
      </c>
      <c r="P50">
        <f>37/L50*1200</f>
        <v>42.65129682997118</v>
      </c>
      <c r="Q50">
        <v>0</v>
      </c>
      <c r="R50">
        <f>178/L50*1200</f>
        <v>205.18731988472624</v>
      </c>
      <c r="S50">
        <v>247.84</v>
      </c>
      <c r="T50">
        <v>952.16</v>
      </c>
      <c r="U50">
        <v>1136.5999999999999</v>
      </c>
      <c r="V50">
        <v>63.4</v>
      </c>
      <c r="W50">
        <v>63.4</v>
      </c>
      <c r="X50">
        <v>184.44</v>
      </c>
      <c r="Y50">
        <v>952.16</v>
      </c>
      <c r="Z50">
        <v>0</v>
      </c>
      <c r="AA50">
        <v>0</v>
      </c>
      <c r="AB50">
        <f>N50/1200</f>
        <v>6.2439961575408251E-2</v>
      </c>
      <c r="AC50">
        <f>O50/1200</f>
        <v>0.73102500000000004</v>
      </c>
      <c r="AD50">
        <f>P50/1200</f>
        <v>3.5542747358309319E-2</v>
      </c>
      <c r="AE50">
        <f>Q50/1200</f>
        <v>0</v>
      </c>
      <c r="AF50">
        <f>R50/1200</f>
        <v>0.17098943323727187</v>
      </c>
      <c r="AG50">
        <f>S50/1200</f>
        <v>0.20653333333333335</v>
      </c>
      <c r="AH50">
        <v>0.21</v>
      </c>
      <c r="AI50">
        <v>0.79</v>
      </c>
      <c r="AJ50">
        <v>79</v>
      </c>
      <c r="AK50">
        <v>0.95</v>
      </c>
      <c r="AL50">
        <v>0.05</v>
      </c>
      <c r="AM50">
        <v>0.05</v>
      </c>
      <c r="AN50">
        <v>0.15</v>
      </c>
      <c r="AO50">
        <v>0.79</v>
      </c>
      <c r="AP50">
        <v>0</v>
      </c>
      <c r="AQ50">
        <v>0</v>
      </c>
      <c r="AR50">
        <v>0</v>
      </c>
      <c r="AS50">
        <v>29.2</v>
      </c>
      <c r="AT50">
        <v>6.628393</v>
      </c>
      <c r="AU50">
        <v>3.6990280169999998</v>
      </c>
      <c r="AV50">
        <v>4.7</v>
      </c>
      <c r="AW50">
        <v>27.4</v>
      </c>
      <c r="AX50">
        <v>29.1</v>
      </c>
      <c r="AY50">
        <v>27.2</v>
      </c>
      <c r="AZ50">
        <v>27.2</v>
      </c>
      <c r="BA50">
        <v>31.9</v>
      </c>
      <c r="BB50">
        <v>1039</v>
      </c>
      <c r="BC50">
        <v>29.07</v>
      </c>
      <c r="BD50">
        <v>2.61</v>
      </c>
      <c r="BE50">
        <v>3.6519990949999999</v>
      </c>
      <c r="BF50">
        <v>-7.1</v>
      </c>
      <c r="BG50">
        <v>15.57</v>
      </c>
      <c r="BH50">
        <v>28.53</v>
      </c>
      <c r="BI50">
        <v>27.07</v>
      </c>
      <c r="BJ50">
        <v>26.6</v>
      </c>
      <c r="BK50">
        <v>30.57</v>
      </c>
      <c r="BL50">
        <v>469.67</v>
      </c>
    </row>
    <row r="51" spans="1:64" x14ac:dyDescent="0.2">
      <c r="A51" s="1">
        <v>43029</v>
      </c>
      <c r="B51" t="s">
        <v>78</v>
      </c>
      <c r="C51">
        <v>3</v>
      </c>
      <c r="D51" t="s">
        <v>63</v>
      </c>
      <c r="E51" t="s">
        <v>70</v>
      </c>
      <c r="F51" t="s">
        <v>65</v>
      </c>
      <c r="G51" s="2">
        <v>0.48726851851851855</v>
      </c>
      <c r="H51">
        <v>0.49</v>
      </c>
      <c r="I51" s="3">
        <v>0.4861111111111111</v>
      </c>
      <c r="J51" s="3">
        <v>0.5</v>
      </c>
      <c r="K51">
        <v>1183</v>
      </c>
      <c r="L51">
        <v>1183</v>
      </c>
      <c r="M51">
        <v>1200</v>
      </c>
      <c r="N51">
        <v>0</v>
      </c>
      <c r="O51">
        <v>949.45</v>
      </c>
      <c r="P51">
        <v>204.9</v>
      </c>
      <c r="Q51">
        <v>0</v>
      </c>
      <c r="R51">
        <v>45.65</v>
      </c>
      <c r="S51">
        <v>250.55</v>
      </c>
      <c r="T51">
        <v>949.45</v>
      </c>
      <c r="U51">
        <v>1154.3499999999999</v>
      </c>
      <c r="V51">
        <v>45.65</v>
      </c>
      <c r="W51">
        <v>45.65</v>
      </c>
      <c r="X51">
        <v>204.9</v>
      </c>
      <c r="Y51">
        <v>949.45</v>
      </c>
      <c r="Z51">
        <v>0</v>
      </c>
      <c r="AA51">
        <v>0</v>
      </c>
      <c r="AB51">
        <f>N51/1200</f>
        <v>0</v>
      </c>
      <c r="AC51">
        <f>O51/1200</f>
        <v>0.7912083333333334</v>
      </c>
      <c r="AD51">
        <f>P51/1200</f>
        <v>0.17075000000000001</v>
      </c>
      <c r="AE51">
        <f>Q51/1200</f>
        <v>0</v>
      </c>
      <c r="AF51">
        <f>R51/1200</f>
        <v>3.8041666666666668E-2</v>
      </c>
      <c r="AG51">
        <f>S51/1200</f>
        <v>0.20879166666666668</v>
      </c>
      <c r="AH51">
        <v>0.21</v>
      </c>
      <c r="AI51">
        <v>0.79</v>
      </c>
      <c r="AJ51">
        <v>79</v>
      </c>
      <c r="AK51">
        <v>0.96</v>
      </c>
      <c r="AL51">
        <v>0.04</v>
      </c>
      <c r="AM51">
        <v>0.04</v>
      </c>
      <c r="AN51">
        <v>0.17</v>
      </c>
      <c r="AO51">
        <v>0.79</v>
      </c>
      <c r="AP51">
        <v>0</v>
      </c>
      <c r="AQ51">
        <v>0</v>
      </c>
      <c r="AR51">
        <v>0</v>
      </c>
      <c r="AS51">
        <v>29.7</v>
      </c>
      <c r="AT51">
        <v>7.4832349999999996</v>
      </c>
      <c r="AU51">
        <v>3.6623821840000002</v>
      </c>
      <c r="AV51">
        <v>6.5</v>
      </c>
      <c r="AW51">
        <v>22.5</v>
      </c>
      <c r="AX51">
        <v>29.4</v>
      </c>
      <c r="AY51">
        <v>27.8</v>
      </c>
      <c r="AZ51">
        <v>27.6</v>
      </c>
      <c r="BA51">
        <v>32.1</v>
      </c>
      <c r="BB51">
        <v>1003</v>
      </c>
      <c r="BC51">
        <v>25.4</v>
      </c>
      <c r="BD51">
        <v>4.45</v>
      </c>
      <c r="BE51">
        <v>2.632793419</v>
      </c>
      <c r="BF51">
        <v>-0.17</v>
      </c>
      <c r="BG51">
        <v>16.100000000000001</v>
      </c>
      <c r="BH51">
        <v>24.53</v>
      </c>
      <c r="BI51">
        <v>24.27</v>
      </c>
      <c r="BJ51">
        <v>23.33</v>
      </c>
      <c r="BK51">
        <v>27.97</v>
      </c>
      <c r="BL51">
        <v>962</v>
      </c>
    </row>
    <row r="52" spans="1:64" x14ac:dyDescent="0.2">
      <c r="A52" s="1">
        <v>43057</v>
      </c>
      <c r="B52" t="s">
        <v>78</v>
      </c>
      <c r="C52">
        <v>3</v>
      </c>
      <c r="D52" t="s">
        <v>63</v>
      </c>
      <c r="E52" t="s">
        <v>68</v>
      </c>
      <c r="F52" t="s">
        <v>69</v>
      </c>
      <c r="G52" s="2">
        <v>0.51975694444444442</v>
      </c>
      <c r="H52">
        <v>0.52</v>
      </c>
      <c r="I52" s="3">
        <v>0.52083333333333337</v>
      </c>
      <c r="J52" s="3">
        <v>0.53472222222222221</v>
      </c>
      <c r="K52">
        <v>1196</v>
      </c>
      <c r="L52">
        <v>1095</v>
      </c>
      <c r="M52">
        <v>1200</v>
      </c>
      <c r="N52">
        <v>96.44</v>
      </c>
      <c r="O52">
        <v>906.3</v>
      </c>
      <c r="P52">
        <v>197.26</v>
      </c>
      <c r="Q52">
        <v>0</v>
      </c>
      <c r="R52">
        <v>0</v>
      </c>
      <c r="S52">
        <v>252.05</v>
      </c>
      <c r="T52">
        <v>947.95</v>
      </c>
      <c r="U52">
        <v>1180.27</v>
      </c>
      <c r="V52">
        <v>19.73</v>
      </c>
      <c r="W52">
        <v>19.73</v>
      </c>
      <c r="X52">
        <v>232.33</v>
      </c>
      <c r="Y52">
        <v>947.95</v>
      </c>
      <c r="Z52">
        <v>0</v>
      </c>
      <c r="AA52">
        <v>361.64</v>
      </c>
      <c r="AB52">
        <f>N52/1200</f>
        <v>8.036666666666667E-2</v>
      </c>
      <c r="AC52">
        <f>O52/1200</f>
        <v>0.75524999999999998</v>
      </c>
      <c r="AD52">
        <f>P52/1200</f>
        <v>0.16438333333333333</v>
      </c>
      <c r="AE52">
        <f>Q52/1200</f>
        <v>0</v>
      </c>
      <c r="AF52">
        <f>R52/1200</f>
        <v>0</v>
      </c>
      <c r="AG52">
        <f>S52/1200</f>
        <v>0.21004166666666668</v>
      </c>
      <c r="AH52">
        <v>0.21</v>
      </c>
      <c r="AI52">
        <v>0.79</v>
      </c>
      <c r="AJ52">
        <v>79</v>
      </c>
      <c r="AK52">
        <v>0.98</v>
      </c>
      <c r="AL52">
        <v>0.02</v>
      </c>
      <c r="AM52">
        <v>0.02</v>
      </c>
      <c r="AN52">
        <v>0.19</v>
      </c>
      <c r="AO52">
        <v>0.79</v>
      </c>
      <c r="AP52">
        <v>0</v>
      </c>
      <c r="AQ52">
        <v>0.3</v>
      </c>
      <c r="AR52">
        <v>0</v>
      </c>
      <c r="AS52">
        <v>29.46</v>
      </c>
      <c r="AT52">
        <v>5.0425070180000002</v>
      </c>
      <c r="AU52">
        <v>3.8194523249999999</v>
      </c>
      <c r="AV52">
        <v>1.29</v>
      </c>
      <c r="AX52">
        <v>29.27</v>
      </c>
      <c r="AY52">
        <v>27.05</v>
      </c>
      <c r="AZ52">
        <v>27.23</v>
      </c>
      <c r="BC52">
        <v>25.530999999999999</v>
      </c>
      <c r="BD52">
        <v>4.0587176669999998</v>
      </c>
      <c r="BE52">
        <v>2.7020926150000002</v>
      </c>
      <c r="BF52">
        <v>-1.19</v>
      </c>
      <c r="BH52">
        <v>25.577999999999999</v>
      </c>
      <c r="BI52">
        <v>23.920999999999999</v>
      </c>
      <c r="BJ52">
        <v>24.256</v>
      </c>
      <c r="BK52">
        <v>25.066649999999999</v>
      </c>
      <c r="BL52">
        <v>916.99</v>
      </c>
    </row>
    <row r="53" spans="1:64" x14ac:dyDescent="0.2">
      <c r="A53" s="1">
        <v>43045</v>
      </c>
      <c r="B53" t="s">
        <v>78</v>
      </c>
      <c r="C53">
        <v>3</v>
      </c>
      <c r="D53" t="s">
        <v>76</v>
      </c>
      <c r="E53" t="s">
        <v>73</v>
      </c>
      <c r="F53" t="s">
        <v>65</v>
      </c>
      <c r="G53" s="2">
        <v>0.51342592592592595</v>
      </c>
      <c r="H53">
        <v>0.51</v>
      </c>
      <c r="I53" s="3">
        <v>0.51388888888888895</v>
      </c>
      <c r="J53" s="3">
        <v>0.52777777777777779</v>
      </c>
      <c r="K53">
        <v>1194</v>
      </c>
      <c r="L53">
        <v>1194</v>
      </c>
      <c r="M53">
        <v>1200</v>
      </c>
      <c r="N53">
        <v>0</v>
      </c>
      <c r="O53">
        <v>928.64</v>
      </c>
      <c r="P53">
        <v>204.02</v>
      </c>
      <c r="Q53">
        <v>0</v>
      </c>
      <c r="R53">
        <v>67.34</v>
      </c>
      <c r="S53">
        <v>259.3</v>
      </c>
      <c r="T53">
        <v>940.7</v>
      </c>
      <c r="U53">
        <v>1123.6199999999999</v>
      </c>
      <c r="V53">
        <v>76.38</v>
      </c>
      <c r="W53">
        <v>76.38</v>
      </c>
      <c r="X53">
        <v>182.91</v>
      </c>
      <c r="Y53">
        <v>940.7</v>
      </c>
      <c r="Z53">
        <v>0</v>
      </c>
      <c r="AA53">
        <v>310.55</v>
      </c>
      <c r="AB53">
        <f>N53/1200</f>
        <v>0</v>
      </c>
      <c r="AC53">
        <f>O53/1200</f>
        <v>0.7738666666666667</v>
      </c>
      <c r="AD53">
        <f>P53/1200</f>
        <v>0.17001666666666668</v>
      </c>
      <c r="AE53">
        <f>Q53/1200</f>
        <v>0</v>
      </c>
      <c r="AF53">
        <f>R53/1200</f>
        <v>5.6116666666666669E-2</v>
      </c>
      <c r="AG53">
        <f>S53/1200</f>
        <v>0.21608333333333335</v>
      </c>
      <c r="AH53">
        <v>0.22</v>
      </c>
      <c r="AI53">
        <v>0.78</v>
      </c>
      <c r="AJ53">
        <v>78</v>
      </c>
      <c r="AK53">
        <v>0.94</v>
      </c>
      <c r="AL53">
        <v>0.06</v>
      </c>
      <c r="AM53">
        <v>0.06</v>
      </c>
      <c r="AN53">
        <v>0.15</v>
      </c>
      <c r="AO53">
        <v>0.78</v>
      </c>
      <c r="AP53">
        <v>0</v>
      </c>
      <c r="AQ53">
        <v>0.26</v>
      </c>
      <c r="AR53">
        <v>0</v>
      </c>
      <c r="AS53">
        <v>35.799999999999997</v>
      </c>
      <c r="AT53">
        <v>5.9678500000000003</v>
      </c>
      <c r="AU53">
        <v>5.507345806</v>
      </c>
      <c r="AV53">
        <v>3.4</v>
      </c>
      <c r="AW53">
        <v>27.4</v>
      </c>
      <c r="AX53">
        <v>35.799999999999997</v>
      </c>
      <c r="AY53">
        <v>32.299999999999997</v>
      </c>
      <c r="AZ53">
        <v>32.299999999999997</v>
      </c>
      <c r="BA53">
        <v>37.1</v>
      </c>
      <c r="BB53">
        <v>1021</v>
      </c>
      <c r="BC53">
        <v>31.03</v>
      </c>
      <c r="BD53">
        <v>4.55</v>
      </c>
      <c r="BE53">
        <v>3.8600823040000001</v>
      </c>
      <c r="BF53">
        <v>0.4</v>
      </c>
      <c r="BG53">
        <v>11.83</v>
      </c>
      <c r="BH53">
        <v>31</v>
      </c>
      <c r="BI53">
        <v>28.8</v>
      </c>
      <c r="BJ53">
        <v>28.77</v>
      </c>
      <c r="BK53">
        <v>31.9</v>
      </c>
      <c r="BL53">
        <v>585.66999999999996</v>
      </c>
    </row>
    <row r="54" spans="1:64" x14ac:dyDescent="0.2">
      <c r="A54" s="1">
        <v>43077</v>
      </c>
      <c r="B54" t="s">
        <v>62</v>
      </c>
      <c r="C54">
        <v>1</v>
      </c>
      <c r="D54" t="s">
        <v>76</v>
      </c>
      <c r="E54" t="s">
        <v>87</v>
      </c>
      <c r="F54" t="s">
        <v>65</v>
      </c>
      <c r="G54" s="2">
        <v>0.32938657407407407</v>
      </c>
      <c r="H54">
        <v>0.33</v>
      </c>
      <c r="I54" s="3">
        <v>0.3298611111111111</v>
      </c>
      <c r="J54" s="3">
        <v>0.34375</v>
      </c>
      <c r="K54">
        <v>1196</v>
      </c>
      <c r="L54">
        <v>1049</v>
      </c>
      <c r="M54">
        <v>1200</v>
      </c>
      <c r="N54">
        <f>122/L54*1200</f>
        <v>139.56148713060057</v>
      </c>
      <c r="O54">
        <v>833.94</v>
      </c>
      <c r="P54">
        <f>116/L54*1200</f>
        <v>132.697807435653</v>
      </c>
      <c r="Q54">
        <v>0</v>
      </c>
      <c r="R54">
        <v>93.8</v>
      </c>
      <c r="S54">
        <v>259.68</v>
      </c>
      <c r="T54">
        <v>940.32</v>
      </c>
      <c r="U54">
        <v>1069.5899999999999</v>
      </c>
      <c r="V54">
        <v>130.41</v>
      </c>
      <c r="W54">
        <v>130.41</v>
      </c>
      <c r="X54">
        <v>129.27000000000001</v>
      </c>
      <c r="Y54">
        <v>940.32</v>
      </c>
      <c r="Z54">
        <v>0</v>
      </c>
      <c r="AA54">
        <v>0</v>
      </c>
      <c r="AB54">
        <f>N54/1200</f>
        <v>0.11630123927550047</v>
      </c>
      <c r="AC54">
        <f>O54/1200</f>
        <v>0.69495000000000007</v>
      </c>
      <c r="AD54">
        <f>P54/1200</f>
        <v>0.11058150619637751</v>
      </c>
      <c r="AE54">
        <f>Q54/1200</f>
        <v>0</v>
      </c>
      <c r="AF54">
        <f>R54/1200</f>
        <v>7.8166666666666662E-2</v>
      </c>
      <c r="AG54">
        <f>S54/1200</f>
        <v>0.21640000000000001</v>
      </c>
      <c r="AH54">
        <v>0.22</v>
      </c>
      <c r="AI54">
        <v>0.78</v>
      </c>
      <c r="AJ54">
        <v>78</v>
      </c>
      <c r="AK54">
        <v>0.89</v>
      </c>
      <c r="AL54">
        <v>0.11</v>
      </c>
      <c r="AM54">
        <v>0.11</v>
      </c>
      <c r="AN54">
        <v>0.11</v>
      </c>
      <c r="AO54">
        <v>0.78</v>
      </c>
      <c r="AP54">
        <v>0</v>
      </c>
      <c r="AQ54">
        <v>0</v>
      </c>
      <c r="AR54">
        <v>0</v>
      </c>
      <c r="AS54">
        <v>37.21</v>
      </c>
      <c r="AT54">
        <v>9.7431214090000005</v>
      </c>
      <c r="AU54">
        <v>5.3390000000000004</v>
      </c>
      <c r="AV54">
        <v>10.81</v>
      </c>
      <c r="AX54">
        <v>36.57</v>
      </c>
      <c r="AY54">
        <v>35.435000000000002</v>
      </c>
      <c r="AZ54">
        <v>35.200000000000003</v>
      </c>
      <c r="BC54">
        <v>28.234000000000002</v>
      </c>
      <c r="BD54">
        <v>8.558797921</v>
      </c>
      <c r="BE54">
        <v>2.684310451</v>
      </c>
      <c r="BF54">
        <v>8.89</v>
      </c>
      <c r="BH54">
        <v>27.577999999999999</v>
      </c>
      <c r="BI54">
        <v>27.186666670000001</v>
      </c>
      <c r="BJ54">
        <v>26.88</v>
      </c>
      <c r="BK54">
        <v>28.1751</v>
      </c>
      <c r="BL54">
        <v>340.18</v>
      </c>
    </row>
    <row r="55" spans="1:64" x14ac:dyDescent="0.2">
      <c r="A55" s="1">
        <v>43055</v>
      </c>
      <c r="B55" t="s">
        <v>81</v>
      </c>
      <c r="C55">
        <v>5</v>
      </c>
      <c r="D55" t="s">
        <v>63</v>
      </c>
      <c r="E55" t="s">
        <v>75</v>
      </c>
      <c r="F55" t="s">
        <v>69</v>
      </c>
      <c r="G55" s="2">
        <v>0.67587962962962955</v>
      </c>
      <c r="H55">
        <v>0.68</v>
      </c>
      <c r="I55" s="3">
        <v>0.67708333333333337</v>
      </c>
      <c r="J55" s="3">
        <v>0.69097222222222221</v>
      </c>
      <c r="K55">
        <v>1195</v>
      </c>
      <c r="L55">
        <v>1195</v>
      </c>
      <c r="M55">
        <v>1200</v>
      </c>
      <c r="N55">
        <f>129/L55*1200</f>
        <v>129.53974895397491</v>
      </c>
      <c r="O55">
        <v>892.72</v>
      </c>
      <c r="P55">
        <f>177/L55*1200</f>
        <v>177.74058577405856</v>
      </c>
      <c r="Q55">
        <v>0</v>
      </c>
      <c r="R55">
        <v>0</v>
      </c>
      <c r="S55">
        <v>268.12</v>
      </c>
      <c r="T55">
        <v>931.88</v>
      </c>
      <c r="U55">
        <v>1200</v>
      </c>
      <c r="V55">
        <v>0</v>
      </c>
      <c r="W55">
        <v>0</v>
      </c>
      <c r="X55">
        <v>268.12</v>
      </c>
      <c r="Y55">
        <v>931.88</v>
      </c>
      <c r="Z55">
        <v>0</v>
      </c>
      <c r="AA55">
        <v>0</v>
      </c>
      <c r="AB55">
        <f>N55/1200</f>
        <v>0.10794979079497909</v>
      </c>
      <c r="AC55">
        <f>O55/1200</f>
        <v>0.74393333333333334</v>
      </c>
      <c r="AD55">
        <f>P55/1200</f>
        <v>0.14811715481171547</v>
      </c>
      <c r="AE55">
        <f>Q55/1200</f>
        <v>0</v>
      </c>
      <c r="AF55">
        <f>R55/1200</f>
        <v>0</v>
      </c>
      <c r="AG55">
        <f>S55/1200</f>
        <v>0.22343333333333334</v>
      </c>
      <c r="AH55">
        <v>0.22</v>
      </c>
      <c r="AI55">
        <v>0.78</v>
      </c>
      <c r="AJ55">
        <v>78</v>
      </c>
      <c r="AK55">
        <v>1</v>
      </c>
      <c r="AL55">
        <v>0</v>
      </c>
      <c r="AM55">
        <v>0</v>
      </c>
      <c r="AN55">
        <v>0.22</v>
      </c>
      <c r="AO55">
        <v>0.78</v>
      </c>
      <c r="AP55">
        <v>0</v>
      </c>
      <c r="AQ55">
        <v>0</v>
      </c>
      <c r="AR55">
        <v>0</v>
      </c>
      <c r="AS55">
        <v>28.2</v>
      </c>
      <c r="AT55">
        <v>5.8068669999999996</v>
      </c>
      <c r="AU55">
        <v>3.4136490770000001</v>
      </c>
      <c r="AV55">
        <v>2.9</v>
      </c>
      <c r="AW55">
        <v>14.5</v>
      </c>
      <c r="AX55">
        <v>28.2</v>
      </c>
      <c r="AY55">
        <v>26</v>
      </c>
      <c r="AZ55">
        <v>26</v>
      </c>
      <c r="BA55">
        <v>30.9</v>
      </c>
      <c r="BB55">
        <v>1026</v>
      </c>
      <c r="BC55">
        <v>27.4</v>
      </c>
      <c r="BD55">
        <v>3.54</v>
      </c>
      <c r="BE55">
        <v>3.1583066039999999</v>
      </c>
      <c r="BF55">
        <v>-3.17</v>
      </c>
      <c r="BG55">
        <v>10.199999999999999</v>
      </c>
      <c r="BH55">
        <v>27.4</v>
      </c>
      <c r="BI55">
        <v>25.33</v>
      </c>
      <c r="BJ55">
        <v>25.33</v>
      </c>
      <c r="BK55">
        <v>30.17</v>
      </c>
      <c r="BL55">
        <v>781.67</v>
      </c>
    </row>
    <row r="56" spans="1:64" x14ac:dyDescent="0.2">
      <c r="A56" s="1">
        <v>43045</v>
      </c>
      <c r="B56" t="s">
        <v>78</v>
      </c>
      <c r="C56">
        <v>3</v>
      </c>
      <c r="D56" t="s">
        <v>76</v>
      </c>
      <c r="E56" t="s">
        <v>67</v>
      </c>
      <c r="F56" t="s">
        <v>65</v>
      </c>
      <c r="G56" s="2">
        <v>0.47821759259259261</v>
      </c>
      <c r="H56">
        <v>0.48</v>
      </c>
      <c r="I56" s="3">
        <v>0.47916666666666669</v>
      </c>
      <c r="J56" s="3">
        <v>0.49305555555555558</v>
      </c>
      <c r="K56">
        <v>1196</v>
      </c>
      <c r="L56">
        <v>1140</v>
      </c>
      <c r="M56">
        <v>1200</v>
      </c>
      <c r="N56">
        <v>87.37</v>
      </c>
      <c r="O56">
        <v>876.84</v>
      </c>
      <c r="P56">
        <v>214.74</v>
      </c>
      <c r="Q56">
        <v>0</v>
      </c>
      <c r="R56">
        <v>21.05</v>
      </c>
      <c r="S56">
        <v>276.83999999999997</v>
      </c>
      <c r="T56">
        <v>923.16</v>
      </c>
      <c r="U56">
        <v>1147.3699999999999</v>
      </c>
      <c r="V56">
        <v>52.63</v>
      </c>
      <c r="W56">
        <v>52.63</v>
      </c>
      <c r="X56">
        <v>224.21</v>
      </c>
      <c r="Y56">
        <v>923.16</v>
      </c>
      <c r="Z56">
        <v>0</v>
      </c>
      <c r="AA56">
        <v>158.94999999999999</v>
      </c>
      <c r="AB56">
        <f>N56/1200</f>
        <v>7.2808333333333336E-2</v>
      </c>
      <c r="AC56">
        <f>O56/1200</f>
        <v>0.73070000000000002</v>
      </c>
      <c r="AD56">
        <f>P56/1200</f>
        <v>0.17895</v>
      </c>
      <c r="AE56">
        <f>Q56/1200</f>
        <v>0</v>
      </c>
      <c r="AF56">
        <f>R56/1200</f>
        <v>1.7541666666666667E-2</v>
      </c>
      <c r="AG56">
        <f>S56/1200</f>
        <v>0.23069999999999999</v>
      </c>
      <c r="AH56">
        <v>0.23</v>
      </c>
      <c r="AI56">
        <v>0.77</v>
      </c>
      <c r="AJ56">
        <v>77</v>
      </c>
      <c r="AK56">
        <v>0.96</v>
      </c>
      <c r="AL56">
        <v>0.04</v>
      </c>
      <c r="AM56">
        <v>0.04</v>
      </c>
      <c r="AN56">
        <v>0.19</v>
      </c>
      <c r="AO56">
        <v>0.77</v>
      </c>
      <c r="AP56">
        <v>0</v>
      </c>
      <c r="AQ56">
        <v>0.13</v>
      </c>
      <c r="AR56">
        <v>0</v>
      </c>
      <c r="AS56">
        <v>35.799999999999997</v>
      </c>
      <c r="AT56">
        <v>5.9678500000000003</v>
      </c>
      <c r="AU56">
        <v>5.507345806</v>
      </c>
      <c r="AV56">
        <v>3.4</v>
      </c>
      <c r="AW56">
        <v>27.4</v>
      </c>
      <c r="AX56">
        <v>35.799999999999997</v>
      </c>
      <c r="AY56">
        <v>32.299999999999997</v>
      </c>
      <c r="AZ56">
        <v>32.299999999999997</v>
      </c>
      <c r="BA56">
        <v>37.1</v>
      </c>
      <c r="BB56">
        <v>1021</v>
      </c>
      <c r="BC56">
        <v>29.67</v>
      </c>
      <c r="BD56">
        <v>4.53</v>
      </c>
      <c r="BE56">
        <v>3.529243745</v>
      </c>
      <c r="BF56">
        <v>0.27</v>
      </c>
      <c r="BG56">
        <v>12.9</v>
      </c>
      <c r="BH56">
        <v>29.53</v>
      </c>
      <c r="BI56">
        <v>27.8</v>
      </c>
      <c r="BJ56">
        <v>27.7</v>
      </c>
      <c r="BK56">
        <v>33.07</v>
      </c>
      <c r="BL56">
        <v>907.33</v>
      </c>
    </row>
    <row r="57" spans="1:64" x14ac:dyDescent="0.2">
      <c r="A57" s="1">
        <v>43078</v>
      </c>
      <c r="B57" t="s">
        <v>62</v>
      </c>
      <c r="C57">
        <v>2</v>
      </c>
      <c r="D57" t="s">
        <v>76</v>
      </c>
      <c r="E57" t="s">
        <v>86</v>
      </c>
      <c r="F57" t="s">
        <v>65</v>
      </c>
      <c r="G57" s="2">
        <v>0.33908564814814812</v>
      </c>
      <c r="H57">
        <v>0.34</v>
      </c>
      <c r="I57" s="3">
        <v>0.34027777777777773</v>
      </c>
      <c r="J57" s="3">
        <v>0.35416666666666669</v>
      </c>
      <c r="K57">
        <v>1197</v>
      </c>
      <c r="L57">
        <f>K57-118</f>
        <v>1079</v>
      </c>
      <c r="M57">
        <v>1200</v>
      </c>
      <c r="N57">
        <f>113/L57*1200</f>
        <v>125.67191844300277</v>
      </c>
      <c r="O57">
        <f>769/L57*1200</f>
        <v>855.23632993512501</v>
      </c>
      <c r="P57">
        <f>190/L57*1200</f>
        <v>211.306765523633</v>
      </c>
      <c r="Q57">
        <f>7/L57*1200</f>
        <v>7.7849860982391101</v>
      </c>
      <c r="R57">
        <v>0</v>
      </c>
      <c r="S57">
        <v>293.61</v>
      </c>
      <c r="T57">
        <v>906.39</v>
      </c>
      <c r="U57">
        <v>1168.8599999999999</v>
      </c>
      <c r="V57">
        <v>31.14</v>
      </c>
      <c r="W57">
        <v>31.14</v>
      </c>
      <c r="X57">
        <v>262.47000000000003</v>
      </c>
      <c r="Y57">
        <v>1168.8599999999999</v>
      </c>
      <c r="Z57">
        <v>4.45</v>
      </c>
      <c r="AA57">
        <v>802.97</v>
      </c>
      <c r="AB57">
        <f>N57/1200</f>
        <v>0.10472659870250231</v>
      </c>
      <c r="AC57">
        <f>O57/1200</f>
        <v>0.71269694161260422</v>
      </c>
      <c r="AD57">
        <f>P57/1200</f>
        <v>0.17608897126969417</v>
      </c>
      <c r="AE57">
        <f>Q57/1200</f>
        <v>6.4874884151992582E-3</v>
      </c>
      <c r="AF57">
        <f>R57/1200</f>
        <v>0</v>
      </c>
      <c r="AG57">
        <f>S57/1200</f>
        <v>0.244675</v>
      </c>
      <c r="AH57">
        <v>0.24</v>
      </c>
      <c r="AI57">
        <v>0.76</v>
      </c>
      <c r="AJ57">
        <v>76</v>
      </c>
      <c r="AK57">
        <v>0.97</v>
      </c>
      <c r="AL57">
        <v>0.03</v>
      </c>
      <c r="AM57">
        <v>0.03</v>
      </c>
      <c r="AN57">
        <v>0.22</v>
      </c>
      <c r="AO57">
        <v>0.97</v>
      </c>
      <c r="AP57">
        <v>0</v>
      </c>
      <c r="AQ57">
        <v>0.67</v>
      </c>
      <c r="AR57">
        <v>0</v>
      </c>
      <c r="AS57">
        <v>37.619999999999997</v>
      </c>
      <c r="AT57">
        <v>8.6885420769999993</v>
      </c>
      <c r="AU57">
        <v>5.7210000000000001</v>
      </c>
      <c r="AV57">
        <v>8.9700000000000006</v>
      </c>
      <c r="AX57">
        <v>36.950000000000003</v>
      </c>
      <c r="AY57">
        <v>34.729999999999997</v>
      </c>
      <c r="AZ57">
        <v>34.619999999999997</v>
      </c>
      <c r="BC57">
        <v>25.632999999999999</v>
      </c>
      <c r="BD57">
        <v>7.9776629760000004</v>
      </c>
      <c r="BE57">
        <v>2.2244765439999998</v>
      </c>
      <c r="BF57">
        <v>7.85</v>
      </c>
      <c r="BH57">
        <v>25.53</v>
      </c>
      <c r="BI57">
        <v>24.628</v>
      </c>
      <c r="BJ57">
        <v>24.832000000000001</v>
      </c>
      <c r="BK57">
        <v>25.183949999999999</v>
      </c>
      <c r="BL57">
        <v>384.9</v>
      </c>
    </row>
    <row r="58" spans="1:64" x14ac:dyDescent="0.2">
      <c r="A58" s="1">
        <v>43078</v>
      </c>
      <c r="B58" t="s">
        <v>81</v>
      </c>
      <c r="C58">
        <v>5</v>
      </c>
      <c r="D58" t="s">
        <v>76</v>
      </c>
      <c r="E58" t="s">
        <v>71</v>
      </c>
      <c r="F58" t="s">
        <v>69</v>
      </c>
      <c r="G58" s="2">
        <v>0.71614583333333337</v>
      </c>
      <c r="H58">
        <v>0.72</v>
      </c>
      <c r="I58" s="3">
        <v>0.71527777777777779</v>
      </c>
      <c r="J58" s="3">
        <v>0.72916666666666663</v>
      </c>
      <c r="K58">
        <v>1196</v>
      </c>
      <c r="L58">
        <f>K58-88</f>
        <v>1108</v>
      </c>
      <c r="M58">
        <v>1200</v>
      </c>
      <c r="N58">
        <f>267/L58*1200</f>
        <v>289.16967509025272</v>
      </c>
      <c r="O58">
        <f>634/L58*1200</f>
        <v>686.64259927797832</v>
      </c>
      <c r="P58">
        <f>204/L58*1200</f>
        <v>220.93862815884478</v>
      </c>
      <c r="Q58">
        <f>3/L58*1200</f>
        <v>3.2490974729241877</v>
      </c>
      <c r="R58">
        <v>0</v>
      </c>
      <c r="S58">
        <v>300</v>
      </c>
      <c r="T58">
        <v>900</v>
      </c>
      <c r="U58">
        <v>1193.5</v>
      </c>
      <c r="V58">
        <v>6.5</v>
      </c>
      <c r="W58">
        <v>6.5</v>
      </c>
      <c r="X58">
        <v>293.5</v>
      </c>
      <c r="Y58">
        <v>900</v>
      </c>
      <c r="Z58">
        <v>0</v>
      </c>
      <c r="AA58">
        <v>931.41</v>
      </c>
      <c r="AB58">
        <f>N58/1200</f>
        <v>0.24097472924187727</v>
      </c>
      <c r="AC58">
        <f>O58/1200</f>
        <v>0.57220216606498198</v>
      </c>
      <c r="AD58">
        <f>P58/1200</f>
        <v>0.18411552346570398</v>
      </c>
      <c r="AE58">
        <f>Q58/1200</f>
        <v>2.707581227436823E-3</v>
      </c>
      <c r="AF58">
        <f>R58/1200</f>
        <v>0</v>
      </c>
      <c r="AG58">
        <f>S58/1200</f>
        <v>0.25</v>
      </c>
      <c r="AH58">
        <v>0.25</v>
      </c>
      <c r="AI58">
        <v>0.75</v>
      </c>
      <c r="AJ58">
        <v>75</v>
      </c>
      <c r="AK58">
        <v>0.99</v>
      </c>
      <c r="AL58">
        <v>0.01</v>
      </c>
      <c r="AM58">
        <v>0.01</v>
      </c>
      <c r="AN58">
        <v>0.24</v>
      </c>
      <c r="AO58">
        <v>0.75</v>
      </c>
      <c r="AP58">
        <v>0</v>
      </c>
      <c r="AQ58">
        <v>0.78</v>
      </c>
      <c r="AR58">
        <v>0</v>
      </c>
      <c r="AS58">
        <v>37.619999999999997</v>
      </c>
      <c r="AT58">
        <v>8.6885420769999993</v>
      </c>
      <c r="AU58">
        <v>5.7210000000000001</v>
      </c>
      <c r="AV58">
        <v>8.9700000000000006</v>
      </c>
      <c r="AX58">
        <v>36.950000000000003</v>
      </c>
      <c r="AY58">
        <v>34.729999999999997</v>
      </c>
      <c r="AZ58">
        <v>34.619999999999997</v>
      </c>
      <c r="BC58">
        <v>37.567</v>
      </c>
      <c r="BD58">
        <v>5.4591570850000002</v>
      </c>
      <c r="BE58">
        <v>5.6790551139999996</v>
      </c>
      <c r="BF58">
        <v>3.25</v>
      </c>
      <c r="BH58">
        <v>36.905999999999999</v>
      </c>
      <c r="BI58">
        <v>34.627000000000002</v>
      </c>
      <c r="BJ58">
        <v>34.527999999999999</v>
      </c>
      <c r="BK58">
        <v>38.908050000000003</v>
      </c>
      <c r="BL58">
        <v>276.12</v>
      </c>
    </row>
    <row r="59" spans="1:64" x14ac:dyDescent="0.2">
      <c r="A59" s="1">
        <v>43068</v>
      </c>
      <c r="B59" t="s">
        <v>81</v>
      </c>
      <c r="C59">
        <v>5</v>
      </c>
      <c r="D59" t="s">
        <v>76</v>
      </c>
      <c r="E59" t="s">
        <v>71</v>
      </c>
      <c r="F59" t="s">
        <v>69</v>
      </c>
      <c r="G59" s="2">
        <v>0.69317129629629637</v>
      </c>
      <c r="H59">
        <v>0.69</v>
      </c>
      <c r="I59" s="3">
        <v>0.69444444444444453</v>
      </c>
      <c r="J59" s="3">
        <v>0.70833333333333337</v>
      </c>
      <c r="K59">
        <v>1188</v>
      </c>
      <c r="L59">
        <v>1118</v>
      </c>
      <c r="M59">
        <v>1200</v>
      </c>
      <c r="N59">
        <f>(171-9)/L59*1200</f>
        <v>173.88193202146692</v>
      </c>
      <c r="O59">
        <v>619.32000000000005</v>
      </c>
      <c r="P59">
        <f>360/L59*1200</f>
        <v>386.40429338103758</v>
      </c>
      <c r="Q59">
        <v>0</v>
      </c>
      <c r="R59">
        <f>19/L59*1200</f>
        <v>20.393559928443651</v>
      </c>
      <c r="S59">
        <v>334.88</v>
      </c>
      <c r="T59">
        <v>865.12</v>
      </c>
      <c r="U59">
        <v>1171.02</v>
      </c>
      <c r="V59">
        <v>28.98</v>
      </c>
      <c r="W59">
        <v>28.98</v>
      </c>
      <c r="X59">
        <v>305.89999999999998</v>
      </c>
      <c r="Y59">
        <v>865.12</v>
      </c>
      <c r="Z59">
        <v>156.71</v>
      </c>
      <c r="AA59">
        <v>527.01</v>
      </c>
      <c r="AB59">
        <f>N59/1200</f>
        <v>0.14490161001788909</v>
      </c>
      <c r="AC59">
        <f>O59/1200</f>
        <v>0.5161</v>
      </c>
      <c r="AD59">
        <f>P59/1200</f>
        <v>0.32200357781753131</v>
      </c>
      <c r="AE59">
        <f>Q59/1200</f>
        <v>0</v>
      </c>
      <c r="AF59">
        <f>R59/1200</f>
        <v>1.6994633273703041E-2</v>
      </c>
      <c r="AG59">
        <f>S59/1200</f>
        <v>0.27906666666666669</v>
      </c>
      <c r="AH59">
        <v>0.28000000000000003</v>
      </c>
      <c r="AI59">
        <v>0.72</v>
      </c>
      <c r="AJ59">
        <v>72</v>
      </c>
      <c r="AK59">
        <v>0.98</v>
      </c>
      <c r="AL59">
        <v>0.02</v>
      </c>
      <c r="AM59">
        <v>0.02</v>
      </c>
      <c r="AN59">
        <v>0.25</v>
      </c>
      <c r="AO59">
        <v>0.72</v>
      </c>
      <c r="AP59">
        <v>0.13</v>
      </c>
      <c r="AQ59">
        <v>0.44</v>
      </c>
      <c r="AR59">
        <v>0</v>
      </c>
      <c r="AS59">
        <v>36.700000000000003</v>
      </c>
      <c r="AT59">
        <v>7.0407929999999999</v>
      </c>
      <c r="AU59">
        <v>5.6637609900000001</v>
      </c>
      <c r="AV59">
        <v>6.4</v>
      </c>
      <c r="AW59">
        <v>20.9</v>
      </c>
      <c r="AX59">
        <v>36.700000000000003</v>
      </c>
      <c r="AY59">
        <v>33.700000000000003</v>
      </c>
      <c r="AZ59">
        <v>33.700000000000003</v>
      </c>
      <c r="BA59">
        <v>38.700000000000003</v>
      </c>
      <c r="BB59">
        <v>1008</v>
      </c>
      <c r="BC59">
        <v>36.43</v>
      </c>
      <c r="BD59">
        <v>3.88</v>
      </c>
      <c r="BE59">
        <v>5.5187507680000003</v>
      </c>
      <c r="BF59">
        <v>-1.53</v>
      </c>
      <c r="BG59">
        <v>13.43</v>
      </c>
      <c r="BH59">
        <v>36.43</v>
      </c>
      <c r="BI59">
        <v>33.33</v>
      </c>
      <c r="BJ59">
        <v>33.33</v>
      </c>
      <c r="BK59">
        <v>38.1</v>
      </c>
      <c r="BL59">
        <v>700.67</v>
      </c>
    </row>
    <row r="60" spans="1:64" x14ac:dyDescent="0.2">
      <c r="A60" s="1">
        <v>43046</v>
      </c>
      <c r="B60" t="s">
        <v>81</v>
      </c>
      <c r="C60">
        <v>5</v>
      </c>
      <c r="D60" t="s">
        <v>76</v>
      </c>
      <c r="E60" t="s">
        <v>89</v>
      </c>
      <c r="F60" t="s">
        <v>65</v>
      </c>
      <c r="G60" s="2">
        <v>0.69070601851851843</v>
      </c>
      <c r="H60">
        <v>0.69</v>
      </c>
      <c r="I60" s="3">
        <v>0.69097222222222221</v>
      </c>
      <c r="J60" s="3">
        <v>0.70486111111111116</v>
      </c>
      <c r="K60">
        <v>1198</v>
      </c>
      <c r="L60">
        <v>1002</v>
      </c>
      <c r="M60">
        <v>1200</v>
      </c>
      <c r="N60">
        <f>241/L60*1200</f>
        <v>288.62275449101799</v>
      </c>
      <c r="O60">
        <f>443/L60*1200</f>
        <v>530.53892215568862</v>
      </c>
      <c r="P60">
        <f>277/L60*1200</f>
        <v>331.73652694610774</v>
      </c>
      <c r="Q60">
        <v>43.11</v>
      </c>
      <c r="R60">
        <v>5.99</v>
      </c>
      <c r="S60">
        <v>355.69</v>
      </c>
      <c r="T60">
        <v>844.31</v>
      </c>
      <c r="U60">
        <v>1158.08</v>
      </c>
      <c r="V60">
        <v>41.92</v>
      </c>
      <c r="W60">
        <v>41.92</v>
      </c>
      <c r="X60">
        <v>313.77</v>
      </c>
      <c r="Y60">
        <v>844.31</v>
      </c>
      <c r="Z60">
        <v>0</v>
      </c>
      <c r="AA60">
        <v>711.38</v>
      </c>
      <c r="AB60">
        <f>N60/1200</f>
        <v>0.24051896207584833</v>
      </c>
      <c r="AC60">
        <f>O60/1200</f>
        <v>0.44211576846307388</v>
      </c>
      <c r="AD60">
        <f>P60/1200</f>
        <v>0.27644710578842313</v>
      </c>
      <c r="AE60">
        <f>Q60/1200</f>
        <v>3.5924999999999999E-2</v>
      </c>
      <c r="AF60">
        <f>R60/1200</f>
        <v>4.9916666666666668E-3</v>
      </c>
      <c r="AG60">
        <f>S60/1200</f>
        <v>0.29640833333333333</v>
      </c>
      <c r="AH60">
        <v>0.3</v>
      </c>
      <c r="AI60">
        <v>0.7</v>
      </c>
      <c r="AJ60">
        <v>70</v>
      </c>
      <c r="AK60">
        <v>0.97</v>
      </c>
      <c r="AL60">
        <v>0.03</v>
      </c>
      <c r="AM60">
        <v>0.03</v>
      </c>
      <c r="AN60">
        <v>0.26</v>
      </c>
      <c r="AO60">
        <v>0.7</v>
      </c>
      <c r="AP60">
        <v>0</v>
      </c>
      <c r="AQ60">
        <v>0.59</v>
      </c>
      <c r="AR60">
        <v>0</v>
      </c>
      <c r="AS60">
        <v>34.86</v>
      </c>
      <c r="AT60">
        <v>5.1120149340000003</v>
      </c>
      <c r="AU60">
        <v>5.2644798189999999</v>
      </c>
      <c r="AV60">
        <v>1.77</v>
      </c>
      <c r="AX60">
        <v>34.36</v>
      </c>
      <c r="AY60">
        <v>30.99</v>
      </c>
      <c r="AZ60">
        <v>30.98</v>
      </c>
      <c r="BC60">
        <v>34.456000000000003</v>
      </c>
      <c r="BD60">
        <v>2.738417637</v>
      </c>
      <c r="BE60">
        <v>5.0633127529999999</v>
      </c>
      <c r="BF60">
        <v>-6.51</v>
      </c>
      <c r="BH60">
        <v>33.978000000000002</v>
      </c>
      <c r="BI60">
        <v>30.789000000000001</v>
      </c>
      <c r="BJ60">
        <v>30.783999999999999</v>
      </c>
      <c r="BL60">
        <v>412.21</v>
      </c>
    </row>
    <row r="61" spans="1:64" x14ac:dyDescent="0.2">
      <c r="A61" s="1">
        <v>43077</v>
      </c>
      <c r="B61" t="s">
        <v>81</v>
      </c>
      <c r="C61">
        <v>5</v>
      </c>
      <c r="D61" t="s">
        <v>76</v>
      </c>
      <c r="E61" t="s">
        <v>90</v>
      </c>
      <c r="F61" t="s">
        <v>65</v>
      </c>
      <c r="G61" s="2">
        <v>0.70444444444444443</v>
      </c>
      <c r="H61">
        <v>0.7</v>
      </c>
      <c r="I61" s="3">
        <v>0.70486111111111116</v>
      </c>
      <c r="J61" s="3">
        <v>0.71875</v>
      </c>
      <c r="K61">
        <v>1196</v>
      </c>
      <c r="L61">
        <v>1196</v>
      </c>
      <c r="M61">
        <v>1200</v>
      </c>
      <c r="N61">
        <v>32.11</v>
      </c>
      <c r="O61">
        <v>1014.38</v>
      </c>
      <c r="P61">
        <v>153.51</v>
      </c>
      <c r="Q61">
        <v>0</v>
      </c>
      <c r="R61">
        <v>0</v>
      </c>
      <c r="S61">
        <v>361.2</v>
      </c>
      <c r="T61">
        <v>838.8</v>
      </c>
      <c r="U61">
        <v>1057.53</v>
      </c>
      <c r="V61">
        <v>142.47</v>
      </c>
      <c r="W61">
        <v>142.47</v>
      </c>
      <c r="X61">
        <v>218.73</v>
      </c>
      <c r="Y61">
        <v>838.8</v>
      </c>
      <c r="Z61">
        <v>290.97000000000003</v>
      </c>
      <c r="AA61">
        <v>810.7</v>
      </c>
      <c r="AB61">
        <f>N61/1200</f>
        <v>2.6758333333333332E-2</v>
      </c>
      <c r="AC61">
        <f>O61/1200</f>
        <v>0.84531666666666672</v>
      </c>
      <c r="AD61">
        <f>P61/1200</f>
        <v>0.12792499999999998</v>
      </c>
      <c r="AE61">
        <f>Q61/1200</f>
        <v>0</v>
      </c>
      <c r="AF61">
        <f>R61/1200</f>
        <v>0</v>
      </c>
      <c r="AG61">
        <f>S61/1200</f>
        <v>0.30099999999999999</v>
      </c>
      <c r="AH61">
        <v>0.3</v>
      </c>
      <c r="AI61">
        <v>0.7</v>
      </c>
      <c r="AJ61">
        <v>70</v>
      </c>
      <c r="AK61">
        <v>0.88</v>
      </c>
      <c r="AL61">
        <v>0.12</v>
      </c>
      <c r="AM61">
        <v>0.12</v>
      </c>
      <c r="AN61">
        <v>0.18</v>
      </c>
      <c r="AO61">
        <v>0.7</v>
      </c>
      <c r="AP61">
        <v>0.24</v>
      </c>
      <c r="AQ61">
        <v>0.68</v>
      </c>
      <c r="AR61">
        <v>0</v>
      </c>
      <c r="AS61">
        <v>37.21</v>
      </c>
      <c r="AT61">
        <v>9.7431214090000005</v>
      </c>
      <c r="AU61">
        <v>5.3390000000000004</v>
      </c>
      <c r="AV61">
        <v>10.81</v>
      </c>
      <c r="AX61">
        <v>36.57</v>
      </c>
      <c r="AY61">
        <v>35.435000000000002</v>
      </c>
      <c r="AZ61">
        <v>35.200000000000003</v>
      </c>
      <c r="BC61">
        <v>36.597999999999999</v>
      </c>
      <c r="BD61">
        <v>7.2010837329999999</v>
      </c>
      <c r="BE61">
        <v>5.1243569769999997</v>
      </c>
      <c r="BF61">
        <v>6.9166666670000003</v>
      </c>
      <c r="BH61">
        <v>35.994</v>
      </c>
      <c r="BI61">
        <v>34.458666669999999</v>
      </c>
      <c r="BJ61">
        <v>34.271999999999998</v>
      </c>
      <c r="BK61">
        <v>37.793700000000001</v>
      </c>
      <c r="BL61">
        <v>339.76</v>
      </c>
    </row>
    <row r="62" spans="1:64" x14ac:dyDescent="0.2">
      <c r="A62" s="1">
        <v>43045</v>
      </c>
      <c r="B62" t="s">
        <v>81</v>
      </c>
      <c r="C62">
        <v>6</v>
      </c>
      <c r="D62" t="s">
        <v>76</v>
      </c>
      <c r="E62" t="s">
        <v>84</v>
      </c>
      <c r="F62" t="s">
        <v>69</v>
      </c>
      <c r="G62" s="2">
        <v>0.76218750000000002</v>
      </c>
      <c r="H62">
        <v>0.76</v>
      </c>
      <c r="I62" s="3">
        <v>0.76388888888888884</v>
      </c>
      <c r="J62" s="3">
        <v>0.77777777777777779</v>
      </c>
      <c r="K62">
        <v>1196</v>
      </c>
      <c r="L62">
        <v>1178</v>
      </c>
      <c r="M62">
        <v>1200</v>
      </c>
      <c r="N62">
        <f>862/L62*1200</f>
        <v>878.09847198641774</v>
      </c>
      <c r="O62">
        <v>37.69</v>
      </c>
      <c r="P62">
        <f>279/L62*1200</f>
        <v>284.21052631578948</v>
      </c>
      <c r="Q62">
        <v>0</v>
      </c>
      <c r="R62">
        <v>0</v>
      </c>
      <c r="S62">
        <v>404.41</v>
      </c>
      <c r="T62">
        <v>795.59</v>
      </c>
      <c r="U62">
        <v>1200</v>
      </c>
      <c r="V62">
        <v>0</v>
      </c>
      <c r="W62">
        <v>0</v>
      </c>
      <c r="X62">
        <v>404.41</v>
      </c>
      <c r="Y62">
        <v>795.59</v>
      </c>
      <c r="Z62">
        <v>0</v>
      </c>
      <c r="AA62">
        <v>0</v>
      </c>
      <c r="AB62">
        <f>N62/1200</f>
        <v>0.73174872665534807</v>
      </c>
      <c r="AC62">
        <f>O62/1200</f>
        <v>3.140833333333333E-2</v>
      </c>
      <c r="AD62">
        <f>P62/1200</f>
        <v>0.23684210526315791</v>
      </c>
      <c r="AE62">
        <f>Q62/1200</f>
        <v>0</v>
      </c>
      <c r="AF62">
        <f>R62/1200</f>
        <v>0</v>
      </c>
      <c r="AG62">
        <f>S62/1200</f>
        <v>0.33700833333333335</v>
      </c>
      <c r="AH62">
        <v>0.34</v>
      </c>
      <c r="AI62">
        <v>0.66</v>
      </c>
      <c r="AJ62">
        <v>66</v>
      </c>
      <c r="AK62">
        <v>1</v>
      </c>
      <c r="AL62">
        <v>0</v>
      </c>
      <c r="AM62">
        <v>0</v>
      </c>
      <c r="AN62">
        <v>0.34</v>
      </c>
      <c r="AO62">
        <v>0.66</v>
      </c>
      <c r="AP62">
        <v>0</v>
      </c>
      <c r="AQ62">
        <v>0</v>
      </c>
      <c r="AR62">
        <v>0</v>
      </c>
      <c r="AS62">
        <v>35.799999999999997</v>
      </c>
      <c r="AT62">
        <v>5.9678500000000003</v>
      </c>
      <c r="AU62">
        <v>5.507345806</v>
      </c>
      <c r="AV62">
        <v>3.4</v>
      </c>
      <c r="AW62">
        <v>27.4</v>
      </c>
      <c r="AX62">
        <v>35.799999999999997</v>
      </c>
      <c r="AY62">
        <v>32.299999999999997</v>
      </c>
      <c r="AZ62">
        <v>32.299999999999997</v>
      </c>
      <c r="BA62">
        <v>37.1</v>
      </c>
      <c r="BB62">
        <v>1021</v>
      </c>
      <c r="BC62">
        <v>35.03</v>
      </c>
      <c r="BD62">
        <v>2.4</v>
      </c>
      <c r="BE62">
        <v>5.2797453159999996</v>
      </c>
      <c r="BF62">
        <v>-7.93</v>
      </c>
      <c r="BG62">
        <v>10.199999999999999</v>
      </c>
      <c r="BH62">
        <v>35.03</v>
      </c>
      <c r="BI62">
        <v>31.63</v>
      </c>
      <c r="BJ62">
        <v>31.63</v>
      </c>
      <c r="BK62">
        <v>35.17</v>
      </c>
      <c r="BL62">
        <v>318</v>
      </c>
    </row>
    <row r="63" spans="1:64" x14ac:dyDescent="0.2">
      <c r="A63" s="1">
        <v>43036</v>
      </c>
      <c r="B63" t="s">
        <v>78</v>
      </c>
      <c r="C63">
        <v>4</v>
      </c>
      <c r="D63" t="s">
        <v>63</v>
      </c>
      <c r="E63" t="s">
        <v>83</v>
      </c>
      <c r="F63" t="s">
        <v>69</v>
      </c>
      <c r="G63" s="2">
        <v>0.55690972222222224</v>
      </c>
      <c r="H63">
        <v>0.56000000000000005</v>
      </c>
      <c r="I63" s="3">
        <v>0.55555555555555558</v>
      </c>
      <c r="J63" s="3">
        <v>0.56944444444444442</v>
      </c>
      <c r="K63">
        <v>1197</v>
      </c>
      <c r="L63">
        <v>1197</v>
      </c>
      <c r="M63">
        <v>1200</v>
      </c>
      <c r="N63">
        <v>0</v>
      </c>
      <c r="O63">
        <f>733/L63*1200</f>
        <v>734.83709273182956</v>
      </c>
      <c r="P63">
        <v>18.05</v>
      </c>
      <c r="Q63">
        <v>3.01</v>
      </c>
      <c r="R63">
        <v>444.11</v>
      </c>
      <c r="S63">
        <v>462.16</v>
      </c>
      <c r="T63">
        <v>737.84</v>
      </c>
      <c r="U63">
        <v>744.86</v>
      </c>
      <c r="V63">
        <v>455.14</v>
      </c>
      <c r="W63">
        <v>455.14</v>
      </c>
      <c r="X63">
        <v>7.02</v>
      </c>
      <c r="Y63">
        <v>737.84</v>
      </c>
      <c r="Z63">
        <v>0</v>
      </c>
      <c r="AA63">
        <v>0</v>
      </c>
      <c r="AB63">
        <f>N63/1200</f>
        <v>0</v>
      </c>
      <c r="AC63">
        <f>O63/1200</f>
        <v>0.61236424394319133</v>
      </c>
      <c r="AD63">
        <f>P63/1200</f>
        <v>1.5041666666666667E-2</v>
      </c>
      <c r="AE63">
        <f>Q63/1200</f>
        <v>2.5083333333333333E-3</v>
      </c>
      <c r="AF63">
        <f>R63/1200</f>
        <v>0.37009166666666665</v>
      </c>
      <c r="AG63">
        <f>S63/1200</f>
        <v>0.38513333333333333</v>
      </c>
      <c r="AH63">
        <v>0.39</v>
      </c>
      <c r="AI63">
        <v>0.61</v>
      </c>
      <c r="AJ63">
        <v>61</v>
      </c>
      <c r="AK63">
        <v>0.62</v>
      </c>
      <c r="AL63">
        <v>0.38</v>
      </c>
      <c r="AM63">
        <v>0.38</v>
      </c>
      <c r="AN63">
        <v>0.01</v>
      </c>
      <c r="AO63">
        <v>0.61</v>
      </c>
      <c r="AP63">
        <v>0</v>
      </c>
      <c r="AQ63">
        <v>0</v>
      </c>
      <c r="AR63">
        <v>0</v>
      </c>
      <c r="AS63">
        <v>29.6</v>
      </c>
      <c r="AT63">
        <v>4.489446</v>
      </c>
      <c r="AU63">
        <v>3.8062265740000001</v>
      </c>
      <c r="AV63">
        <v>-0.3</v>
      </c>
      <c r="AW63">
        <v>29</v>
      </c>
      <c r="AX63">
        <v>29.4</v>
      </c>
      <c r="AY63">
        <v>27.5</v>
      </c>
      <c r="AZ63">
        <v>27.4</v>
      </c>
      <c r="BA63">
        <v>31.8</v>
      </c>
      <c r="BB63">
        <v>1029</v>
      </c>
      <c r="BC63">
        <v>27.5</v>
      </c>
      <c r="BD63">
        <v>2.41</v>
      </c>
      <c r="BE63">
        <v>3.3334494779999999</v>
      </c>
      <c r="BF63">
        <v>-8.27</v>
      </c>
      <c r="BG63">
        <v>13.43</v>
      </c>
      <c r="BH63">
        <v>27.17</v>
      </c>
      <c r="BI63">
        <v>25.17</v>
      </c>
      <c r="BJ63">
        <v>24.83</v>
      </c>
      <c r="BK63">
        <v>29.13</v>
      </c>
      <c r="BL63">
        <v>992</v>
      </c>
    </row>
    <row r="64" spans="1:64" x14ac:dyDescent="0.2">
      <c r="A64" s="1">
        <v>43075</v>
      </c>
      <c r="B64" t="s">
        <v>62</v>
      </c>
      <c r="C64">
        <v>2</v>
      </c>
      <c r="D64" t="s">
        <v>76</v>
      </c>
      <c r="E64" t="s">
        <v>71</v>
      </c>
      <c r="F64" t="s">
        <v>69</v>
      </c>
      <c r="G64" s="2">
        <v>0.3961574074074074</v>
      </c>
      <c r="H64">
        <v>0.4</v>
      </c>
      <c r="I64" s="3">
        <v>0.39583333333333331</v>
      </c>
      <c r="J64" s="3">
        <v>0.40972222222222227</v>
      </c>
      <c r="K64">
        <v>1196</v>
      </c>
      <c r="L64">
        <v>1185</v>
      </c>
      <c r="M64">
        <v>1200</v>
      </c>
      <c r="N64">
        <f>191/L64*1200</f>
        <v>193.41772151898735</v>
      </c>
      <c r="O64">
        <v>663.29</v>
      </c>
      <c r="P64">
        <f>311/L64*1200</f>
        <v>314.9367088607595</v>
      </c>
      <c r="Q64">
        <v>28.35</v>
      </c>
      <c r="R64">
        <v>0</v>
      </c>
      <c r="S64">
        <v>464.81</v>
      </c>
      <c r="T64">
        <v>735.19</v>
      </c>
      <c r="U64">
        <v>1200</v>
      </c>
      <c r="V64">
        <v>0</v>
      </c>
      <c r="W64">
        <v>0</v>
      </c>
      <c r="X64">
        <v>464.81</v>
      </c>
      <c r="Y64">
        <v>735.19</v>
      </c>
      <c r="Z64">
        <v>0</v>
      </c>
      <c r="AA64">
        <v>0</v>
      </c>
      <c r="AB64">
        <f>N64/1200</f>
        <v>0.16118143459915613</v>
      </c>
      <c r="AC64">
        <f>O64/1200</f>
        <v>0.55274166666666669</v>
      </c>
      <c r="AD64">
        <f>P64/1200</f>
        <v>0.26244725738396624</v>
      </c>
      <c r="AE64">
        <f>Q64/1200</f>
        <v>2.3625E-2</v>
      </c>
      <c r="AF64">
        <f>R64/1200</f>
        <v>0</v>
      </c>
      <c r="AG64">
        <f>S64/1200</f>
        <v>0.3873416666666667</v>
      </c>
      <c r="AH64">
        <v>0.39</v>
      </c>
      <c r="AI64">
        <v>0.61</v>
      </c>
      <c r="AJ64">
        <v>61</v>
      </c>
      <c r="AK64">
        <v>1</v>
      </c>
      <c r="AL64">
        <v>0</v>
      </c>
      <c r="AM64">
        <v>0</v>
      </c>
      <c r="AN64">
        <v>0.39</v>
      </c>
      <c r="AO64">
        <v>0.61</v>
      </c>
      <c r="AP64">
        <v>0</v>
      </c>
      <c r="AQ64">
        <v>0</v>
      </c>
      <c r="AR64">
        <v>0</v>
      </c>
      <c r="AS64">
        <v>35.578000000000003</v>
      </c>
      <c r="AT64">
        <v>10.135709009999999</v>
      </c>
      <c r="AU64">
        <v>5.0049074349999998</v>
      </c>
      <c r="AV64">
        <v>10.9</v>
      </c>
      <c r="AX64">
        <v>35.033999999999999</v>
      </c>
      <c r="AY64">
        <v>33.011000000000003</v>
      </c>
      <c r="AZ64">
        <v>32.896000000000001</v>
      </c>
      <c r="BC64">
        <v>25.071999999999999</v>
      </c>
      <c r="BD64">
        <v>9.827523459</v>
      </c>
      <c r="BE64">
        <v>1.8966874730000001</v>
      </c>
      <c r="BF64">
        <v>10.61</v>
      </c>
      <c r="BH64">
        <v>22.937999999999999</v>
      </c>
      <c r="BI64">
        <v>24.577500000000001</v>
      </c>
      <c r="BJ64">
        <v>22.72</v>
      </c>
      <c r="BK64">
        <v>24.538799999999998</v>
      </c>
      <c r="BL64">
        <v>631.66</v>
      </c>
    </row>
    <row r="65" spans="1:64" x14ac:dyDescent="0.2">
      <c r="A65" s="1">
        <v>43050</v>
      </c>
      <c r="B65" t="s">
        <v>62</v>
      </c>
      <c r="C65">
        <v>2</v>
      </c>
      <c r="D65" t="s">
        <v>63</v>
      </c>
      <c r="E65" t="s">
        <v>75</v>
      </c>
      <c r="F65" t="s">
        <v>69</v>
      </c>
      <c r="G65" s="2">
        <v>0.3885763888888889</v>
      </c>
      <c r="H65">
        <v>0.39</v>
      </c>
      <c r="I65" s="3">
        <v>0.3888888888888889</v>
      </c>
      <c r="J65" s="3">
        <v>0.40277777777777773</v>
      </c>
      <c r="K65">
        <v>1194</v>
      </c>
      <c r="L65">
        <v>1194</v>
      </c>
      <c r="M65">
        <v>1200</v>
      </c>
      <c r="N65">
        <f>143/L65*1200</f>
        <v>143.71859296482413</v>
      </c>
      <c r="O65">
        <v>682.41</v>
      </c>
      <c r="P65">
        <f>372/L65*1200</f>
        <v>373.86934673366835</v>
      </c>
      <c r="Q65">
        <v>0</v>
      </c>
      <c r="R65">
        <v>0</v>
      </c>
      <c r="S65">
        <v>470.35</v>
      </c>
      <c r="T65">
        <v>729.65</v>
      </c>
      <c r="U65">
        <v>1200</v>
      </c>
      <c r="V65">
        <v>0</v>
      </c>
      <c r="W65">
        <v>0</v>
      </c>
      <c r="X65">
        <v>470.35</v>
      </c>
      <c r="Y65">
        <v>729.65</v>
      </c>
      <c r="Z65">
        <v>0</v>
      </c>
      <c r="AA65">
        <v>0</v>
      </c>
      <c r="AB65">
        <f>N65/1200</f>
        <v>0.11976549413735343</v>
      </c>
      <c r="AC65">
        <f>O65/1200</f>
        <v>0.56867499999999993</v>
      </c>
      <c r="AD65">
        <f>P65/1200</f>
        <v>0.31155778894472363</v>
      </c>
      <c r="AE65">
        <f>Q65/1200</f>
        <v>0</v>
      </c>
      <c r="AF65">
        <f>R65/1200</f>
        <v>0</v>
      </c>
      <c r="AG65">
        <f>S65/1200</f>
        <v>0.39195833333333335</v>
      </c>
      <c r="AH65">
        <v>0.39</v>
      </c>
      <c r="AI65">
        <v>0.61</v>
      </c>
      <c r="AJ65">
        <v>61</v>
      </c>
      <c r="AK65">
        <v>1</v>
      </c>
      <c r="AL65">
        <v>0</v>
      </c>
      <c r="AM65">
        <v>0</v>
      </c>
      <c r="AN65">
        <v>0.39</v>
      </c>
      <c r="AO65">
        <v>0.61</v>
      </c>
      <c r="AP65">
        <v>0</v>
      </c>
      <c r="AQ65">
        <v>0</v>
      </c>
      <c r="AR65">
        <v>0</v>
      </c>
      <c r="AS65">
        <v>33.200000000000003</v>
      </c>
      <c r="AT65">
        <v>9.8851279999999999</v>
      </c>
      <c r="AU65">
        <v>4.4656621989999996</v>
      </c>
      <c r="AV65">
        <v>10.9</v>
      </c>
      <c r="AW65">
        <v>22.5</v>
      </c>
      <c r="AX65">
        <v>33.200000000000003</v>
      </c>
      <c r="AY65">
        <v>30.8</v>
      </c>
      <c r="AZ65">
        <v>30.8</v>
      </c>
      <c r="BA65">
        <v>35.5</v>
      </c>
      <c r="BB65">
        <v>990</v>
      </c>
      <c r="BC65">
        <v>21.77</v>
      </c>
      <c r="BD65">
        <v>8.52</v>
      </c>
      <c r="BE65">
        <v>1.4603556369999999</v>
      </c>
      <c r="BF65">
        <v>8.93</v>
      </c>
      <c r="BG65">
        <v>1.6</v>
      </c>
      <c r="BH65">
        <v>21.77</v>
      </c>
      <c r="BI65">
        <v>20.77</v>
      </c>
      <c r="BJ65">
        <v>20.77</v>
      </c>
      <c r="BK65">
        <v>27.53</v>
      </c>
      <c r="BL65">
        <v>523</v>
      </c>
    </row>
    <row r="66" spans="1:64" x14ac:dyDescent="0.2">
      <c r="A66" s="1">
        <v>43045</v>
      </c>
      <c r="B66" t="s">
        <v>78</v>
      </c>
      <c r="C66">
        <v>4</v>
      </c>
      <c r="D66" t="s">
        <v>76</v>
      </c>
      <c r="E66" t="s">
        <v>89</v>
      </c>
      <c r="F66" t="s">
        <v>65</v>
      </c>
      <c r="G66" s="2">
        <v>0.56494212962962964</v>
      </c>
      <c r="H66">
        <v>0.56000000000000005</v>
      </c>
      <c r="I66" s="3">
        <v>0.56597222222222221</v>
      </c>
      <c r="J66" s="3">
        <v>0.57986111111111105</v>
      </c>
      <c r="K66">
        <v>1192</v>
      </c>
      <c r="L66">
        <v>1192</v>
      </c>
      <c r="M66">
        <v>1200</v>
      </c>
      <c r="N66">
        <v>68.459999999999994</v>
      </c>
      <c r="O66">
        <v>656.38</v>
      </c>
      <c r="P66">
        <v>330.2</v>
      </c>
      <c r="Q66">
        <v>0</v>
      </c>
      <c r="R66">
        <v>144.97</v>
      </c>
      <c r="S66">
        <v>475.17</v>
      </c>
      <c r="T66">
        <v>724.83</v>
      </c>
      <c r="U66">
        <v>1021.81</v>
      </c>
      <c r="V66">
        <v>178.19</v>
      </c>
      <c r="W66">
        <v>178.19</v>
      </c>
      <c r="X66">
        <v>296.98</v>
      </c>
      <c r="Y66">
        <v>724.83</v>
      </c>
      <c r="Z66">
        <v>0</v>
      </c>
      <c r="AA66">
        <v>722.82</v>
      </c>
      <c r="AB66">
        <f>N66/1200</f>
        <v>5.7049999999999997E-2</v>
      </c>
      <c r="AC66">
        <f>O66/1200</f>
        <v>0.54698333333333338</v>
      </c>
      <c r="AD66">
        <f>P66/1200</f>
        <v>0.27516666666666667</v>
      </c>
      <c r="AE66">
        <f>Q66/1200</f>
        <v>0</v>
      </c>
      <c r="AF66">
        <f>R66/1200</f>
        <v>0.12080833333333334</v>
      </c>
      <c r="AG66">
        <f>S66/1200</f>
        <v>0.39597500000000002</v>
      </c>
      <c r="AH66">
        <v>0.4</v>
      </c>
      <c r="AI66">
        <v>0.6</v>
      </c>
      <c r="AJ66">
        <v>60</v>
      </c>
      <c r="AK66">
        <v>0.85</v>
      </c>
      <c r="AL66">
        <v>0.15</v>
      </c>
      <c r="AM66">
        <v>0.15</v>
      </c>
      <c r="AN66">
        <v>0.25</v>
      </c>
      <c r="AO66">
        <v>0.6</v>
      </c>
      <c r="AP66">
        <v>0</v>
      </c>
      <c r="AQ66">
        <v>0.6</v>
      </c>
      <c r="AR66">
        <v>0</v>
      </c>
      <c r="AS66">
        <v>35.799999999999997</v>
      </c>
      <c r="AT66">
        <v>5.9678500000000003</v>
      </c>
      <c r="AU66">
        <v>5.507345806</v>
      </c>
      <c r="AV66">
        <v>3.4</v>
      </c>
      <c r="AW66">
        <v>27.4</v>
      </c>
      <c r="AX66">
        <v>35.799999999999997</v>
      </c>
      <c r="AY66">
        <v>32.299999999999997</v>
      </c>
      <c r="AZ66">
        <v>32.299999999999997</v>
      </c>
      <c r="BA66">
        <v>37.1</v>
      </c>
      <c r="BB66">
        <v>1021</v>
      </c>
      <c r="BC66">
        <v>32.53</v>
      </c>
      <c r="BD66">
        <v>3.63</v>
      </c>
      <c r="BE66">
        <v>4.382765021</v>
      </c>
      <c r="BF66">
        <v>-2.63</v>
      </c>
      <c r="BG66">
        <v>10.23</v>
      </c>
      <c r="BH66">
        <v>32.53</v>
      </c>
      <c r="BI66">
        <v>30</v>
      </c>
      <c r="BJ66">
        <v>30</v>
      </c>
      <c r="BK66">
        <v>34.6</v>
      </c>
      <c r="BL66">
        <v>1018.67</v>
      </c>
    </row>
    <row r="67" spans="1:64" x14ac:dyDescent="0.2">
      <c r="A67" s="1">
        <v>43049</v>
      </c>
      <c r="B67" t="s">
        <v>78</v>
      </c>
      <c r="C67">
        <v>3</v>
      </c>
      <c r="D67" t="s">
        <v>63</v>
      </c>
      <c r="E67" t="s">
        <v>67</v>
      </c>
      <c r="F67" t="s">
        <v>65</v>
      </c>
      <c r="G67" s="2">
        <v>0.46488425925925925</v>
      </c>
      <c r="H67">
        <v>0.46</v>
      </c>
      <c r="I67" s="3">
        <v>0.46527777777777773</v>
      </c>
      <c r="J67" s="3">
        <v>0.47916666666666669</v>
      </c>
      <c r="K67">
        <v>1197</v>
      </c>
      <c r="L67">
        <v>1004</v>
      </c>
      <c r="M67">
        <v>1200</v>
      </c>
      <c r="N67">
        <f>157/L67*1200</f>
        <v>187.64940239043824</v>
      </c>
      <c r="O67">
        <f>555/L67*1200</f>
        <v>663.34661354581669</v>
      </c>
      <c r="P67">
        <f>292/L67*1200</f>
        <v>349.00398406374507</v>
      </c>
      <c r="Q67">
        <v>0</v>
      </c>
      <c r="R67">
        <v>0</v>
      </c>
      <c r="S67">
        <v>519.91999999999996</v>
      </c>
      <c r="T67">
        <v>680.08</v>
      </c>
      <c r="U67">
        <v>1185.6600000000001</v>
      </c>
      <c r="V67">
        <v>14.34</v>
      </c>
      <c r="W67">
        <v>14.34</v>
      </c>
      <c r="X67">
        <v>505.58</v>
      </c>
      <c r="Y67">
        <v>680.08</v>
      </c>
      <c r="Z67">
        <v>0</v>
      </c>
      <c r="AA67">
        <v>0</v>
      </c>
      <c r="AB67">
        <f>N67/1200</f>
        <v>0.15637450199203187</v>
      </c>
      <c r="AC67">
        <f>O67/1200</f>
        <v>0.5527888446215139</v>
      </c>
      <c r="AD67">
        <f>P67/1200</f>
        <v>0.2908366533864542</v>
      </c>
      <c r="AE67">
        <f>Q67/1200</f>
        <v>0</v>
      </c>
      <c r="AF67">
        <f>R67/1200</f>
        <v>0</v>
      </c>
      <c r="AG67">
        <f>S67/1200</f>
        <v>0.43326666666666663</v>
      </c>
      <c r="AH67">
        <v>0.43</v>
      </c>
      <c r="AI67">
        <v>0.56999999999999995</v>
      </c>
      <c r="AJ67">
        <v>57</v>
      </c>
      <c r="AK67">
        <v>0.99</v>
      </c>
      <c r="AL67">
        <v>0.01</v>
      </c>
      <c r="AM67">
        <v>0.01</v>
      </c>
      <c r="AN67">
        <v>0.42</v>
      </c>
      <c r="AO67">
        <v>0.56999999999999995</v>
      </c>
      <c r="AP67">
        <v>0</v>
      </c>
      <c r="AQ67">
        <v>0</v>
      </c>
      <c r="AR67">
        <v>0</v>
      </c>
      <c r="AS67">
        <v>32.1</v>
      </c>
      <c r="AT67">
        <v>8.347099</v>
      </c>
      <c r="AU67">
        <v>4.1484227489999999</v>
      </c>
      <c r="AV67">
        <v>8.4</v>
      </c>
      <c r="AW67">
        <v>12.9</v>
      </c>
      <c r="AX67">
        <v>32.1</v>
      </c>
      <c r="AY67">
        <v>29.7</v>
      </c>
      <c r="AZ67">
        <v>29.7</v>
      </c>
      <c r="BA67">
        <v>34.700000000000003</v>
      </c>
      <c r="BB67">
        <v>1007</v>
      </c>
      <c r="BC67">
        <v>24.97</v>
      </c>
      <c r="BD67">
        <v>7.6</v>
      </c>
      <c r="BE67">
        <v>2.125448783</v>
      </c>
      <c r="BF67">
        <v>7.4</v>
      </c>
      <c r="BG67">
        <v>8.0299999999999994</v>
      </c>
      <c r="BH67">
        <v>24.97</v>
      </c>
      <c r="BI67">
        <v>24.3</v>
      </c>
      <c r="BJ67">
        <v>24.3</v>
      </c>
      <c r="BK67">
        <v>30.3</v>
      </c>
      <c r="BL67">
        <v>854.33</v>
      </c>
    </row>
    <row r="68" spans="1:64" x14ac:dyDescent="0.2">
      <c r="A68" s="1">
        <v>43032</v>
      </c>
      <c r="B68" t="s">
        <v>78</v>
      </c>
      <c r="C68">
        <v>3</v>
      </c>
      <c r="D68" t="s">
        <v>63</v>
      </c>
      <c r="E68" t="s">
        <v>85</v>
      </c>
      <c r="F68" t="s">
        <v>65</v>
      </c>
      <c r="G68" s="2">
        <v>0.48928240740740742</v>
      </c>
      <c r="H68">
        <v>0.49</v>
      </c>
      <c r="I68" s="3">
        <v>0.48958333333333331</v>
      </c>
      <c r="J68" s="3">
        <v>0.50347222222222221</v>
      </c>
      <c r="K68">
        <v>1187</v>
      </c>
      <c r="L68">
        <v>1187</v>
      </c>
      <c r="M68">
        <v>1200</v>
      </c>
      <c r="N68">
        <f>466/L68*1200</f>
        <v>471.10362257792758</v>
      </c>
      <c r="O68">
        <f>484/L68*1200</f>
        <v>489.30075821398486</v>
      </c>
      <c r="P68">
        <f>204/L68*1200</f>
        <v>206.23420387531593</v>
      </c>
      <c r="Q68">
        <v>0</v>
      </c>
      <c r="R68">
        <f>33/L68*1200</f>
        <v>33.361415332771692</v>
      </c>
      <c r="S68">
        <v>528.73</v>
      </c>
      <c r="T68">
        <v>671.27</v>
      </c>
      <c r="U68">
        <v>1175.74</v>
      </c>
      <c r="V68">
        <v>24.26</v>
      </c>
      <c r="W68">
        <v>24.26</v>
      </c>
      <c r="X68">
        <v>504.47</v>
      </c>
      <c r="Y68">
        <v>671.27</v>
      </c>
      <c r="Z68">
        <v>0</v>
      </c>
      <c r="AA68">
        <v>0</v>
      </c>
      <c r="AB68">
        <f>N68/1200</f>
        <v>0.39258635214827298</v>
      </c>
      <c r="AC68">
        <f>O68/1200</f>
        <v>0.40775063184498739</v>
      </c>
      <c r="AD68">
        <f>P68/1200</f>
        <v>0.17186183656276327</v>
      </c>
      <c r="AE68">
        <f>Q68/1200</f>
        <v>0</v>
      </c>
      <c r="AF68">
        <f>R68/1200</f>
        <v>2.780117944397641E-2</v>
      </c>
      <c r="AG68">
        <f>S68/1200</f>
        <v>0.44060833333333332</v>
      </c>
      <c r="AH68">
        <v>0.44</v>
      </c>
      <c r="AI68">
        <v>0.56000000000000005</v>
      </c>
      <c r="AJ68">
        <v>56</v>
      </c>
      <c r="AK68">
        <v>0.98</v>
      </c>
      <c r="AL68">
        <v>0.02</v>
      </c>
      <c r="AM68">
        <v>0.02</v>
      </c>
      <c r="AN68">
        <v>0.42</v>
      </c>
      <c r="AO68">
        <v>0.56000000000000005</v>
      </c>
      <c r="AP68">
        <v>0</v>
      </c>
      <c r="AQ68">
        <v>0</v>
      </c>
      <c r="AR68">
        <v>0</v>
      </c>
      <c r="AS68">
        <v>33.4</v>
      </c>
      <c r="AT68">
        <v>8.5821120000000004</v>
      </c>
      <c r="AU68">
        <v>4.6677333750000001</v>
      </c>
      <c r="AV68">
        <v>8.6</v>
      </c>
      <c r="AW68">
        <v>22.5</v>
      </c>
      <c r="AX68">
        <v>33.4</v>
      </c>
      <c r="AY68">
        <v>30.8</v>
      </c>
      <c r="AZ68">
        <v>30.8</v>
      </c>
      <c r="BA68">
        <v>35.4</v>
      </c>
      <c r="BB68">
        <v>1010</v>
      </c>
      <c r="BC68">
        <v>25.5</v>
      </c>
      <c r="BD68">
        <v>6.38</v>
      </c>
      <c r="BE68">
        <v>2.3911797130000001</v>
      </c>
      <c r="BF68">
        <v>4.9000000000000004</v>
      </c>
      <c r="BG68">
        <v>8.57</v>
      </c>
      <c r="BH68">
        <v>25.5</v>
      </c>
      <c r="BI68">
        <v>24.47</v>
      </c>
      <c r="BJ68">
        <v>24.47</v>
      </c>
      <c r="BK68">
        <v>29.83</v>
      </c>
      <c r="BL68">
        <v>937.33</v>
      </c>
    </row>
    <row r="69" spans="1:64" x14ac:dyDescent="0.2">
      <c r="A69" s="1">
        <v>43049</v>
      </c>
      <c r="B69" t="s">
        <v>81</v>
      </c>
      <c r="C69">
        <v>5</v>
      </c>
      <c r="D69" t="s">
        <v>63</v>
      </c>
      <c r="E69" t="s">
        <v>75</v>
      </c>
      <c r="F69" t="s">
        <v>69</v>
      </c>
      <c r="G69" s="2">
        <v>0.74712962962962959</v>
      </c>
      <c r="H69">
        <v>0.75</v>
      </c>
      <c r="I69" s="3">
        <v>0.74652777777777779</v>
      </c>
      <c r="J69" s="3">
        <v>0.76041666666666663</v>
      </c>
      <c r="K69">
        <v>1193</v>
      </c>
      <c r="L69">
        <v>1140</v>
      </c>
      <c r="M69">
        <v>1200</v>
      </c>
      <c r="N69">
        <f>337/L69*1200</f>
        <v>354.73684210526312</v>
      </c>
      <c r="O69">
        <v>368.42</v>
      </c>
      <c r="P69">
        <f>453/L69*1200</f>
        <v>476.84210526315792</v>
      </c>
      <c r="Q69">
        <v>0</v>
      </c>
      <c r="R69">
        <v>0</v>
      </c>
      <c r="S69">
        <v>562.11</v>
      </c>
      <c r="T69">
        <v>637.89</v>
      </c>
      <c r="U69">
        <v>1187.3699999999999</v>
      </c>
      <c r="V69">
        <v>12.63</v>
      </c>
      <c r="W69">
        <v>12.63</v>
      </c>
      <c r="X69">
        <v>549.47</v>
      </c>
      <c r="Y69">
        <v>637.89</v>
      </c>
      <c r="Z69">
        <v>0</v>
      </c>
      <c r="AA69">
        <v>0</v>
      </c>
      <c r="AB69">
        <f>N69/1200</f>
        <v>0.29561403508771927</v>
      </c>
      <c r="AC69">
        <f>O69/1200</f>
        <v>0.30701666666666666</v>
      </c>
      <c r="AD69">
        <f>P69/1200</f>
        <v>0.39736842105263159</v>
      </c>
      <c r="AE69">
        <f>Q69/1200</f>
        <v>0</v>
      </c>
      <c r="AF69">
        <f>R69/1200</f>
        <v>0</v>
      </c>
      <c r="AG69">
        <f>S69/1200</f>
        <v>0.46842500000000004</v>
      </c>
      <c r="AH69">
        <v>0.47</v>
      </c>
      <c r="AI69">
        <v>0.53</v>
      </c>
      <c r="AJ69">
        <v>53</v>
      </c>
      <c r="AK69">
        <v>0.99</v>
      </c>
      <c r="AL69">
        <v>0.01</v>
      </c>
      <c r="AM69">
        <v>0.01</v>
      </c>
      <c r="AN69">
        <v>0.46</v>
      </c>
      <c r="AO69">
        <v>0.53</v>
      </c>
      <c r="AP69">
        <v>0</v>
      </c>
      <c r="AQ69">
        <v>0</v>
      </c>
      <c r="AR69">
        <v>0</v>
      </c>
      <c r="AS69">
        <v>32.1</v>
      </c>
      <c r="AT69">
        <v>8.347099</v>
      </c>
      <c r="AU69">
        <v>4.1484227489999999</v>
      </c>
      <c r="AV69">
        <v>8.4</v>
      </c>
      <c r="AW69">
        <v>12.9</v>
      </c>
      <c r="AX69">
        <v>32.1</v>
      </c>
      <c r="AY69">
        <v>29.7</v>
      </c>
      <c r="AZ69">
        <v>29.7</v>
      </c>
      <c r="BA69">
        <v>34.700000000000003</v>
      </c>
      <c r="BB69">
        <v>1007</v>
      </c>
      <c r="BC69">
        <v>31.83</v>
      </c>
      <c r="BD69">
        <v>4.41</v>
      </c>
      <c r="BE69">
        <v>4.0861324210000003</v>
      </c>
      <c r="BF69">
        <v>0</v>
      </c>
      <c r="BG69">
        <v>8.07</v>
      </c>
      <c r="BH69">
        <v>31.83</v>
      </c>
      <c r="BI69">
        <v>29.3</v>
      </c>
      <c r="BJ69">
        <v>29.3</v>
      </c>
      <c r="BK69">
        <v>33.700000000000003</v>
      </c>
      <c r="BL69">
        <v>390</v>
      </c>
    </row>
    <row r="70" spans="1:64" x14ac:dyDescent="0.2">
      <c r="A70" s="1">
        <v>43078</v>
      </c>
      <c r="B70" t="s">
        <v>81</v>
      </c>
      <c r="C70">
        <v>6</v>
      </c>
      <c r="D70" t="s">
        <v>76</v>
      </c>
      <c r="E70" t="s">
        <v>71</v>
      </c>
      <c r="F70" t="s">
        <v>69</v>
      </c>
      <c r="G70" s="2">
        <v>0.7764699074074074</v>
      </c>
      <c r="H70">
        <v>0.78</v>
      </c>
      <c r="I70" s="3">
        <v>0.77777777777777779</v>
      </c>
      <c r="J70" s="3">
        <v>0.79166666666666663</v>
      </c>
      <c r="K70">
        <v>1195</v>
      </c>
      <c r="L70">
        <v>1018</v>
      </c>
      <c r="M70">
        <v>1200</v>
      </c>
      <c r="N70">
        <f>152/L70*1200</f>
        <v>179.17485265225935</v>
      </c>
      <c r="O70">
        <v>345.38</v>
      </c>
      <c r="P70">
        <f>567/L70*1200</f>
        <v>668.36935166994101</v>
      </c>
      <c r="Q70">
        <v>7.07</v>
      </c>
      <c r="R70">
        <v>0</v>
      </c>
      <c r="S70">
        <v>581.14</v>
      </c>
      <c r="T70">
        <v>618.86</v>
      </c>
      <c r="U70">
        <v>1175.25</v>
      </c>
      <c r="V70">
        <v>24.75</v>
      </c>
      <c r="W70">
        <v>24.75</v>
      </c>
      <c r="X70">
        <v>556.39</v>
      </c>
      <c r="Y70">
        <v>618.86</v>
      </c>
      <c r="Z70">
        <v>0</v>
      </c>
      <c r="AA70">
        <v>0</v>
      </c>
      <c r="AB70">
        <f>N70/1200</f>
        <v>0.14931237721021612</v>
      </c>
      <c r="AC70">
        <f>O70/1200</f>
        <v>0.28781666666666667</v>
      </c>
      <c r="AD70">
        <f>P70/1200</f>
        <v>0.55697445972495085</v>
      </c>
      <c r="AE70">
        <f>Q70/1200</f>
        <v>5.8916666666666666E-3</v>
      </c>
      <c r="AF70">
        <f>R70/1200</f>
        <v>0</v>
      </c>
      <c r="AG70">
        <f>S70/1200</f>
        <v>0.48428333333333334</v>
      </c>
      <c r="AH70">
        <v>0.48</v>
      </c>
      <c r="AI70">
        <v>0.52</v>
      </c>
      <c r="AJ70">
        <v>52</v>
      </c>
      <c r="AK70">
        <v>0.98</v>
      </c>
      <c r="AL70">
        <v>0.02</v>
      </c>
      <c r="AM70">
        <v>0.02</v>
      </c>
      <c r="AN70">
        <v>0.46</v>
      </c>
      <c r="AO70">
        <v>0.52</v>
      </c>
      <c r="AP70">
        <v>0</v>
      </c>
      <c r="AQ70">
        <v>0</v>
      </c>
      <c r="AR70">
        <v>0</v>
      </c>
      <c r="AS70">
        <v>37.619999999999997</v>
      </c>
      <c r="AT70">
        <v>8.6885420769999993</v>
      </c>
      <c r="AU70">
        <v>5.7210000000000001</v>
      </c>
      <c r="AV70">
        <v>8.9700000000000006</v>
      </c>
      <c r="AX70">
        <v>36.950000000000003</v>
      </c>
      <c r="AY70">
        <v>34.729999999999997</v>
      </c>
      <c r="AZ70">
        <v>34.619999999999997</v>
      </c>
      <c r="BC70">
        <v>36.292000000000002</v>
      </c>
      <c r="BD70">
        <v>5.1954417419999999</v>
      </c>
      <c r="BE70">
        <v>5.2852701279999996</v>
      </c>
      <c r="BF70">
        <v>2.5299999999999998</v>
      </c>
      <c r="BH70">
        <v>35.706000000000003</v>
      </c>
      <c r="BI70">
        <v>33.414999999999999</v>
      </c>
      <c r="BJ70">
        <v>33.567999999999998</v>
      </c>
      <c r="BK70">
        <v>37.441800000000001</v>
      </c>
      <c r="BL70">
        <v>1</v>
      </c>
    </row>
    <row r="71" spans="1:64" x14ac:dyDescent="0.2">
      <c r="A71" s="1">
        <v>43065</v>
      </c>
      <c r="B71" t="s">
        <v>81</v>
      </c>
      <c r="C71">
        <v>5</v>
      </c>
      <c r="D71" t="s">
        <v>63</v>
      </c>
      <c r="E71" t="s">
        <v>77</v>
      </c>
      <c r="F71" t="s">
        <v>69</v>
      </c>
      <c r="G71" s="2">
        <v>0.74865740740740738</v>
      </c>
      <c r="H71">
        <v>0.75</v>
      </c>
      <c r="I71" s="3">
        <v>0.75</v>
      </c>
      <c r="J71" s="3">
        <v>0.76388888888888884</v>
      </c>
      <c r="K71">
        <v>1193</v>
      </c>
      <c r="L71">
        <v>1187</v>
      </c>
      <c r="M71">
        <v>1200</v>
      </c>
      <c r="N71">
        <f>933/L71*1200</f>
        <v>943.21819713563616</v>
      </c>
      <c r="O71">
        <v>9.1</v>
      </c>
      <c r="P71">
        <f>245/L71*1200</f>
        <v>247.68323504633531</v>
      </c>
      <c r="Q71">
        <v>0</v>
      </c>
      <c r="R71">
        <v>0</v>
      </c>
      <c r="S71">
        <v>593.42999999999995</v>
      </c>
      <c r="T71">
        <v>606.57000000000005</v>
      </c>
      <c r="U71">
        <v>1200</v>
      </c>
      <c r="V71">
        <v>0</v>
      </c>
      <c r="W71">
        <v>0</v>
      </c>
      <c r="X71">
        <v>593.42999999999995</v>
      </c>
      <c r="Y71">
        <v>606.57000000000005</v>
      </c>
      <c r="Z71">
        <v>0</v>
      </c>
      <c r="AA71">
        <v>0</v>
      </c>
      <c r="AB71">
        <f>N71/1200</f>
        <v>0.78601516427969675</v>
      </c>
      <c r="AC71">
        <f>O71/1200</f>
        <v>7.5833333333333334E-3</v>
      </c>
      <c r="AD71">
        <f>P71/1200</f>
        <v>0.2064026958719461</v>
      </c>
      <c r="AE71">
        <f>Q71/1200</f>
        <v>0</v>
      </c>
      <c r="AF71">
        <f>R71/1200</f>
        <v>0</v>
      </c>
      <c r="AG71">
        <f>S71/1200</f>
        <v>0.49452499999999994</v>
      </c>
      <c r="AH71">
        <v>0.49</v>
      </c>
      <c r="AI71">
        <v>0.51</v>
      </c>
      <c r="AJ71">
        <v>51</v>
      </c>
      <c r="AK71">
        <v>1</v>
      </c>
      <c r="AL71">
        <v>0</v>
      </c>
      <c r="AM71">
        <v>0</v>
      </c>
      <c r="AN71">
        <v>0.49</v>
      </c>
      <c r="AO71">
        <v>0.51</v>
      </c>
      <c r="AP71">
        <v>0</v>
      </c>
      <c r="AQ71">
        <v>0</v>
      </c>
      <c r="AR71">
        <v>0</v>
      </c>
      <c r="AS71">
        <v>33.4</v>
      </c>
      <c r="AT71">
        <v>6.9288369999999997</v>
      </c>
      <c r="AU71">
        <v>4.5653961220000001</v>
      </c>
      <c r="AV71">
        <v>6</v>
      </c>
      <c r="AW71">
        <v>20.9</v>
      </c>
      <c r="AX71">
        <v>33.4</v>
      </c>
      <c r="AY71">
        <v>30.9</v>
      </c>
      <c r="AZ71">
        <v>30.9</v>
      </c>
      <c r="BA71">
        <v>35.9</v>
      </c>
      <c r="BB71">
        <v>1022</v>
      </c>
      <c r="BC71">
        <v>33</v>
      </c>
      <c r="BD71">
        <v>4.32</v>
      </c>
      <c r="BE71">
        <v>4.472628222</v>
      </c>
      <c r="BF71">
        <v>-0.23</v>
      </c>
      <c r="BG71">
        <v>9.1300000000000008</v>
      </c>
      <c r="BH71">
        <v>33</v>
      </c>
      <c r="BI71">
        <v>30.6</v>
      </c>
      <c r="BJ71">
        <v>30.6</v>
      </c>
      <c r="BK71">
        <v>35.200000000000003</v>
      </c>
      <c r="BL71">
        <v>428</v>
      </c>
    </row>
    <row r="72" spans="1:64" x14ac:dyDescent="0.2">
      <c r="A72" s="1">
        <v>43045</v>
      </c>
      <c r="B72" t="s">
        <v>81</v>
      </c>
      <c r="C72">
        <v>5</v>
      </c>
      <c r="D72" t="s">
        <v>76</v>
      </c>
      <c r="E72" t="s">
        <v>85</v>
      </c>
      <c r="F72" t="s">
        <v>65</v>
      </c>
      <c r="G72" s="2">
        <v>0.7091087962962962</v>
      </c>
      <c r="H72">
        <v>0.71</v>
      </c>
      <c r="I72" s="3">
        <v>0.70833333333333337</v>
      </c>
      <c r="J72" s="3">
        <v>0.72222222222222221</v>
      </c>
      <c r="K72">
        <v>1192</v>
      </c>
      <c r="L72">
        <v>1085</v>
      </c>
      <c r="M72">
        <v>1200</v>
      </c>
      <c r="N72">
        <f>217/L72*1200</f>
        <v>240</v>
      </c>
      <c r="O72">
        <v>530.88</v>
      </c>
      <c r="P72">
        <v>374</v>
      </c>
      <c r="Q72">
        <v>0</v>
      </c>
      <c r="R72">
        <v>55.3</v>
      </c>
      <c r="S72">
        <v>601.66</v>
      </c>
      <c r="T72">
        <v>598.34</v>
      </c>
      <c r="U72">
        <v>1112.6300000000001</v>
      </c>
      <c r="V72">
        <v>87.37</v>
      </c>
      <c r="W72">
        <v>87.37</v>
      </c>
      <c r="X72">
        <v>514.29</v>
      </c>
      <c r="Y72">
        <v>598.34</v>
      </c>
      <c r="Z72">
        <v>0</v>
      </c>
      <c r="AA72">
        <v>179.17</v>
      </c>
      <c r="AB72">
        <f>N72/1200</f>
        <v>0.2</v>
      </c>
      <c r="AC72">
        <f>O72/1200</f>
        <v>0.44240000000000002</v>
      </c>
      <c r="AD72">
        <f>P72/1200</f>
        <v>0.31166666666666665</v>
      </c>
      <c r="AE72">
        <f>Q72/1200</f>
        <v>0</v>
      </c>
      <c r="AF72">
        <f>R72/1200</f>
        <v>4.608333333333333E-2</v>
      </c>
      <c r="AG72">
        <f>S72/1200</f>
        <v>0.50138333333333329</v>
      </c>
      <c r="AH72">
        <v>0.5</v>
      </c>
      <c r="AI72">
        <v>0.5</v>
      </c>
      <c r="AJ72">
        <v>50</v>
      </c>
      <c r="AK72">
        <v>0.93</v>
      </c>
      <c r="AL72">
        <v>7.0000000000000007E-2</v>
      </c>
      <c r="AM72">
        <v>7.0000000000000007E-2</v>
      </c>
      <c r="AN72">
        <v>0.43</v>
      </c>
      <c r="AO72">
        <v>0.5</v>
      </c>
      <c r="AP72">
        <v>0</v>
      </c>
      <c r="AQ72">
        <v>0.15</v>
      </c>
      <c r="AR72">
        <v>0</v>
      </c>
      <c r="AS72">
        <v>35.799999999999997</v>
      </c>
      <c r="AT72">
        <v>5.9678500000000003</v>
      </c>
      <c r="AU72">
        <v>5.507345806</v>
      </c>
      <c r="AV72">
        <v>3.4</v>
      </c>
      <c r="AW72">
        <v>27.4</v>
      </c>
      <c r="AX72">
        <v>35.799999999999997</v>
      </c>
      <c r="AY72">
        <v>32.299999999999997</v>
      </c>
      <c r="AZ72">
        <v>32.299999999999997</v>
      </c>
      <c r="BA72">
        <v>37.1</v>
      </c>
      <c r="BB72">
        <v>1021</v>
      </c>
      <c r="BC72">
        <v>35.270000000000003</v>
      </c>
      <c r="BD72">
        <v>2.44</v>
      </c>
      <c r="BE72">
        <v>5.3470119770000002</v>
      </c>
      <c r="BF72">
        <v>-7.73</v>
      </c>
      <c r="BG72">
        <v>9.67</v>
      </c>
      <c r="BH72">
        <v>35.270000000000003</v>
      </c>
      <c r="BI72">
        <v>31.87</v>
      </c>
      <c r="BJ72">
        <v>31.87</v>
      </c>
      <c r="BK72">
        <v>36.57</v>
      </c>
      <c r="BL72">
        <v>612</v>
      </c>
    </row>
    <row r="73" spans="1:64" x14ac:dyDescent="0.2">
      <c r="A73" s="1">
        <v>43046</v>
      </c>
      <c r="B73" t="s">
        <v>81</v>
      </c>
      <c r="C73">
        <v>6</v>
      </c>
      <c r="D73" t="s">
        <v>76</v>
      </c>
      <c r="E73" t="s">
        <v>67</v>
      </c>
      <c r="F73" t="s">
        <v>65</v>
      </c>
      <c r="G73" s="2">
        <v>0.76003472222222224</v>
      </c>
      <c r="H73">
        <v>0.76</v>
      </c>
      <c r="I73" s="3">
        <v>0.76041666666666663</v>
      </c>
      <c r="J73" s="3">
        <v>0.77430555555555547</v>
      </c>
      <c r="K73">
        <v>1185</v>
      </c>
      <c r="L73">
        <v>1185</v>
      </c>
      <c r="M73">
        <v>1200</v>
      </c>
      <c r="N73">
        <f>596/L73*1200</f>
        <v>603.54430379746839</v>
      </c>
      <c r="O73">
        <v>148.86000000000001</v>
      </c>
      <c r="P73">
        <f>223/L73*1200</f>
        <v>225.82278481012656</v>
      </c>
      <c r="Q73">
        <v>0</v>
      </c>
      <c r="R73">
        <v>221.77</v>
      </c>
      <c r="S73">
        <v>610.63</v>
      </c>
      <c r="T73">
        <v>589.37</v>
      </c>
      <c r="U73">
        <v>978.23</v>
      </c>
      <c r="V73">
        <v>221.77</v>
      </c>
      <c r="W73">
        <v>221.77</v>
      </c>
      <c r="X73">
        <v>388.86</v>
      </c>
      <c r="Y73">
        <v>589.37</v>
      </c>
      <c r="Z73">
        <v>0</v>
      </c>
      <c r="AA73">
        <v>0</v>
      </c>
      <c r="AB73">
        <f>N73/1200</f>
        <v>0.50295358649789035</v>
      </c>
      <c r="AC73">
        <f>O73/1200</f>
        <v>0.12405000000000001</v>
      </c>
      <c r="AD73">
        <f>P73/1200</f>
        <v>0.18818565400843881</v>
      </c>
      <c r="AE73">
        <f>Q73/1200</f>
        <v>0</v>
      </c>
      <c r="AF73">
        <f>R73/1200</f>
        <v>0.18480833333333335</v>
      </c>
      <c r="AG73">
        <f>S73/1200</f>
        <v>0.5088583333333333</v>
      </c>
      <c r="AH73">
        <v>0.51</v>
      </c>
      <c r="AI73">
        <v>0.49</v>
      </c>
      <c r="AJ73">
        <v>49</v>
      </c>
      <c r="AK73">
        <v>0.82</v>
      </c>
      <c r="AL73">
        <v>0.18</v>
      </c>
      <c r="AM73">
        <v>0.18</v>
      </c>
      <c r="AN73">
        <v>0.32</v>
      </c>
      <c r="AO73">
        <v>0.49</v>
      </c>
      <c r="AP73">
        <v>0</v>
      </c>
      <c r="AQ73">
        <v>0</v>
      </c>
      <c r="AR73">
        <v>0</v>
      </c>
      <c r="AS73">
        <v>34.86</v>
      </c>
      <c r="AT73">
        <v>5.1120149340000003</v>
      </c>
      <c r="AU73">
        <v>5.2644798189999999</v>
      </c>
      <c r="AV73">
        <v>1.77</v>
      </c>
      <c r="AX73">
        <v>34.36</v>
      </c>
      <c r="AY73">
        <v>30.99</v>
      </c>
      <c r="AZ73">
        <v>30.98</v>
      </c>
      <c r="BC73">
        <v>34.863999999999997</v>
      </c>
      <c r="BD73">
        <v>2.2606661859999999</v>
      </c>
      <c r="BE73">
        <v>5.2644798189999999</v>
      </c>
      <c r="BF73">
        <v>-9.43</v>
      </c>
      <c r="BH73">
        <v>34.362000000000002</v>
      </c>
      <c r="BI73">
        <v>30.991</v>
      </c>
      <c r="BJ73">
        <v>30.975999999999999</v>
      </c>
      <c r="BL73">
        <v>21.8</v>
      </c>
    </row>
    <row r="74" spans="1:64" x14ac:dyDescent="0.2">
      <c r="A74" s="1">
        <v>43055</v>
      </c>
      <c r="B74" t="s">
        <v>81</v>
      </c>
      <c r="C74">
        <v>5</v>
      </c>
      <c r="D74" t="s">
        <v>63</v>
      </c>
      <c r="E74" t="s">
        <v>75</v>
      </c>
      <c r="F74" t="s">
        <v>69</v>
      </c>
      <c r="G74" s="2">
        <v>0.73280092592592594</v>
      </c>
      <c r="H74">
        <v>0.73</v>
      </c>
      <c r="I74" s="3">
        <v>0.73263888888888884</v>
      </c>
      <c r="J74" s="3">
        <v>0.74652777777777779</v>
      </c>
      <c r="K74">
        <v>1195</v>
      </c>
      <c r="L74">
        <v>1180</v>
      </c>
      <c r="M74">
        <v>1200</v>
      </c>
      <c r="N74">
        <f>500/L74*1200</f>
        <v>508.47457627118644</v>
      </c>
      <c r="O74">
        <v>237.97</v>
      </c>
      <c r="P74">
        <f>446/L74*1200</f>
        <v>453.5593220338983</v>
      </c>
      <c r="Q74">
        <v>0</v>
      </c>
      <c r="R74">
        <v>0</v>
      </c>
      <c r="S74">
        <v>616.27</v>
      </c>
      <c r="T74">
        <v>583.73</v>
      </c>
      <c r="U74">
        <v>1188.81</v>
      </c>
      <c r="V74">
        <v>11.19</v>
      </c>
      <c r="W74">
        <v>11.19</v>
      </c>
      <c r="X74">
        <v>605.08000000000004</v>
      </c>
      <c r="Y74">
        <v>583.73</v>
      </c>
      <c r="Z74">
        <v>0</v>
      </c>
      <c r="AA74">
        <v>0</v>
      </c>
      <c r="AB74">
        <f>N74/1200</f>
        <v>0.42372881355932202</v>
      </c>
      <c r="AC74">
        <f>O74/1200</f>
        <v>0.19830833333333334</v>
      </c>
      <c r="AD74">
        <f>P74/1200</f>
        <v>0.37796610169491524</v>
      </c>
      <c r="AE74">
        <f>Q74/1200</f>
        <v>0</v>
      </c>
      <c r="AF74">
        <f>R74/1200</f>
        <v>0</v>
      </c>
      <c r="AG74">
        <f>S74/1200</f>
        <v>0.51355833333333334</v>
      </c>
      <c r="AH74">
        <v>0.51</v>
      </c>
      <c r="AI74">
        <v>0.49</v>
      </c>
      <c r="AJ74">
        <v>49</v>
      </c>
      <c r="AK74">
        <v>0.99</v>
      </c>
      <c r="AL74">
        <v>0.01</v>
      </c>
      <c r="AM74">
        <v>0.01</v>
      </c>
      <c r="AN74">
        <v>0.5</v>
      </c>
      <c r="AO74">
        <v>0.49</v>
      </c>
      <c r="AP74">
        <v>0</v>
      </c>
      <c r="AQ74">
        <v>0</v>
      </c>
      <c r="AR74">
        <v>0</v>
      </c>
      <c r="AS74">
        <v>28.2</v>
      </c>
      <c r="AT74">
        <v>5.8068669999999996</v>
      </c>
      <c r="AU74">
        <v>3.4136490770000001</v>
      </c>
      <c r="AV74">
        <v>2.9</v>
      </c>
      <c r="AW74">
        <v>14.5</v>
      </c>
      <c r="AX74">
        <v>28.2</v>
      </c>
      <c r="AY74">
        <v>26</v>
      </c>
      <c r="AZ74">
        <v>26</v>
      </c>
      <c r="BA74">
        <v>30.9</v>
      </c>
      <c r="BB74">
        <v>1026</v>
      </c>
      <c r="BC74">
        <v>27.9</v>
      </c>
      <c r="BD74">
        <v>2.83</v>
      </c>
      <c r="BE74">
        <v>3.3618452250000002</v>
      </c>
      <c r="BF74">
        <v>-6.13</v>
      </c>
      <c r="BG74">
        <v>12.9</v>
      </c>
      <c r="BH74">
        <v>27.57</v>
      </c>
      <c r="BI74">
        <v>25.63</v>
      </c>
      <c r="BJ74">
        <v>25.33</v>
      </c>
      <c r="BK74">
        <v>29.7</v>
      </c>
      <c r="BL74">
        <v>494.67</v>
      </c>
    </row>
    <row r="75" spans="1:64" x14ac:dyDescent="0.2">
      <c r="A75" s="1">
        <v>43049</v>
      </c>
      <c r="B75" t="s">
        <v>81</v>
      </c>
      <c r="C75">
        <v>5</v>
      </c>
      <c r="D75" t="s">
        <v>63</v>
      </c>
      <c r="E75" t="s">
        <v>75</v>
      </c>
      <c r="F75" t="s">
        <v>69</v>
      </c>
      <c r="G75" s="2">
        <v>0.68042824074074071</v>
      </c>
      <c r="H75">
        <v>0.68</v>
      </c>
      <c r="I75" s="3">
        <v>0.68055555555555547</v>
      </c>
      <c r="J75" s="3">
        <v>0.69444444444444453</v>
      </c>
      <c r="K75">
        <v>1196</v>
      </c>
      <c r="L75">
        <v>1158</v>
      </c>
      <c r="M75">
        <v>1200</v>
      </c>
      <c r="N75">
        <f>463/L75*1200</f>
        <v>479.79274611398966</v>
      </c>
      <c r="O75">
        <v>357.51</v>
      </c>
      <c r="P75">
        <f>348/L75*1200</f>
        <v>360.62176165803112</v>
      </c>
      <c r="Q75">
        <v>2.0699999999999998</v>
      </c>
      <c r="R75">
        <v>0</v>
      </c>
      <c r="S75">
        <v>626.94000000000005</v>
      </c>
      <c r="T75">
        <v>573.05999999999995</v>
      </c>
      <c r="U75">
        <v>1200</v>
      </c>
      <c r="V75">
        <v>0</v>
      </c>
      <c r="W75">
        <v>0</v>
      </c>
      <c r="X75">
        <v>626.94000000000005</v>
      </c>
      <c r="Y75">
        <v>573.05999999999995</v>
      </c>
      <c r="Z75">
        <v>12.44</v>
      </c>
      <c r="AA75">
        <v>0</v>
      </c>
      <c r="AB75">
        <f>N75/1200</f>
        <v>0.39982728842832471</v>
      </c>
      <c r="AC75">
        <f>O75/1200</f>
        <v>0.297925</v>
      </c>
      <c r="AD75">
        <f>P75/1200</f>
        <v>0.30051813471502592</v>
      </c>
      <c r="AE75">
        <f>Q75/1200</f>
        <v>1.725E-3</v>
      </c>
      <c r="AF75">
        <f>R75/1200</f>
        <v>0</v>
      </c>
      <c r="AG75">
        <f>S75/1200</f>
        <v>0.52245000000000008</v>
      </c>
      <c r="AH75">
        <v>0.52</v>
      </c>
      <c r="AI75">
        <v>0.48</v>
      </c>
      <c r="AJ75">
        <v>48</v>
      </c>
      <c r="AK75">
        <v>1</v>
      </c>
      <c r="AL75">
        <v>0</v>
      </c>
      <c r="AM75">
        <v>0</v>
      </c>
      <c r="AN75">
        <v>0.52</v>
      </c>
      <c r="AO75">
        <v>0.48</v>
      </c>
      <c r="AP75">
        <v>0.01</v>
      </c>
      <c r="AQ75">
        <v>0</v>
      </c>
      <c r="AR75">
        <v>0</v>
      </c>
      <c r="AS75">
        <v>32.1</v>
      </c>
      <c r="AT75">
        <v>8.347099</v>
      </c>
      <c r="AU75">
        <v>4.1484227489999999</v>
      </c>
      <c r="AV75">
        <v>8.4</v>
      </c>
      <c r="AW75">
        <v>12.9</v>
      </c>
      <c r="AX75">
        <v>32.1</v>
      </c>
      <c r="AY75">
        <v>29.7</v>
      </c>
      <c r="AZ75">
        <v>29.7</v>
      </c>
      <c r="BA75">
        <v>34.700000000000003</v>
      </c>
      <c r="BB75">
        <v>1007</v>
      </c>
      <c r="BC75">
        <v>31.13</v>
      </c>
      <c r="BD75">
        <v>5.45</v>
      </c>
      <c r="BE75">
        <v>3.7603294909999998</v>
      </c>
      <c r="BF75">
        <v>2.93</v>
      </c>
      <c r="BG75">
        <v>9.1300000000000008</v>
      </c>
      <c r="BH75">
        <v>31.13</v>
      </c>
      <c r="BI75">
        <v>28.97</v>
      </c>
      <c r="BJ75">
        <v>28.97</v>
      </c>
      <c r="BK75">
        <v>34.200000000000003</v>
      </c>
      <c r="BL75">
        <v>726</v>
      </c>
    </row>
    <row r="76" spans="1:64" x14ac:dyDescent="0.2">
      <c r="A76" s="1">
        <v>43078</v>
      </c>
      <c r="B76" t="s">
        <v>62</v>
      </c>
      <c r="C76">
        <v>1</v>
      </c>
      <c r="D76" t="s">
        <v>76</v>
      </c>
      <c r="E76" t="s">
        <v>86</v>
      </c>
      <c r="F76" t="s">
        <v>65</v>
      </c>
      <c r="G76" s="2">
        <v>0.26478009259259261</v>
      </c>
      <c r="H76">
        <v>0.26</v>
      </c>
      <c r="I76" s="3">
        <v>0.2638888888888889</v>
      </c>
      <c r="J76" s="3">
        <v>0.27777777777777779</v>
      </c>
      <c r="K76">
        <v>1198</v>
      </c>
      <c r="L76">
        <f>K76-302</f>
        <v>896</v>
      </c>
      <c r="M76">
        <v>1200</v>
      </c>
      <c r="N76">
        <v>926</v>
      </c>
      <c r="O76">
        <f>5/L76*1200</f>
        <v>6.6964285714285712</v>
      </c>
      <c r="P76">
        <f>182/L76*1200</f>
        <v>243.75</v>
      </c>
      <c r="Q76">
        <f>7/L76*1200</f>
        <v>9.375</v>
      </c>
      <c r="R76">
        <f>11/L76*1200</f>
        <v>14.732142857142858</v>
      </c>
      <c r="S76">
        <v>682.12</v>
      </c>
      <c r="T76">
        <v>517.88</v>
      </c>
      <c r="U76">
        <v>1127.1500000000001</v>
      </c>
      <c r="V76">
        <v>68.87</v>
      </c>
      <c r="W76">
        <v>68.87</v>
      </c>
      <c r="X76">
        <v>613.25</v>
      </c>
      <c r="Y76">
        <v>517.88</v>
      </c>
      <c r="Z76">
        <v>0</v>
      </c>
      <c r="AA76">
        <v>0</v>
      </c>
      <c r="AB76">
        <f>N76/1200</f>
        <v>0.77166666666666661</v>
      </c>
      <c r="AC76">
        <f>O76/1200</f>
        <v>5.580357142857143E-3</v>
      </c>
      <c r="AD76">
        <f>P76/1200</f>
        <v>0.203125</v>
      </c>
      <c r="AE76">
        <f>Q76/1200</f>
        <v>7.8125E-3</v>
      </c>
      <c r="AF76">
        <f>R76/1200</f>
        <v>1.2276785714285714E-2</v>
      </c>
      <c r="AG76">
        <f>S76/1200</f>
        <v>0.56843333333333335</v>
      </c>
      <c r="AH76">
        <v>0.56999999999999995</v>
      </c>
      <c r="AI76">
        <v>0.43</v>
      </c>
      <c r="AJ76">
        <v>43</v>
      </c>
      <c r="AK76">
        <v>0.94</v>
      </c>
      <c r="AL76">
        <v>0.06</v>
      </c>
      <c r="AM76">
        <v>0.06</v>
      </c>
      <c r="AN76">
        <v>0.51</v>
      </c>
      <c r="AO76">
        <v>0.43</v>
      </c>
      <c r="AP76">
        <v>0</v>
      </c>
      <c r="AQ76">
        <v>0</v>
      </c>
      <c r="AR76">
        <v>0</v>
      </c>
      <c r="AS76">
        <v>37.619999999999997</v>
      </c>
      <c r="AT76">
        <v>8.6885420769999993</v>
      </c>
      <c r="AU76">
        <v>5.7210000000000001</v>
      </c>
      <c r="AV76">
        <v>8.9700000000000006</v>
      </c>
      <c r="AX76">
        <v>36.950000000000003</v>
      </c>
      <c r="AY76">
        <v>34.729999999999997</v>
      </c>
      <c r="AZ76">
        <v>34.619999999999997</v>
      </c>
      <c r="BC76">
        <v>24.12</v>
      </c>
      <c r="BD76">
        <v>7.8090870570000002</v>
      </c>
      <c r="BE76">
        <v>1.9617142240000001</v>
      </c>
      <c r="BF76">
        <v>7.5033333329999996</v>
      </c>
      <c r="BH76">
        <v>24.25</v>
      </c>
      <c r="BI76">
        <v>23.382333330000002</v>
      </c>
      <c r="BJ76">
        <v>23.744</v>
      </c>
      <c r="BK76">
        <v>23.443999999999999</v>
      </c>
      <c r="BL76">
        <v>19.79</v>
      </c>
    </row>
    <row r="77" spans="1:64" x14ac:dyDescent="0.2">
      <c r="A77" s="1">
        <v>43036</v>
      </c>
      <c r="B77" t="s">
        <v>78</v>
      </c>
      <c r="C77">
        <v>3</v>
      </c>
      <c r="D77" t="s">
        <v>63</v>
      </c>
      <c r="E77" t="s">
        <v>64</v>
      </c>
      <c r="F77" t="s">
        <v>65</v>
      </c>
      <c r="G77" s="2">
        <v>0.53128472222222223</v>
      </c>
      <c r="H77">
        <v>0.53</v>
      </c>
      <c r="I77" s="3">
        <v>0.53125</v>
      </c>
      <c r="J77" s="3">
        <v>0.54513888888888895</v>
      </c>
      <c r="K77">
        <v>1194</v>
      </c>
      <c r="L77">
        <v>973</v>
      </c>
      <c r="M77">
        <v>1200</v>
      </c>
      <c r="N77">
        <f>184/L77*1200</f>
        <v>226.92702980472765</v>
      </c>
      <c r="O77">
        <f>285/L77*1200</f>
        <v>351.49023638232273</v>
      </c>
      <c r="P77">
        <f>217/L77*1200</f>
        <v>267.62589928057554</v>
      </c>
      <c r="Q77">
        <v>9.8699999999999992</v>
      </c>
      <c r="R77">
        <v>344.09</v>
      </c>
      <c r="S77">
        <v>758.48</v>
      </c>
      <c r="T77">
        <v>441.52</v>
      </c>
      <c r="U77">
        <v>802.88</v>
      </c>
      <c r="V77">
        <v>430.42</v>
      </c>
      <c r="W77">
        <v>430.42</v>
      </c>
      <c r="X77">
        <v>361.36</v>
      </c>
      <c r="Y77">
        <v>441.52</v>
      </c>
      <c r="Z77">
        <v>0</v>
      </c>
      <c r="AA77">
        <v>168.96</v>
      </c>
      <c r="AB77">
        <f>N77/1200</f>
        <v>0.18910585817060638</v>
      </c>
      <c r="AC77">
        <f>O77/1200</f>
        <v>0.29290853031860226</v>
      </c>
      <c r="AD77">
        <f>P77/1200</f>
        <v>0.22302158273381295</v>
      </c>
      <c r="AE77">
        <f>Q77/1200</f>
        <v>8.2249999999999997E-3</v>
      </c>
      <c r="AF77">
        <f>R77/1200</f>
        <v>0.28674166666666667</v>
      </c>
      <c r="AG77">
        <f>S77/1200</f>
        <v>0.63206666666666667</v>
      </c>
      <c r="AH77">
        <v>0.63</v>
      </c>
      <c r="AI77">
        <v>0.37</v>
      </c>
      <c r="AJ77">
        <v>37</v>
      </c>
      <c r="AK77">
        <v>0.67</v>
      </c>
      <c r="AL77">
        <v>0.36</v>
      </c>
      <c r="AM77">
        <v>0.36</v>
      </c>
      <c r="AN77">
        <v>0.3</v>
      </c>
      <c r="AO77">
        <v>0.37</v>
      </c>
      <c r="AP77">
        <v>0</v>
      </c>
      <c r="AQ77">
        <v>0.14000000000000001</v>
      </c>
      <c r="AR77">
        <v>0</v>
      </c>
      <c r="AS77">
        <v>29.6</v>
      </c>
      <c r="AT77">
        <v>4.489446</v>
      </c>
      <c r="AU77">
        <v>3.8062265740000001</v>
      </c>
      <c r="AV77">
        <v>-0.3</v>
      </c>
      <c r="AW77">
        <v>29</v>
      </c>
      <c r="AX77">
        <v>29.4</v>
      </c>
      <c r="AY77">
        <v>27.5</v>
      </c>
      <c r="AZ77">
        <v>27.4</v>
      </c>
      <c r="BA77">
        <v>31.8</v>
      </c>
      <c r="BB77">
        <v>1029</v>
      </c>
      <c r="BC77">
        <v>27.07</v>
      </c>
      <c r="BD77">
        <v>2.62</v>
      </c>
      <c r="BE77">
        <v>3.2136658279999999</v>
      </c>
      <c r="BF77">
        <v>-7.17</v>
      </c>
      <c r="BG77">
        <v>16.63</v>
      </c>
      <c r="BH77">
        <v>26.2</v>
      </c>
      <c r="BI77">
        <v>24.9</v>
      </c>
      <c r="BJ77">
        <v>23.97</v>
      </c>
      <c r="BK77">
        <v>28.03</v>
      </c>
      <c r="BL77">
        <v>1015.33</v>
      </c>
    </row>
    <row r="78" spans="1:64" x14ac:dyDescent="0.2">
      <c r="A78" s="1">
        <v>43030</v>
      </c>
      <c r="B78" t="s">
        <v>62</v>
      </c>
      <c r="C78">
        <v>1</v>
      </c>
      <c r="D78" t="s">
        <v>63</v>
      </c>
      <c r="E78" t="s">
        <v>72</v>
      </c>
      <c r="F78" t="s">
        <v>65</v>
      </c>
      <c r="G78" s="2">
        <v>0.29320601851851852</v>
      </c>
      <c r="H78">
        <v>0.28999999999999998</v>
      </c>
      <c r="I78" s="3">
        <v>0.29166666666666669</v>
      </c>
      <c r="J78" s="3">
        <v>0.30555555555555552</v>
      </c>
      <c r="K78">
        <v>1194</v>
      </c>
      <c r="L78">
        <v>1188</v>
      </c>
      <c r="M78">
        <v>1200</v>
      </c>
      <c r="N78">
        <f>664/L78*1200</f>
        <v>670.70707070707067</v>
      </c>
      <c r="O78">
        <f>166/L78*1200</f>
        <v>167.67676767676767</v>
      </c>
      <c r="P78">
        <f>74/L78*1200</f>
        <v>74.747474747474755</v>
      </c>
      <c r="Q78">
        <f>27/L78*1200</f>
        <v>27.272727272727273</v>
      </c>
      <c r="R78">
        <f>257/L78*1200</f>
        <v>259.59595959595958</v>
      </c>
      <c r="S78">
        <v>774.75</v>
      </c>
      <c r="T78">
        <v>425.25</v>
      </c>
      <c r="U78">
        <v>940.4</v>
      </c>
      <c r="V78">
        <v>261.62</v>
      </c>
      <c r="W78">
        <v>259.60000000000002</v>
      </c>
      <c r="X78">
        <v>515.15</v>
      </c>
      <c r="Y78">
        <v>425.25</v>
      </c>
      <c r="Z78">
        <v>0</v>
      </c>
      <c r="AA78">
        <v>0</v>
      </c>
      <c r="AB78">
        <f>N78/1200</f>
        <v>0.55892255892255893</v>
      </c>
      <c r="AC78">
        <f>O78/1200</f>
        <v>0.13973063973063973</v>
      </c>
      <c r="AD78">
        <f>P78/1200</f>
        <v>6.2289562289562297E-2</v>
      </c>
      <c r="AE78">
        <f>Q78/1200</f>
        <v>2.2727272727272728E-2</v>
      </c>
      <c r="AF78">
        <f>R78/1200</f>
        <v>0.21632996632996632</v>
      </c>
      <c r="AG78">
        <f>S78/1200</f>
        <v>0.645625</v>
      </c>
      <c r="AH78">
        <v>0.65</v>
      </c>
      <c r="AI78">
        <v>0.35</v>
      </c>
      <c r="AJ78">
        <v>35</v>
      </c>
      <c r="AK78">
        <v>0.78</v>
      </c>
      <c r="AL78">
        <v>0.22</v>
      </c>
      <c r="AM78">
        <v>0.22</v>
      </c>
      <c r="AN78">
        <v>0.43</v>
      </c>
      <c r="AO78">
        <v>0.35</v>
      </c>
      <c r="AP78">
        <v>0</v>
      </c>
      <c r="AQ78">
        <v>0</v>
      </c>
      <c r="AR78">
        <v>0</v>
      </c>
      <c r="AS78">
        <v>34.299999999999997</v>
      </c>
      <c r="AT78">
        <v>6.7431359999999998</v>
      </c>
      <c r="AU78">
        <v>4.9084355579999999</v>
      </c>
      <c r="AV78">
        <v>5.4</v>
      </c>
      <c r="AW78">
        <v>17.7</v>
      </c>
      <c r="AX78">
        <v>34.299999999999997</v>
      </c>
      <c r="AY78">
        <v>31.4</v>
      </c>
      <c r="AZ78">
        <v>31.4</v>
      </c>
      <c r="BA78">
        <v>35.799999999999997</v>
      </c>
      <c r="BB78">
        <v>1000</v>
      </c>
      <c r="BC78">
        <v>13.2</v>
      </c>
      <c r="BD78">
        <v>6.4</v>
      </c>
      <c r="BE78">
        <v>0.68395149799999999</v>
      </c>
      <c r="BF78">
        <v>4.33</v>
      </c>
      <c r="BG78">
        <v>12.37</v>
      </c>
      <c r="BH78">
        <v>12</v>
      </c>
      <c r="BI78">
        <v>12.3</v>
      </c>
      <c r="BJ78">
        <v>11.13</v>
      </c>
      <c r="BK78">
        <v>11.37</v>
      </c>
      <c r="BL78">
        <v>178</v>
      </c>
    </row>
    <row r="79" spans="1:64" x14ac:dyDescent="0.2">
      <c r="A79" s="1">
        <v>43036</v>
      </c>
      <c r="B79" t="s">
        <v>81</v>
      </c>
      <c r="C79">
        <v>5</v>
      </c>
      <c r="D79" t="s">
        <v>63</v>
      </c>
      <c r="E79" t="s">
        <v>80</v>
      </c>
      <c r="F79" t="s">
        <v>65</v>
      </c>
      <c r="G79" s="2">
        <v>0.72480324074074076</v>
      </c>
      <c r="H79">
        <v>0.72</v>
      </c>
      <c r="I79" s="3">
        <v>0.72569444444444453</v>
      </c>
      <c r="J79" s="3">
        <v>0.73958333333333337</v>
      </c>
      <c r="K79">
        <v>1195</v>
      </c>
      <c r="L79">
        <v>1051</v>
      </c>
      <c r="M79">
        <v>1200</v>
      </c>
      <c r="N79">
        <f>728/L79*1200</f>
        <v>831.20837297811602</v>
      </c>
      <c r="O79">
        <v>54.8</v>
      </c>
      <c r="P79">
        <f>51/L79*1200</f>
        <v>58.230256898192202</v>
      </c>
      <c r="Q79">
        <v>47.95</v>
      </c>
      <c r="R79">
        <v>207.8</v>
      </c>
      <c r="S79">
        <v>796.96</v>
      </c>
      <c r="T79">
        <v>403.04</v>
      </c>
      <c r="U79">
        <v>952.24</v>
      </c>
      <c r="V79">
        <v>247.76</v>
      </c>
      <c r="W79">
        <v>247.76</v>
      </c>
      <c r="X79">
        <v>549.19000000000005</v>
      </c>
      <c r="Y79">
        <v>403.04</v>
      </c>
      <c r="Z79">
        <v>0</v>
      </c>
      <c r="AA79">
        <v>0</v>
      </c>
      <c r="AB79">
        <f>N79/1200</f>
        <v>0.69267364414843002</v>
      </c>
      <c r="AC79">
        <f>O79/1200</f>
        <v>4.5666666666666661E-2</v>
      </c>
      <c r="AD79">
        <f>P79/1200</f>
        <v>4.8525214081826834E-2</v>
      </c>
      <c r="AE79">
        <f>Q79/1200</f>
        <v>3.9958333333333339E-2</v>
      </c>
      <c r="AF79">
        <f>R79/1200</f>
        <v>0.17316666666666666</v>
      </c>
      <c r="AG79">
        <f>S79/1200</f>
        <v>0.66413333333333335</v>
      </c>
      <c r="AH79">
        <v>0.66</v>
      </c>
      <c r="AI79">
        <v>0.34</v>
      </c>
      <c r="AJ79">
        <v>34</v>
      </c>
      <c r="AK79">
        <v>0.79</v>
      </c>
      <c r="AL79">
        <v>0.21</v>
      </c>
      <c r="AM79">
        <v>0.21</v>
      </c>
      <c r="AN79">
        <v>0.46</v>
      </c>
      <c r="AO79">
        <v>0.34</v>
      </c>
      <c r="AP79">
        <v>0</v>
      </c>
      <c r="AQ79">
        <v>0</v>
      </c>
      <c r="AR79">
        <v>0</v>
      </c>
      <c r="AS79">
        <v>29.6</v>
      </c>
      <c r="AT79">
        <v>4.489446</v>
      </c>
      <c r="AU79">
        <v>3.8062265740000001</v>
      </c>
      <c r="AV79">
        <v>-0.3</v>
      </c>
      <c r="AW79">
        <v>29</v>
      </c>
      <c r="AX79">
        <v>29.4</v>
      </c>
      <c r="AY79">
        <v>27.5</v>
      </c>
      <c r="AZ79">
        <v>27.4</v>
      </c>
      <c r="BA79">
        <v>31.8</v>
      </c>
      <c r="BB79">
        <v>1029</v>
      </c>
      <c r="BC79">
        <v>29.03</v>
      </c>
      <c r="BD79">
        <v>2.23</v>
      </c>
      <c r="BE79">
        <v>3.6969480749999999</v>
      </c>
      <c r="BF79">
        <v>-9.17</v>
      </c>
      <c r="BG79">
        <v>8.0299999999999994</v>
      </c>
      <c r="BH79">
        <v>29.03</v>
      </c>
      <c r="BI79">
        <v>26.93</v>
      </c>
      <c r="BJ79">
        <v>26.93</v>
      </c>
      <c r="BK79">
        <v>30.3</v>
      </c>
      <c r="BL79">
        <v>309</v>
      </c>
    </row>
    <row r="80" spans="1:64" x14ac:dyDescent="0.2">
      <c r="A80" s="1">
        <v>43053</v>
      </c>
      <c r="B80" t="s">
        <v>81</v>
      </c>
      <c r="C80">
        <v>5</v>
      </c>
      <c r="D80" t="s">
        <v>63</v>
      </c>
      <c r="E80" t="s">
        <v>67</v>
      </c>
      <c r="F80" t="s">
        <v>65</v>
      </c>
      <c r="G80" s="2">
        <v>0.69916666666666671</v>
      </c>
      <c r="H80">
        <v>0.7</v>
      </c>
      <c r="I80" s="3">
        <v>0.69791666666666663</v>
      </c>
      <c r="J80" s="3">
        <v>0.71180555555555547</v>
      </c>
      <c r="K80">
        <v>1196</v>
      </c>
      <c r="L80">
        <v>1006</v>
      </c>
      <c r="M80">
        <v>1200</v>
      </c>
      <c r="N80">
        <f>393/L80*1200</f>
        <v>468.78727634194831</v>
      </c>
      <c r="O80">
        <v>211.13</v>
      </c>
      <c r="P80">
        <f>436/L80*1200</f>
        <v>520.07952286282307</v>
      </c>
      <c r="Q80">
        <v>0</v>
      </c>
      <c r="R80">
        <v>0</v>
      </c>
      <c r="S80">
        <v>809.94</v>
      </c>
      <c r="T80">
        <v>390.06</v>
      </c>
      <c r="U80">
        <v>1190.46</v>
      </c>
      <c r="V80">
        <v>9.5399999999999991</v>
      </c>
      <c r="W80">
        <v>9.5399999999999991</v>
      </c>
      <c r="X80">
        <v>800.4</v>
      </c>
      <c r="Y80">
        <v>390.06</v>
      </c>
      <c r="Z80">
        <v>0</v>
      </c>
      <c r="AA80">
        <v>0</v>
      </c>
      <c r="AB80">
        <f>N80/1200</f>
        <v>0.39065606361829025</v>
      </c>
      <c r="AC80">
        <f>O80/1200</f>
        <v>0.17594166666666666</v>
      </c>
      <c r="AD80">
        <f>P80/1200</f>
        <v>0.43339960238568587</v>
      </c>
      <c r="AE80">
        <f>Q80/1200</f>
        <v>0</v>
      </c>
      <c r="AF80">
        <f>R80/1200</f>
        <v>0</v>
      </c>
      <c r="AG80">
        <f>S80/1200</f>
        <v>0.67495000000000005</v>
      </c>
      <c r="AH80">
        <v>0.67</v>
      </c>
      <c r="AI80">
        <v>0.33</v>
      </c>
      <c r="AJ80">
        <v>33</v>
      </c>
      <c r="AK80">
        <v>0.99</v>
      </c>
      <c r="AL80">
        <v>0.01</v>
      </c>
      <c r="AM80">
        <v>0.01</v>
      </c>
      <c r="AN80">
        <v>0.67</v>
      </c>
      <c r="AO80">
        <v>0.33</v>
      </c>
      <c r="AP80">
        <v>0</v>
      </c>
      <c r="AQ80">
        <v>0</v>
      </c>
      <c r="AR80">
        <v>0</v>
      </c>
      <c r="AS80">
        <v>19.8</v>
      </c>
      <c r="AT80">
        <v>8.1187419999999992</v>
      </c>
      <c r="AU80">
        <v>1.568839018</v>
      </c>
      <c r="AV80">
        <v>7.9</v>
      </c>
      <c r="AW80">
        <v>33.799999999999997</v>
      </c>
      <c r="AX80">
        <v>16.899999999999999</v>
      </c>
      <c r="AY80">
        <v>17.899999999999999</v>
      </c>
      <c r="AZ80">
        <v>15</v>
      </c>
      <c r="BA80">
        <v>18.399999999999999</v>
      </c>
      <c r="BB80">
        <v>1073</v>
      </c>
      <c r="BC80">
        <v>19.600000000000001</v>
      </c>
      <c r="BD80">
        <v>5.57</v>
      </c>
      <c r="BE80">
        <v>1.535341507</v>
      </c>
      <c r="BF80">
        <v>2.7</v>
      </c>
      <c r="BG80">
        <v>29.53</v>
      </c>
      <c r="BH80">
        <v>16.57</v>
      </c>
      <c r="BI80">
        <v>17.7</v>
      </c>
      <c r="BJ80">
        <v>14.7</v>
      </c>
      <c r="BK80">
        <v>18.100000000000001</v>
      </c>
      <c r="BL80">
        <v>669.33</v>
      </c>
    </row>
    <row r="81" spans="1:64" x14ac:dyDescent="0.2">
      <c r="A81" s="6">
        <v>43083</v>
      </c>
      <c r="B81" s="5" t="s">
        <v>62</v>
      </c>
      <c r="C81" s="5">
        <v>2</v>
      </c>
      <c r="D81" s="5" t="s">
        <v>63</v>
      </c>
      <c r="E81" s="5" t="s">
        <v>71</v>
      </c>
      <c r="F81" s="5" t="s">
        <v>69</v>
      </c>
      <c r="G81" s="7">
        <v>0.39540509259259254</v>
      </c>
      <c r="H81" s="5">
        <v>0.4</v>
      </c>
      <c r="I81" s="8">
        <v>0.39583333333333331</v>
      </c>
      <c r="J81" s="8">
        <v>0.40972222222222227</v>
      </c>
      <c r="K81" s="5">
        <v>1194</v>
      </c>
      <c r="L81" s="5">
        <v>1003</v>
      </c>
      <c r="M81" s="5">
        <v>1200</v>
      </c>
      <c r="N81" s="5">
        <f>240/L81*1200</f>
        <v>287.13858424725822</v>
      </c>
      <c r="O81" s="5">
        <v>374.48</v>
      </c>
      <c r="P81" s="5">
        <f>450/L81*1200</f>
        <v>538.38484546360917</v>
      </c>
      <c r="Q81" s="5">
        <v>0</v>
      </c>
      <c r="R81" s="5">
        <v>0</v>
      </c>
      <c r="S81" s="5">
        <v>849.45</v>
      </c>
      <c r="T81" s="5">
        <v>350.55</v>
      </c>
      <c r="U81" s="5">
        <v>1192.82</v>
      </c>
      <c r="V81" s="5">
        <v>7.18</v>
      </c>
      <c r="W81" s="5">
        <v>7.18</v>
      </c>
      <c r="X81" s="5">
        <v>842.27</v>
      </c>
      <c r="Y81" s="5">
        <v>350.55</v>
      </c>
      <c r="Z81" s="5">
        <v>0</v>
      </c>
      <c r="AA81" s="5">
        <v>0</v>
      </c>
      <c r="AB81" s="5">
        <f>N81/1200</f>
        <v>0.23928215353938184</v>
      </c>
      <c r="AC81" s="5">
        <f>O81/1200</f>
        <v>0.31206666666666666</v>
      </c>
      <c r="AD81" s="5">
        <f>P81/1200</f>
        <v>0.44865403788634095</v>
      </c>
      <c r="AE81" s="5">
        <f>Q81/1200</f>
        <v>0</v>
      </c>
      <c r="AF81" s="5">
        <f>R81/1200</f>
        <v>0</v>
      </c>
      <c r="AG81" s="5">
        <f>S81/1200</f>
        <v>0.70787500000000003</v>
      </c>
      <c r="AH81" s="5">
        <v>0.71</v>
      </c>
      <c r="AI81" s="5">
        <v>0.28999999999999998</v>
      </c>
      <c r="AJ81" s="5">
        <v>29</v>
      </c>
      <c r="AK81" s="5">
        <v>0.99</v>
      </c>
      <c r="AL81" s="5">
        <v>0.01</v>
      </c>
      <c r="AM81" s="5">
        <v>0.01</v>
      </c>
      <c r="AN81" s="5">
        <v>0.7</v>
      </c>
      <c r="AO81" s="5">
        <v>0.28999999999999998</v>
      </c>
      <c r="AP81" s="5">
        <v>0</v>
      </c>
      <c r="AQ81" s="5">
        <v>0</v>
      </c>
      <c r="AR81" s="5">
        <v>0</v>
      </c>
      <c r="AS81" s="5">
        <v>29.66</v>
      </c>
      <c r="AT81" s="5">
        <v>8.7899999999999991</v>
      </c>
      <c r="AU81" s="5">
        <v>3.2801092710000002</v>
      </c>
      <c r="AV81" s="5">
        <v>8.73</v>
      </c>
      <c r="AW81" s="5"/>
      <c r="AX81" s="5">
        <v>29.47</v>
      </c>
      <c r="AY81" s="5">
        <v>27.76</v>
      </c>
      <c r="AZ81" s="5">
        <v>27.9</v>
      </c>
      <c r="BA81" s="5"/>
      <c r="BB81" s="5"/>
      <c r="BC81" s="5">
        <v>16.198</v>
      </c>
      <c r="BD81" s="5">
        <v>8.6555643490000005</v>
      </c>
      <c r="BE81" s="5">
        <v>0.72484318299999995</v>
      </c>
      <c r="BF81" s="5">
        <v>8.57</v>
      </c>
      <c r="BG81" s="5"/>
      <c r="BH81" s="5">
        <v>13.866</v>
      </c>
      <c r="BI81" s="5">
        <v>15.638999999999999</v>
      </c>
      <c r="BJ81" s="5">
        <v>13.407999999999999</v>
      </c>
      <c r="BK81" s="5">
        <v>14.3337</v>
      </c>
      <c r="BL81" s="5">
        <v>628.66</v>
      </c>
    </row>
    <row r="82" spans="1:64" x14ac:dyDescent="0.2">
      <c r="A82" s="1">
        <v>43038</v>
      </c>
      <c r="B82" t="s">
        <v>81</v>
      </c>
      <c r="C82">
        <v>5</v>
      </c>
      <c r="D82" t="s">
        <v>76</v>
      </c>
      <c r="E82" t="s">
        <v>83</v>
      </c>
      <c r="F82" t="s">
        <v>69</v>
      </c>
      <c r="G82" s="2">
        <v>0.70648148148148149</v>
      </c>
      <c r="H82">
        <v>0.71</v>
      </c>
      <c r="I82" s="3">
        <v>0.70833333333333337</v>
      </c>
      <c r="J82" s="3">
        <v>0.72222222222222221</v>
      </c>
      <c r="K82">
        <v>1197</v>
      </c>
      <c r="L82">
        <v>1197</v>
      </c>
      <c r="M82">
        <v>1200</v>
      </c>
      <c r="N82">
        <f>164/L82*1200</f>
        <v>164.41102756892229</v>
      </c>
      <c r="O82">
        <f>276/L82*1200</f>
        <v>276.69172932330827</v>
      </c>
      <c r="P82">
        <f>53/L82*1200</f>
        <v>53.132832080200501</v>
      </c>
      <c r="Q82">
        <v>4.01</v>
      </c>
      <c r="R82">
        <v>701.75</v>
      </c>
      <c r="S82">
        <v>876.19</v>
      </c>
      <c r="T82">
        <v>323.81</v>
      </c>
      <c r="U82">
        <v>496.24</v>
      </c>
      <c r="V82">
        <v>703.76</v>
      </c>
      <c r="W82">
        <v>703.76</v>
      </c>
      <c r="X82">
        <v>172.43</v>
      </c>
      <c r="Y82">
        <v>323.81</v>
      </c>
      <c r="Z82">
        <v>0</v>
      </c>
      <c r="AA82">
        <v>0</v>
      </c>
      <c r="AB82">
        <f>N82/1200</f>
        <v>0.13700918964076858</v>
      </c>
      <c r="AC82">
        <f>O82/1200</f>
        <v>0.23057644110275688</v>
      </c>
      <c r="AD82">
        <f>P82/1200</f>
        <v>4.4277360066833749E-2</v>
      </c>
      <c r="AE82">
        <f>Q82/1200</f>
        <v>3.3416666666666664E-3</v>
      </c>
      <c r="AF82">
        <f>R82/1200</f>
        <v>0.58479166666666671</v>
      </c>
      <c r="AG82">
        <f>S82/1200</f>
        <v>0.73015833333333335</v>
      </c>
      <c r="AH82">
        <v>0.73</v>
      </c>
      <c r="AI82">
        <v>0.27</v>
      </c>
      <c r="AJ82">
        <v>27</v>
      </c>
      <c r="AK82">
        <v>0.41</v>
      </c>
      <c r="AL82">
        <v>0.59</v>
      </c>
      <c r="AM82">
        <v>0.59</v>
      </c>
      <c r="AN82">
        <v>0.14000000000000001</v>
      </c>
      <c r="AO82">
        <v>0.27</v>
      </c>
      <c r="AP82">
        <v>0</v>
      </c>
      <c r="AQ82">
        <v>0</v>
      </c>
      <c r="AR82">
        <v>0</v>
      </c>
      <c r="AS82">
        <v>35.700000000000003</v>
      </c>
      <c r="AT82">
        <v>12.280200000000001</v>
      </c>
      <c r="AU82">
        <v>4.599117669</v>
      </c>
      <c r="AV82">
        <v>14.9</v>
      </c>
      <c r="AW82">
        <v>25.7</v>
      </c>
      <c r="AX82">
        <v>35.700000000000003</v>
      </c>
      <c r="AY82">
        <v>34.700000000000003</v>
      </c>
      <c r="AZ82">
        <v>34.700000000000003</v>
      </c>
      <c r="BA82">
        <v>39.700000000000003</v>
      </c>
      <c r="BB82">
        <v>967</v>
      </c>
      <c r="BC82">
        <v>35.53</v>
      </c>
      <c r="BD82">
        <v>9.33</v>
      </c>
      <c r="BE82">
        <v>4.4644696350000004</v>
      </c>
      <c r="BF82">
        <v>10.97</v>
      </c>
      <c r="BG82">
        <v>15.57</v>
      </c>
      <c r="BH82">
        <v>35.53</v>
      </c>
      <c r="BI82">
        <v>34.4</v>
      </c>
      <c r="BJ82">
        <v>34.4</v>
      </c>
      <c r="BK82">
        <v>39.200000000000003</v>
      </c>
      <c r="BL82">
        <v>561.66999999999996</v>
      </c>
    </row>
    <row r="83" spans="1:64" x14ac:dyDescent="0.2">
      <c r="A83" s="1">
        <v>43077</v>
      </c>
      <c r="B83" t="s">
        <v>62</v>
      </c>
      <c r="C83">
        <v>1</v>
      </c>
      <c r="D83" t="s">
        <v>76</v>
      </c>
      <c r="E83" t="s">
        <v>87</v>
      </c>
      <c r="F83" t="s">
        <v>65</v>
      </c>
      <c r="G83" s="2">
        <v>0.26273148148148145</v>
      </c>
      <c r="H83">
        <v>0.26</v>
      </c>
      <c r="I83" s="3">
        <v>0.2638888888888889</v>
      </c>
      <c r="J83" s="3">
        <v>0.27777777777777779</v>
      </c>
      <c r="K83">
        <v>1198</v>
      </c>
      <c r="L83">
        <v>1024</v>
      </c>
      <c r="M83">
        <v>1200</v>
      </c>
      <c r="N83">
        <f>733/L83*1200</f>
        <v>858.984375</v>
      </c>
      <c r="O83">
        <v>14.06</v>
      </c>
      <c r="P83">
        <f>274/L83*1200</f>
        <v>321.09375</v>
      </c>
      <c r="Q83">
        <v>5.86</v>
      </c>
      <c r="R83">
        <v>0</v>
      </c>
      <c r="S83">
        <v>878.91</v>
      </c>
      <c r="T83">
        <v>321.08999999999997</v>
      </c>
      <c r="U83">
        <v>1185.94</v>
      </c>
      <c r="V83">
        <v>14.06</v>
      </c>
      <c r="W83">
        <v>14.06</v>
      </c>
      <c r="X83">
        <v>864.84</v>
      </c>
      <c r="Y83">
        <v>321.08999999999997</v>
      </c>
      <c r="Z83">
        <v>0</v>
      </c>
      <c r="AA83">
        <v>0</v>
      </c>
      <c r="AB83">
        <f>N83/1200</f>
        <v>0.7158203125</v>
      </c>
      <c r="AC83">
        <f>O83/1200</f>
        <v>1.1716666666666667E-2</v>
      </c>
      <c r="AD83">
        <f>P83/1200</f>
        <v>0.267578125</v>
      </c>
      <c r="AE83">
        <f>Q83/1200</f>
        <v>4.8833333333333333E-3</v>
      </c>
      <c r="AF83">
        <f>R83/1200</f>
        <v>0</v>
      </c>
      <c r="AG83">
        <f>S83/1200</f>
        <v>0.73242499999999999</v>
      </c>
      <c r="AH83">
        <v>0.73</v>
      </c>
      <c r="AI83">
        <v>0.27</v>
      </c>
      <c r="AJ83">
        <v>27</v>
      </c>
      <c r="AK83">
        <v>0.99</v>
      </c>
      <c r="AL83">
        <v>0.01</v>
      </c>
      <c r="AM83">
        <v>0.01</v>
      </c>
      <c r="AN83">
        <v>0.72</v>
      </c>
      <c r="AO83">
        <v>0.27</v>
      </c>
      <c r="AP83">
        <v>0</v>
      </c>
      <c r="AQ83">
        <v>0</v>
      </c>
      <c r="AR83">
        <v>0</v>
      </c>
      <c r="AS83">
        <v>37.21</v>
      </c>
      <c r="AT83">
        <v>9.7431214090000005</v>
      </c>
      <c r="AU83">
        <v>5.3390000000000004</v>
      </c>
      <c r="AV83">
        <v>10.81</v>
      </c>
      <c r="AX83">
        <v>36.57</v>
      </c>
      <c r="AY83">
        <v>35.435000000000002</v>
      </c>
      <c r="AZ83">
        <v>35.200000000000003</v>
      </c>
      <c r="BC83">
        <v>27.52</v>
      </c>
      <c r="BD83">
        <v>8.4354365379999994</v>
      </c>
      <c r="BE83">
        <v>2.5442684139999998</v>
      </c>
      <c r="BF83">
        <v>8.6766666669999992</v>
      </c>
      <c r="BH83">
        <v>27.321999999999999</v>
      </c>
      <c r="BI83">
        <v>26.378666670000001</v>
      </c>
      <c r="BJ83">
        <v>26.463999999999999</v>
      </c>
      <c r="BK83">
        <v>27.353999999999999</v>
      </c>
      <c r="BL83">
        <v>8.4700000000000006</v>
      </c>
    </row>
    <row r="84" spans="1:64" ht="15.75" customHeight="1" x14ac:dyDescent="0.2">
      <c r="A84" s="1">
        <v>43036</v>
      </c>
      <c r="B84" t="s">
        <v>81</v>
      </c>
      <c r="C84">
        <v>6</v>
      </c>
      <c r="D84" t="s">
        <v>63</v>
      </c>
      <c r="E84" t="s">
        <v>83</v>
      </c>
      <c r="F84" t="s">
        <v>69</v>
      </c>
      <c r="G84" s="2">
        <v>0.77925925925925921</v>
      </c>
      <c r="H84">
        <v>0.78</v>
      </c>
      <c r="I84" s="3">
        <v>0.77777777777777779</v>
      </c>
      <c r="J84" s="3">
        <v>0.79166666666666663</v>
      </c>
      <c r="K84">
        <v>1196</v>
      </c>
      <c r="L84">
        <v>971</v>
      </c>
      <c r="M84">
        <v>1200</v>
      </c>
      <c r="N84">
        <f>651/L84*1200</f>
        <v>804.53141091658085</v>
      </c>
      <c r="O84">
        <v>8.65</v>
      </c>
      <c r="P84">
        <f>255/L84*1200</f>
        <v>315.13903192584962</v>
      </c>
      <c r="Q84">
        <v>0</v>
      </c>
      <c r="R84">
        <v>71.680000000000007</v>
      </c>
      <c r="S84">
        <v>905.87</v>
      </c>
      <c r="T84">
        <v>294.13</v>
      </c>
      <c r="U84">
        <v>1067.77</v>
      </c>
      <c r="V84">
        <v>132.22999999999999</v>
      </c>
      <c r="W84">
        <v>132.22999999999999</v>
      </c>
      <c r="X84">
        <v>773.64</v>
      </c>
      <c r="Y84">
        <v>294.13</v>
      </c>
      <c r="Z84">
        <v>0</v>
      </c>
      <c r="AA84">
        <v>0</v>
      </c>
      <c r="AB84">
        <f>N84/1200</f>
        <v>0.67044284243048402</v>
      </c>
      <c r="AC84">
        <f>O84/1200</f>
        <v>7.208333333333334E-3</v>
      </c>
      <c r="AD84">
        <f>P84/1200</f>
        <v>0.26261585993820802</v>
      </c>
      <c r="AE84">
        <f>Q84/1200</f>
        <v>0</v>
      </c>
      <c r="AF84">
        <f>R84/1200</f>
        <v>5.973333333333334E-2</v>
      </c>
      <c r="AG84">
        <f>S84/1200</f>
        <v>0.75489166666666663</v>
      </c>
      <c r="AH84">
        <v>0.75</v>
      </c>
      <c r="AI84">
        <v>0.25</v>
      </c>
      <c r="AJ84">
        <v>25</v>
      </c>
      <c r="AK84">
        <v>0.89</v>
      </c>
      <c r="AL84">
        <v>0.11</v>
      </c>
      <c r="AM84">
        <v>0.11</v>
      </c>
      <c r="AN84">
        <v>0.64</v>
      </c>
      <c r="AO84">
        <v>0.25</v>
      </c>
      <c r="AP84">
        <v>0</v>
      </c>
      <c r="AQ84">
        <v>0</v>
      </c>
      <c r="AR84">
        <v>0</v>
      </c>
      <c r="AS84">
        <v>29.6</v>
      </c>
      <c r="AT84">
        <v>4.489446</v>
      </c>
      <c r="AU84">
        <v>3.8062265740000001</v>
      </c>
      <c r="AV84">
        <v>-0.3</v>
      </c>
      <c r="AW84">
        <v>29</v>
      </c>
      <c r="AX84">
        <v>29.4</v>
      </c>
      <c r="AY84">
        <v>27.5</v>
      </c>
      <c r="AZ84">
        <v>27.4</v>
      </c>
      <c r="BA84">
        <v>31.8</v>
      </c>
      <c r="BB84">
        <v>1029</v>
      </c>
      <c r="BC84">
        <v>27.37</v>
      </c>
      <c r="BD84">
        <v>2.2999999999999998</v>
      </c>
      <c r="BE84">
        <v>3.476366235</v>
      </c>
      <c r="BF84">
        <v>-8.8000000000000007</v>
      </c>
      <c r="BG84">
        <v>4.8</v>
      </c>
      <c r="BH84">
        <v>27.37</v>
      </c>
      <c r="BI84">
        <v>25.1</v>
      </c>
      <c r="BJ84">
        <v>25.1</v>
      </c>
      <c r="BK84">
        <v>22.73</v>
      </c>
      <c r="BL84">
        <v>14.67</v>
      </c>
    </row>
    <row r="85" spans="1:64" ht="15.75" customHeight="1" x14ac:dyDescent="0.2">
      <c r="A85" s="1">
        <v>43056</v>
      </c>
      <c r="B85" t="s">
        <v>62</v>
      </c>
      <c r="C85">
        <v>2</v>
      </c>
      <c r="D85" t="s">
        <v>63</v>
      </c>
      <c r="E85" t="s">
        <v>75</v>
      </c>
      <c r="F85" t="s">
        <v>69</v>
      </c>
      <c r="G85" s="2">
        <v>0.3808449074074074</v>
      </c>
      <c r="H85">
        <v>0.38</v>
      </c>
      <c r="I85" s="3">
        <v>0.38194444444444442</v>
      </c>
      <c r="J85" s="3">
        <v>0.39583333333333331</v>
      </c>
      <c r="K85">
        <v>1189</v>
      </c>
      <c r="L85">
        <v>1125</v>
      </c>
      <c r="M85">
        <v>1200</v>
      </c>
      <c r="N85">
        <f>254/L85*1200</f>
        <v>270.93333333333334</v>
      </c>
      <c r="O85">
        <v>266.67</v>
      </c>
      <c r="P85">
        <f>456/L85*1200</f>
        <v>486.4</v>
      </c>
      <c r="Q85">
        <v>176</v>
      </c>
      <c r="R85">
        <v>0</v>
      </c>
      <c r="S85">
        <v>942.93</v>
      </c>
      <c r="T85">
        <v>257.07</v>
      </c>
      <c r="U85">
        <v>1186.1300000000001</v>
      </c>
      <c r="V85">
        <v>13.87</v>
      </c>
      <c r="W85">
        <v>13.87</v>
      </c>
      <c r="X85">
        <v>929.07</v>
      </c>
      <c r="Y85">
        <v>257.07</v>
      </c>
      <c r="Z85">
        <v>0</v>
      </c>
      <c r="AA85">
        <v>0</v>
      </c>
      <c r="AB85">
        <f>N85/1200</f>
        <v>0.22577777777777777</v>
      </c>
      <c r="AC85">
        <f>O85/1200</f>
        <v>0.22222500000000001</v>
      </c>
      <c r="AD85">
        <f>P85/1200</f>
        <v>0.40533333333333332</v>
      </c>
      <c r="AE85">
        <f>Q85/1200</f>
        <v>0.14666666666666667</v>
      </c>
      <c r="AF85">
        <f>R85/1200</f>
        <v>0</v>
      </c>
      <c r="AG85">
        <f>S85/1200</f>
        <v>0.785775</v>
      </c>
      <c r="AH85">
        <v>0.79</v>
      </c>
      <c r="AI85">
        <v>0.21</v>
      </c>
      <c r="AJ85">
        <v>21</v>
      </c>
      <c r="AK85">
        <v>0.99</v>
      </c>
      <c r="AL85">
        <v>0.01</v>
      </c>
      <c r="AM85">
        <v>0.01</v>
      </c>
      <c r="AN85">
        <v>0.77</v>
      </c>
      <c r="AO85">
        <v>0.21</v>
      </c>
      <c r="AP85">
        <v>0</v>
      </c>
      <c r="AQ85">
        <v>0</v>
      </c>
      <c r="AR85">
        <v>0</v>
      </c>
      <c r="AS85">
        <v>30.8</v>
      </c>
      <c r="AT85">
        <v>5.1697819999999997</v>
      </c>
      <c r="AU85">
        <v>4.1654049100000003</v>
      </c>
      <c r="AV85">
        <v>1.5</v>
      </c>
      <c r="AW85">
        <v>14.5</v>
      </c>
      <c r="AX85">
        <v>30.8</v>
      </c>
      <c r="AY85">
        <v>28.4</v>
      </c>
      <c r="AZ85">
        <v>28.4</v>
      </c>
      <c r="BA85">
        <v>32.700000000000003</v>
      </c>
      <c r="BB85">
        <v>1030</v>
      </c>
      <c r="BC85">
        <v>17.2</v>
      </c>
      <c r="BD85">
        <v>5.0999999999999996</v>
      </c>
      <c r="BE85">
        <v>1.2872923460000001</v>
      </c>
      <c r="BF85">
        <v>1.33</v>
      </c>
      <c r="BG85">
        <v>8.57</v>
      </c>
      <c r="BH85">
        <v>17.2</v>
      </c>
      <c r="BI85">
        <v>15.4</v>
      </c>
      <c r="BJ85">
        <v>15.4</v>
      </c>
      <c r="BK85">
        <v>22.1</v>
      </c>
      <c r="BL85">
        <v>514</v>
      </c>
    </row>
    <row r="86" spans="1:64" ht="15.75" customHeight="1" x14ac:dyDescent="0.2">
      <c r="A86" s="1">
        <v>43035</v>
      </c>
      <c r="B86" t="s">
        <v>81</v>
      </c>
      <c r="C86">
        <v>5</v>
      </c>
      <c r="D86" t="s">
        <v>63</v>
      </c>
      <c r="E86" t="s">
        <v>80</v>
      </c>
      <c r="F86" t="s">
        <v>65</v>
      </c>
      <c r="G86" s="2">
        <v>0.73561342592592593</v>
      </c>
      <c r="H86">
        <v>0.74</v>
      </c>
      <c r="I86" s="3">
        <v>0.73611111111111116</v>
      </c>
      <c r="J86" s="3">
        <v>0.75</v>
      </c>
      <c r="K86">
        <v>1195</v>
      </c>
      <c r="L86">
        <v>1175</v>
      </c>
      <c r="M86">
        <v>1200</v>
      </c>
      <c r="N86">
        <f>354/L86*1200</f>
        <v>361.531914893617</v>
      </c>
      <c r="O86">
        <f>164/L86*1200</f>
        <v>167.48936170212764</v>
      </c>
      <c r="P86">
        <f>502/L86*1200</f>
        <v>512.68085106382978</v>
      </c>
      <c r="Q86">
        <v>4.09</v>
      </c>
      <c r="R86">
        <v>154.21</v>
      </c>
      <c r="S86">
        <v>945.7</v>
      </c>
      <c r="T86">
        <v>254.3</v>
      </c>
      <c r="U86">
        <v>1026.3800000000001</v>
      </c>
      <c r="V86">
        <v>173.62</v>
      </c>
      <c r="W86">
        <v>173.62</v>
      </c>
      <c r="X86">
        <v>772.09</v>
      </c>
      <c r="Y86">
        <v>254.3</v>
      </c>
      <c r="Z86">
        <v>0</v>
      </c>
      <c r="AA86">
        <v>0</v>
      </c>
      <c r="AB86">
        <f>N86/1200</f>
        <v>0.30127659574468085</v>
      </c>
      <c r="AC86">
        <f>O86/1200</f>
        <v>0.13957446808510637</v>
      </c>
      <c r="AD86">
        <f>P86/1200</f>
        <v>0.42723404255319147</v>
      </c>
      <c r="AE86">
        <f>Q86/1200</f>
        <v>3.4083333333333331E-3</v>
      </c>
      <c r="AF86">
        <f>R86/1200</f>
        <v>0.12850833333333334</v>
      </c>
      <c r="AG86">
        <f>S86/1200</f>
        <v>0.78808333333333336</v>
      </c>
      <c r="AH86">
        <v>0.79</v>
      </c>
      <c r="AI86">
        <v>0.21</v>
      </c>
      <c r="AJ86">
        <v>21</v>
      </c>
      <c r="AK86">
        <v>0.86</v>
      </c>
      <c r="AL86">
        <v>0.14000000000000001</v>
      </c>
      <c r="AM86">
        <v>0.14000000000000001</v>
      </c>
      <c r="AN86">
        <v>0.64</v>
      </c>
      <c r="AO86">
        <v>0.21</v>
      </c>
      <c r="AP86">
        <v>0</v>
      </c>
      <c r="AQ86">
        <v>0</v>
      </c>
      <c r="AR86">
        <v>0</v>
      </c>
      <c r="AS86">
        <v>26.6</v>
      </c>
      <c r="AT86">
        <v>5.2935809999999996</v>
      </c>
      <c r="AU86">
        <v>3.2783784050000002</v>
      </c>
      <c r="AV86">
        <v>1.4</v>
      </c>
      <c r="AW86">
        <v>32.200000000000003</v>
      </c>
      <c r="AX86">
        <v>24.8</v>
      </c>
      <c r="AY86">
        <v>24.3</v>
      </c>
      <c r="AZ86">
        <v>22.5</v>
      </c>
      <c r="BA86">
        <v>25.9</v>
      </c>
      <c r="BB86">
        <v>1023</v>
      </c>
      <c r="BC86">
        <v>25.57</v>
      </c>
      <c r="BD86">
        <v>1.28</v>
      </c>
      <c r="BE86">
        <v>3.095487356</v>
      </c>
      <c r="BF86">
        <v>-16.2</v>
      </c>
      <c r="BG86">
        <v>25.73</v>
      </c>
      <c r="BH86">
        <v>23.6</v>
      </c>
      <c r="BI86">
        <v>23.27</v>
      </c>
      <c r="BJ86">
        <v>21.27</v>
      </c>
      <c r="BK86">
        <v>21.9</v>
      </c>
      <c r="BL86">
        <v>122.67</v>
      </c>
    </row>
    <row r="87" spans="1:64" ht="15.75" customHeight="1" x14ac:dyDescent="0.2">
      <c r="A87" s="1">
        <v>43057</v>
      </c>
      <c r="B87" t="s">
        <v>62</v>
      </c>
      <c r="C87">
        <v>2</v>
      </c>
      <c r="D87" t="s">
        <v>63</v>
      </c>
      <c r="E87" t="s">
        <v>74</v>
      </c>
      <c r="F87" t="s">
        <v>65</v>
      </c>
      <c r="G87" s="2">
        <v>0.40282407407407406</v>
      </c>
      <c r="H87">
        <v>0.4</v>
      </c>
      <c r="I87" s="3">
        <v>0.40277777777777773</v>
      </c>
      <c r="J87" s="3">
        <v>0.41666666666666669</v>
      </c>
      <c r="K87">
        <v>1197</v>
      </c>
      <c r="L87">
        <v>1049</v>
      </c>
      <c r="M87">
        <v>1200</v>
      </c>
      <c r="N87">
        <f>259/L87*1200</f>
        <v>296.28217349857005</v>
      </c>
      <c r="O87">
        <v>226.5</v>
      </c>
      <c r="P87">
        <f>462/L87*1200</f>
        <v>528.50333651096275</v>
      </c>
      <c r="Q87">
        <v>24.02</v>
      </c>
      <c r="R87">
        <v>124.69</v>
      </c>
      <c r="S87">
        <v>1010.1</v>
      </c>
      <c r="T87">
        <v>247.09</v>
      </c>
      <c r="U87">
        <v>1063.8699999999999</v>
      </c>
      <c r="V87">
        <v>136.13</v>
      </c>
      <c r="W87">
        <v>136.13</v>
      </c>
      <c r="X87">
        <v>873.98</v>
      </c>
      <c r="Y87">
        <v>247.09</v>
      </c>
      <c r="Z87">
        <v>0</v>
      </c>
      <c r="AA87">
        <v>0</v>
      </c>
      <c r="AB87">
        <f>N87/1200</f>
        <v>0.24690181124880836</v>
      </c>
      <c r="AC87">
        <f>O87/1200</f>
        <v>0.18875</v>
      </c>
      <c r="AD87">
        <f>P87/1200</f>
        <v>0.44041944709246894</v>
      </c>
      <c r="AE87">
        <f>Q87/1200</f>
        <v>2.0016666666666665E-2</v>
      </c>
      <c r="AF87">
        <f>R87/1200</f>
        <v>0.10390833333333332</v>
      </c>
      <c r="AG87">
        <f>S87/1200</f>
        <v>0.84175</v>
      </c>
      <c r="AH87">
        <v>0.84</v>
      </c>
      <c r="AI87">
        <v>0.21</v>
      </c>
      <c r="AJ87">
        <v>21</v>
      </c>
      <c r="AK87">
        <v>0.89</v>
      </c>
      <c r="AL87">
        <v>0.11</v>
      </c>
      <c r="AM87">
        <v>0.11</v>
      </c>
      <c r="AN87">
        <v>0.73</v>
      </c>
      <c r="AO87">
        <v>0.21</v>
      </c>
      <c r="AP87">
        <v>0</v>
      </c>
      <c r="AQ87">
        <v>0</v>
      </c>
      <c r="AR87">
        <v>0</v>
      </c>
      <c r="AS87">
        <v>29.46</v>
      </c>
      <c r="AT87">
        <v>5.0425070180000002</v>
      </c>
      <c r="AU87">
        <v>3.8194523249999999</v>
      </c>
      <c r="AV87">
        <v>1.29</v>
      </c>
      <c r="AX87">
        <v>29.27</v>
      </c>
      <c r="AY87">
        <v>27.05</v>
      </c>
      <c r="AZ87">
        <v>27.23</v>
      </c>
      <c r="BC87">
        <v>19.155999999999999</v>
      </c>
      <c r="BD87">
        <v>4.7236885370000001</v>
      </c>
      <c r="BE87">
        <v>1.576480911</v>
      </c>
      <c r="BF87">
        <v>0.65</v>
      </c>
      <c r="BH87">
        <v>19.577999999999999</v>
      </c>
      <c r="BI87">
        <v>16.6995</v>
      </c>
      <c r="BJ87">
        <v>17.391999999999999</v>
      </c>
      <c r="BK87">
        <v>17.735399999999998</v>
      </c>
      <c r="BL87">
        <v>657.74</v>
      </c>
    </row>
    <row r="88" spans="1:64" ht="15.75" customHeight="1" x14ac:dyDescent="0.2">
      <c r="A88" s="1">
        <v>43038</v>
      </c>
      <c r="B88" t="s">
        <v>81</v>
      </c>
      <c r="C88">
        <v>5</v>
      </c>
      <c r="D88" t="s">
        <v>76</v>
      </c>
      <c r="E88" t="s">
        <v>85</v>
      </c>
      <c r="F88" t="s">
        <v>65</v>
      </c>
      <c r="G88" s="2">
        <v>0.7096527777777778</v>
      </c>
      <c r="H88">
        <v>0.71</v>
      </c>
      <c r="I88" s="3">
        <v>0.70833333333333337</v>
      </c>
      <c r="J88" s="3">
        <v>0.72222222222222221</v>
      </c>
      <c r="K88">
        <v>1196</v>
      </c>
      <c r="L88">
        <v>1006</v>
      </c>
      <c r="M88">
        <v>1200</v>
      </c>
      <c r="N88">
        <v>659.64</v>
      </c>
      <c r="O88">
        <v>56.06</v>
      </c>
      <c r="P88">
        <v>212.33</v>
      </c>
      <c r="Q88">
        <v>0</v>
      </c>
      <c r="R88">
        <v>271.97000000000003</v>
      </c>
      <c r="S88">
        <v>1015.11</v>
      </c>
      <c r="T88">
        <v>184.89</v>
      </c>
      <c r="U88">
        <v>861.23</v>
      </c>
      <c r="V88">
        <v>338.77</v>
      </c>
      <c r="W88">
        <v>338.77</v>
      </c>
      <c r="X88">
        <v>676.34</v>
      </c>
      <c r="Y88">
        <v>184.89</v>
      </c>
      <c r="Z88">
        <v>0</v>
      </c>
      <c r="AA88">
        <v>44.14</v>
      </c>
      <c r="AB88">
        <f>N88/1200</f>
        <v>0.54969999999999997</v>
      </c>
      <c r="AC88">
        <f>O88/1200</f>
        <v>4.671666666666667E-2</v>
      </c>
      <c r="AD88">
        <f>P88/1200</f>
        <v>0.17694166666666666</v>
      </c>
      <c r="AE88">
        <f>Q88/1200</f>
        <v>0</v>
      </c>
      <c r="AF88">
        <f>R88/1200</f>
        <v>0.22664166666666669</v>
      </c>
      <c r="AG88">
        <f>S88/1200</f>
        <v>0.84592500000000004</v>
      </c>
      <c r="AH88">
        <v>0.85</v>
      </c>
      <c r="AI88">
        <v>0.15</v>
      </c>
      <c r="AJ88">
        <v>15</v>
      </c>
      <c r="AK88">
        <v>0.72</v>
      </c>
      <c r="AL88">
        <v>0.28000000000000003</v>
      </c>
      <c r="AM88">
        <v>0.28000000000000003</v>
      </c>
      <c r="AN88">
        <v>0.56000000000000005</v>
      </c>
      <c r="AO88">
        <v>0.15</v>
      </c>
      <c r="AP88">
        <v>0</v>
      </c>
      <c r="AQ88">
        <v>0.04</v>
      </c>
      <c r="AR88">
        <v>0</v>
      </c>
      <c r="AS88">
        <v>35.700000000000003</v>
      </c>
      <c r="AT88">
        <v>12.280200000000001</v>
      </c>
      <c r="AU88">
        <v>4.599117669</v>
      </c>
      <c r="AV88">
        <v>14.9</v>
      </c>
      <c r="AW88">
        <v>25.7</v>
      </c>
      <c r="AX88">
        <v>35.700000000000003</v>
      </c>
      <c r="AY88">
        <v>34.700000000000003</v>
      </c>
      <c r="AZ88">
        <v>34.700000000000003</v>
      </c>
      <c r="BA88">
        <v>39.700000000000003</v>
      </c>
      <c r="BB88">
        <v>967</v>
      </c>
      <c r="BC88">
        <v>35.53</v>
      </c>
      <c r="BD88">
        <v>9.33</v>
      </c>
      <c r="BE88">
        <v>4.4644696350000004</v>
      </c>
      <c r="BF88">
        <v>10.97</v>
      </c>
      <c r="BG88">
        <v>15.57</v>
      </c>
      <c r="BH88">
        <v>35.53</v>
      </c>
      <c r="BI88">
        <v>34.4</v>
      </c>
      <c r="BJ88">
        <v>34.4</v>
      </c>
      <c r="BK88">
        <v>39.200000000000003</v>
      </c>
      <c r="BL88">
        <v>561.66999999999996</v>
      </c>
    </row>
    <row r="89" spans="1:64" ht="15.75" customHeight="1" x14ac:dyDescent="0.2">
      <c r="A89" s="1">
        <v>43038</v>
      </c>
      <c r="B89" t="s">
        <v>62</v>
      </c>
      <c r="C89">
        <v>1</v>
      </c>
      <c r="D89" t="s">
        <v>76</v>
      </c>
      <c r="E89" t="s">
        <v>83</v>
      </c>
      <c r="F89" t="s">
        <v>69</v>
      </c>
      <c r="G89" s="2">
        <v>0.3056712962962963</v>
      </c>
      <c r="H89">
        <v>0.31</v>
      </c>
      <c r="I89" s="3">
        <v>0.30555555555555552</v>
      </c>
      <c r="J89" s="3">
        <v>0.31944444444444448</v>
      </c>
      <c r="K89">
        <v>1195</v>
      </c>
      <c r="L89">
        <v>1005</v>
      </c>
      <c r="M89">
        <v>1200</v>
      </c>
      <c r="N89">
        <f>206/L89*1200</f>
        <v>245.97014925373134</v>
      </c>
      <c r="O89">
        <f>121/L89*1200</f>
        <v>144.47761194029852</v>
      </c>
      <c r="P89">
        <f>544/L89*1200</f>
        <v>649.55223880597021</v>
      </c>
      <c r="Q89">
        <v>21.49</v>
      </c>
      <c r="R89">
        <v>138.51</v>
      </c>
      <c r="S89">
        <v>1023.28</v>
      </c>
      <c r="T89">
        <v>176.72</v>
      </c>
      <c r="U89">
        <v>1028.06</v>
      </c>
      <c r="V89">
        <v>171.94</v>
      </c>
      <c r="W89">
        <v>171.94</v>
      </c>
      <c r="X89">
        <v>851.34</v>
      </c>
      <c r="Y89">
        <v>176.72</v>
      </c>
      <c r="Z89">
        <v>0</v>
      </c>
      <c r="AA89">
        <v>0</v>
      </c>
      <c r="AB89">
        <f>N89/1200</f>
        <v>0.20497512437810944</v>
      </c>
      <c r="AC89">
        <f>O89/1200</f>
        <v>0.12039800995024877</v>
      </c>
      <c r="AD89">
        <f>P89/1200</f>
        <v>0.54129353233830846</v>
      </c>
      <c r="AE89">
        <f>Q89/1200</f>
        <v>1.7908333333333332E-2</v>
      </c>
      <c r="AF89">
        <f>R89/1200</f>
        <v>0.11542499999999999</v>
      </c>
      <c r="AG89">
        <f>S89/1200</f>
        <v>0.85273333333333334</v>
      </c>
      <c r="AH89">
        <v>0.85</v>
      </c>
      <c r="AI89">
        <v>0.15</v>
      </c>
      <c r="AJ89">
        <v>15</v>
      </c>
      <c r="AK89">
        <v>0.86</v>
      </c>
      <c r="AL89">
        <v>0.14000000000000001</v>
      </c>
      <c r="AM89">
        <v>0.14000000000000001</v>
      </c>
      <c r="AN89">
        <v>0.71</v>
      </c>
      <c r="AO89">
        <v>0.15</v>
      </c>
      <c r="AP89">
        <v>0</v>
      </c>
      <c r="AQ89">
        <v>0</v>
      </c>
      <c r="AR89">
        <v>0</v>
      </c>
      <c r="AS89">
        <v>35.700000000000003</v>
      </c>
      <c r="AT89">
        <v>12.280200000000001</v>
      </c>
      <c r="AU89">
        <v>4.599117669</v>
      </c>
      <c r="AV89">
        <v>14.9</v>
      </c>
      <c r="AW89">
        <v>25.7</v>
      </c>
      <c r="AX89">
        <v>35.700000000000003</v>
      </c>
      <c r="AY89">
        <v>34.700000000000003</v>
      </c>
      <c r="AZ89">
        <v>34.700000000000003</v>
      </c>
      <c r="BA89">
        <v>39.700000000000003</v>
      </c>
      <c r="BB89">
        <v>967</v>
      </c>
      <c r="BC89">
        <v>22.43</v>
      </c>
      <c r="BD89">
        <v>10.54</v>
      </c>
      <c r="BE89">
        <v>1.2929876330000001</v>
      </c>
      <c r="BF89">
        <v>12.17</v>
      </c>
      <c r="BG89">
        <v>8.0299999999999994</v>
      </c>
      <c r="BH89">
        <v>22.43</v>
      </c>
      <c r="BI89">
        <v>22.13</v>
      </c>
      <c r="BJ89">
        <v>22.13</v>
      </c>
      <c r="BK89">
        <v>20.83</v>
      </c>
      <c r="BL89">
        <v>43.67</v>
      </c>
    </row>
    <row r="90" spans="1:64" ht="15.75" customHeight="1" x14ac:dyDescent="0.2">
      <c r="A90" s="1">
        <v>43032</v>
      </c>
      <c r="B90" t="s">
        <v>62</v>
      </c>
      <c r="C90">
        <v>2</v>
      </c>
      <c r="D90" t="s">
        <v>63</v>
      </c>
      <c r="E90" t="s">
        <v>68</v>
      </c>
      <c r="F90" t="s">
        <v>69</v>
      </c>
      <c r="G90" s="2">
        <v>0.3794907407407408</v>
      </c>
      <c r="H90">
        <v>0.38</v>
      </c>
      <c r="I90" s="3">
        <v>0.37847222222222227</v>
      </c>
      <c r="J90" s="3">
        <v>0.3923611111111111</v>
      </c>
      <c r="K90">
        <v>1094</v>
      </c>
      <c r="L90">
        <f>K90-65</f>
        <v>1029</v>
      </c>
      <c r="M90">
        <v>1200</v>
      </c>
      <c r="N90">
        <f>306/L90*1200</f>
        <v>356.85131195335276</v>
      </c>
      <c r="O90">
        <f>495/L90*1200</f>
        <v>577.25947521865896</v>
      </c>
      <c r="P90">
        <f>214/L90*1200</f>
        <v>249.56268221574345</v>
      </c>
      <c r="Q90">
        <f>14/L90*1200</f>
        <v>16.326530612244898</v>
      </c>
      <c r="R90">
        <v>0</v>
      </c>
      <c r="S90">
        <v>1030.9000000000001</v>
      </c>
      <c r="T90">
        <v>169.1</v>
      </c>
      <c r="U90">
        <v>1200</v>
      </c>
      <c r="V90">
        <v>0</v>
      </c>
      <c r="W90">
        <v>0</v>
      </c>
      <c r="X90">
        <v>1030.9000000000001</v>
      </c>
      <c r="Y90">
        <v>169.1</v>
      </c>
      <c r="Z90">
        <v>0</v>
      </c>
      <c r="AA90">
        <v>0</v>
      </c>
      <c r="AB90">
        <f>N90/1200</f>
        <v>0.29737609329446063</v>
      </c>
      <c r="AC90">
        <f>O90/1200</f>
        <v>0.48104956268221583</v>
      </c>
      <c r="AD90">
        <f>P90/1200</f>
        <v>0.20796890184645286</v>
      </c>
      <c r="AE90">
        <f>Q90/1200</f>
        <v>1.3605442176870748E-2</v>
      </c>
      <c r="AF90">
        <f>R90/1200</f>
        <v>0</v>
      </c>
      <c r="AG90">
        <f>S90/1200</f>
        <v>0.85908333333333342</v>
      </c>
      <c r="AH90">
        <v>0.86</v>
      </c>
      <c r="AI90">
        <v>0.14000000000000001</v>
      </c>
      <c r="AJ90">
        <v>14</v>
      </c>
      <c r="AK90">
        <v>1</v>
      </c>
      <c r="AL90">
        <v>0</v>
      </c>
      <c r="AM90">
        <v>0</v>
      </c>
      <c r="AN90">
        <v>0.86</v>
      </c>
      <c r="AO90">
        <v>0.14000000000000001</v>
      </c>
      <c r="AP90">
        <v>0</v>
      </c>
      <c r="AQ90">
        <v>0</v>
      </c>
      <c r="AR90">
        <v>0</v>
      </c>
      <c r="AS90">
        <v>33.4</v>
      </c>
      <c r="AT90">
        <v>8.5821120000000004</v>
      </c>
      <c r="AU90">
        <v>4.6677333750000001</v>
      </c>
      <c r="AV90">
        <v>8.6</v>
      </c>
      <c r="AW90">
        <v>22.5</v>
      </c>
      <c r="AX90">
        <v>33.4</v>
      </c>
      <c r="AY90">
        <v>30.8</v>
      </c>
      <c r="AZ90">
        <v>30.8</v>
      </c>
      <c r="BA90">
        <v>35.4</v>
      </c>
      <c r="BB90">
        <v>1010</v>
      </c>
      <c r="BC90">
        <v>15.33</v>
      </c>
      <c r="BD90">
        <v>8.3800000000000008</v>
      </c>
      <c r="BE90">
        <v>0.64227728799999995</v>
      </c>
      <c r="BF90">
        <v>8.3699999999999992</v>
      </c>
      <c r="BG90">
        <v>6.93</v>
      </c>
      <c r="BH90">
        <v>15.33</v>
      </c>
      <c r="BI90">
        <v>14.77</v>
      </c>
      <c r="BJ90">
        <v>14.77</v>
      </c>
      <c r="BK90">
        <v>21.77</v>
      </c>
      <c r="BL90">
        <v>671</v>
      </c>
    </row>
    <row r="91" spans="1:64" ht="15.75" customHeight="1" x14ac:dyDescent="0.2">
      <c r="A91" s="1">
        <v>43031</v>
      </c>
      <c r="B91" t="s">
        <v>62</v>
      </c>
      <c r="C91">
        <v>1</v>
      </c>
      <c r="D91" t="s">
        <v>63</v>
      </c>
      <c r="E91" t="s">
        <v>70</v>
      </c>
      <c r="F91" t="s">
        <v>65</v>
      </c>
      <c r="G91" s="2">
        <v>0.29248842592592594</v>
      </c>
      <c r="H91">
        <v>0.28999999999999998</v>
      </c>
      <c r="I91" s="3">
        <v>0.29166666666666669</v>
      </c>
      <c r="J91" s="3">
        <v>0.30555555555555552</v>
      </c>
      <c r="K91">
        <v>1207</v>
      </c>
      <c r="L91">
        <f>K91-69</f>
        <v>1138</v>
      </c>
      <c r="M91">
        <v>1200</v>
      </c>
      <c r="N91">
        <f>472/L91*1200</f>
        <v>497.7152899824253</v>
      </c>
      <c r="O91">
        <f>69/L91*1200</f>
        <v>72.759226713532513</v>
      </c>
      <c r="P91">
        <f>276/L91*1200</f>
        <v>291.03690685413005</v>
      </c>
      <c r="Q91">
        <f>18/L91*1200</f>
        <v>18.980667838312829</v>
      </c>
      <c r="R91">
        <f>303/L91*1200</f>
        <v>319.50790861159931</v>
      </c>
      <c r="S91">
        <v>1031.28</v>
      </c>
      <c r="T91">
        <v>168.72</v>
      </c>
      <c r="U91">
        <v>907.91</v>
      </c>
      <c r="V91">
        <v>292.08999999999997</v>
      </c>
      <c r="W91">
        <v>292.08999999999997</v>
      </c>
      <c r="X91">
        <v>739.19</v>
      </c>
      <c r="Y91">
        <v>168.72</v>
      </c>
      <c r="Z91">
        <v>0</v>
      </c>
      <c r="AA91">
        <v>0</v>
      </c>
      <c r="AB91">
        <f>N91/1200</f>
        <v>0.41476274165202109</v>
      </c>
      <c r="AC91">
        <f>O91/1200</f>
        <v>6.0632688927943761E-2</v>
      </c>
      <c r="AD91">
        <f>P91/1200</f>
        <v>0.24253075571177504</v>
      </c>
      <c r="AE91">
        <f>Q91/1200</f>
        <v>1.5817223198594025E-2</v>
      </c>
      <c r="AF91">
        <f>R91/1200</f>
        <v>0.2662565905096661</v>
      </c>
      <c r="AG91">
        <f>S91/1200</f>
        <v>0.85939999999999994</v>
      </c>
      <c r="AH91">
        <v>0.86</v>
      </c>
      <c r="AI91">
        <v>0.14000000000000001</v>
      </c>
      <c r="AJ91">
        <v>14</v>
      </c>
      <c r="AK91">
        <v>0.76</v>
      </c>
      <c r="AL91">
        <v>0.24</v>
      </c>
      <c r="AM91">
        <v>0.24</v>
      </c>
      <c r="AN91">
        <v>0.62</v>
      </c>
      <c r="AO91">
        <v>0.14000000000000001</v>
      </c>
      <c r="AP91">
        <v>0</v>
      </c>
      <c r="AQ91">
        <v>0</v>
      </c>
      <c r="AR91">
        <v>0</v>
      </c>
      <c r="AS91">
        <v>32.4</v>
      </c>
      <c r="AT91">
        <v>6.35</v>
      </c>
      <c r="AU91">
        <v>4.3632873170000002</v>
      </c>
      <c r="AV91">
        <v>4.7</v>
      </c>
      <c r="AW91">
        <v>24.1</v>
      </c>
      <c r="AX91">
        <v>32.4</v>
      </c>
      <c r="AY91">
        <v>299</v>
      </c>
      <c r="AZ91">
        <v>29.9</v>
      </c>
      <c r="BA91">
        <v>34.299999999999997</v>
      </c>
      <c r="BB91">
        <v>1002</v>
      </c>
      <c r="BC91">
        <v>14.43</v>
      </c>
      <c r="BD91">
        <v>5.15</v>
      </c>
      <c r="BE91">
        <v>0.97137745499999995</v>
      </c>
      <c r="BF91">
        <v>1.33</v>
      </c>
      <c r="BG91">
        <v>6.4</v>
      </c>
      <c r="BH91">
        <v>14.43</v>
      </c>
      <c r="BI91">
        <v>13.03</v>
      </c>
      <c r="BJ91">
        <v>13.03</v>
      </c>
      <c r="BK91">
        <v>12.67</v>
      </c>
      <c r="BL91">
        <v>181</v>
      </c>
    </row>
    <row r="92" spans="1:64" ht="15.75" customHeight="1" x14ac:dyDescent="0.2">
      <c r="A92" s="1">
        <v>43066</v>
      </c>
      <c r="B92" t="s">
        <v>62</v>
      </c>
      <c r="C92">
        <v>1</v>
      </c>
      <c r="D92" t="s">
        <v>76</v>
      </c>
      <c r="E92" t="s">
        <v>77</v>
      </c>
      <c r="F92" t="s">
        <v>69</v>
      </c>
      <c r="G92" s="2">
        <v>0.28442129629629631</v>
      </c>
      <c r="H92">
        <v>0.28000000000000003</v>
      </c>
      <c r="I92" s="3">
        <v>0.28472222222222221</v>
      </c>
      <c r="J92" s="3">
        <v>0.2986111111111111</v>
      </c>
      <c r="K92">
        <v>1196</v>
      </c>
      <c r="L92">
        <v>955</v>
      </c>
      <c r="M92">
        <v>1200</v>
      </c>
      <c r="N92">
        <f>371/L92*1200</f>
        <v>466.17801047120417</v>
      </c>
      <c r="O92">
        <v>64.08</v>
      </c>
      <c r="P92">
        <f>355/L92*1200</f>
        <v>446.07329842931938</v>
      </c>
      <c r="Q92">
        <v>0</v>
      </c>
      <c r="R92">
        <v>223.66</v>
      </c>
      <c r="S92">
        <v>1054.24</v>
      </c>
      <c r="T92">
        <v>145.76</v>
      </c>
      <c r="U92">
        <v>926.07</v>
      </c>
      <c r="V92">
        <v>273.93</v>
      </c>
      <c r="W92">
        <v>273.93</v>
      </c>
      <c r="X92">
        <v>780.31</v>
      </c>
      <c r="Y92">
        <v>145.76</v>
      </c>
      <c r="Z92">
        <v>0</v>
      </c>
      <c r="AA92">
        <v>0</v>
      </c>
      <c r="AB92">
        <f>N92/1200</f>
        <v>0.38848167539267014</v>
      </c>
      <c r="AC92">
        <f>O92/1200</f>
        <v>5.3399999999999996E-2</v>
      </c>
      <c r="AD92">
        <f>P92/1200</f>
        <v>0.37172774869109948</v>
      </c>
      <c r="AE92">
        <f>Q92/1200</f>
        <v>0</v>
      </c>
      <c r="AF92">
        <f>R92/1200</f>
        <v>0.18638333333333332</v>
      </c>
      <c r="AG92">
        <f>S92/1200</f>
        <v>0.87853333333333339</v>
      </c>
      <c r="AH92">
        <v>0.88</v>
      </c>
      <c r="AI92">
        <v>0.12</v>
      </c>
      <c r="AJ92">
        <v>12</v>
      </c>
      <c r="AK92">
        <v>0.77</v>
      </c>
      <c r="AL92">
        <v>0.23</v>
      </c>
      <c r="AM92">
        <v>0.23</v>
      </c>
      <c r="AN92">
        <v>0.65</v>
      </c>
      <c r="AO92">
        <v>0.12</v>
      </c>
      <c r="AP92">
        <v>0</v>
      </c>
      <c r="AQ92">
        <v>0</v>
      </c>
      <c r="AR92">
        <v>0</v>
      </c>
      <c r="AS92">
        <v>35.1</v>
      </c>
      <c r="AT92">
        <v>7.3317119999999996</v>
      </c>
      <c r="AU92">
        <v>5.0168809430000003</v>
      </c>
      <c r="AV92">
        <v>6.7</v>
      </c>
      <c r="AW92">
        <v>33.799999999999997</v>
      </c>
      <c r="AX92">
        <v>35.1</v>
      </c>
      <c r="AY92">
        <v>32.4</v>
      </c>
      <c r="AZ92">
        <v>32.4</v>
      </c>
      <c r="BA92">
        <v>37.5</v>
      </c>
      <c r="BB92">
        <v>1011</v>
      </c>
      <c r="BC92">
        <v>17.5</v>
      </c>
      <c r="BD92">
        <v>5.51</v>
      </c>
      <c r="BE92">
        <v>1.270808787</v>
      </c>
      <c r="BF92">
        <v>2.4</v>
      </c>
      <c r="BG92">
        <v>6.4</v>
      </c>
      <c r="BH92">
        <v>17.5</v>
      </c>
      <c r="BI92">
        <v>15.8</v>
      </c>
      <c r="BJ92">
        <v>15.8</v>
      </c>
      <c r="BK92">
        <v>13.87</v>
      </c>
      <c r="BL92">
        <v>15.33</v>
      </c>
    </row>
    <row r="93" spans="1:64" ht="15.75" customHeight="1" x14ac:dyDescent="0.2">
      <c r="A93" s="1">
        <v>43029</v>
      </c>
      <c r="B93" t="s">
        <v>62</v>
      </c>
      <c r="C93">
        <v>2</v>
      </c>
      <c r="D93" t="s">
        <v>63</v>
      </c>
      <c r="E93" t="s">
        <v>66</v>
      </c>
      <c r="F93" t="s">
        <v>65</v>
      </c>
      <c r="G93" s="2">
        <v>0.38799768518518518</v>
      </c>
      <c r="H93">
        <v>0.39</v>
      </c>
      <c r="I93" s="3">
        <v>0.3888888888888889</v>
      </c>
      <c r="J93" s="3">
        <v>0.40277777777777773</v>
      </c>
      <c r="K93">
        <v>1193</v>
      </c>
      <c r="L93">
        <v>1193</v>
      </c>
      <c r="M93">
        <v>1200</v>
      </c>
      <c r="N93">
        <f>493/L93*1200</f>
        <v>495.8927074601844</v>
      </c>
      <c r="O93">
        <f>132/L93*1200</f>
        <v>132.7745180217938</v>
      </c>
      <c r="P93">
        <f>302/L93*1200</f>
        <v>303.77200335289189</v>
      </c>
      <c r="Q93">
        <v>0</v>
      </c>
      <c r="R93">
        <v>267.57</v>
      </c>
      <c r="S93">
        <v>1067.23</v>
      </c>
      <c r="T93">
        <v>132.77000000000001</v>
      </c>
      <c r="U93">
        <v>938.47</v>
      </c>
      <c r="V93">
        <v>347.02</v>
      </c>
      <c r="W93">
        <v>347.02</v>
      </c>
      <c r="X93">
        <v>720.2</v>
      </c>
      <c r="Y93">
        <v>132.77000000000001</v>
      </c>
      <c r="Z93">
        <v>0</v>
      </c>
      <c r="AA93">
        <v>0</v>
      </c>
      <c r="AB93">
        <f>N93/1200</f>
        <v>0.41324392288348699</v>
      </c>
      <c r="AC93">
        <f>O93/1200</f>
        <v>0.11064543168482817</v>
      </c>
      <c r="AD93">
        <f>P93/1200</f>
        <v>0.25314333612740991</v>
      </c>
      <c r="AE93">
        <f>Q93/1200</f>
        <v>0</v>
      </c>
      <c r="AF93">
        <f>R93/1200</f>
        <v>0.22297500000000001</v>
      </c>
      <c r="AG93">
        <f>S93/1200</f>
        <v>0.88935833333333336</v>
      </c>
      <c r="AH93">
        <v>0.89</v>
      </c>
      <c r="AI93">
        <v>0.11</v>
      </c>
      <c r="AJ93">
        <v>11</v>
      </c>
      <c r="AK93">
        <v>0.78</v>
      </c>
      <c r="AL93">
        <v>0.28999999999999998</v>
      </c>
      <c r="AM93">
        <v>0.28999999999999998</v>
      </c>
      <c r="AN93">
        <v>0.6</v>
      </c>
      <c r="AO93">
        <v>0.11</v>
      </c>
      <c r="AP93">
        <v>0</v>
      </c>
      <c r="AQ93">
        <v>0</v>
      </c>
      <c r="AR93">
        <v>0</v>
      </c>
      <c r="AS93">
        <v>29.7</v>
      </c>
      <c r="AT93">
        <v>7.4832349999999996</v>
      </c>
      <c r="AU93">
        <v>3.6623821840000002</v>
      </c>
      <c r="AV93">
        <v>6.5</v>
      </c>
      <c r="AW93">
        <v>22.5</v>
      </c>
      <c r="AX93">
        <v>29.4</v>
      </c>
      <c r="AY93">
        <v>27.8</v>
      </c>
      <c r="AZ93">
        <v>27.6</v>
      </c>
      <c r="BA93">
        <v>32.1</v>
      </c>
      <c r="BB93">
        <v>1003</v>
      </c>
      <c r="BC93">
        <v>18.3</v>
      </c>
      <c r="BD93">
        <v>6.95</v>
      </c>
      <c r="BE93">
        <v>1.182142456</v>
      </c>
      <c r="BF93">
        <v>5.77</v>
      </c>
      <c r="BG93">
        <v>15.03</v>
      </c>
      <c r="BH93">
        <v>17.329999999999998</v>
      </c>
      <c r="BI93">
        <v>17</v>
      </c>
      <c r="BJ93">
        <v>16.03</v>
      </c>
      <c r="BK93">
        <v>22.1</v>
      </c>
      <c r="BL93">
        <v>693.33</v>
      </c>
    </row>
    <row r="94" spans="1:64" ht="15.75" customHeight="1" x14ac:dyDescent="0.2">
      <c r="A94" s="1">
        <v>43040</v>
      </c>
      <c r="B94" t="s">
        <v>62</v>
      </c>
      <c r="C94">
        <v>2</v>
      </c>
      <c r="D94" t="s">
        <v>76</v>
      </c>
      <c r="E94" t="s">
        <v>84</v>
      </c>
      <c r="F94" t="s">
        <v>69</v>
      </c>
      <c r="G94" s="2">
        <v>0.35451388888888885</v>
      </c>
      <c r="H94">
        <v>0.35</v>
      </c>
      <c r="I94" s="3">
        <v>0.35416666666666669</v>
      </c>
      <c r="J94" s="3">
        <v>0.36805555555555558</v>
      </c>
      <c r="K94">
        <v>1194</v>
      </c>
      <c r="L94">
        <v>1194</v>
      </c>
      <c r="M94">
        <v>1200</v>
      </c>
      <c r="N94">
        <v>474.37</v>
      </c>
      <c r="O94">
        <v>279.39999999999998</v>
      </c>
      <c r="P94">
        <v>274.37</v>
      </c>
      <c r="Q94">
        <v>0</v>
      </c>
      <c r="R94">
        <v>171.86</v>
      </c>
      <c r="S94">
        <v>1072.3599999999999</v>
      </c>
      <c r="T94">
        <v>127.64</v>
      </c>
      <c r="U94">
        <v>1017.09</v>
      </c>
      <c r="V94">
        <v>182.91</v>
      </c>
      <c r="W94">
        <v>182.91</v>
      </c>
      <c r="X94">
        <v>889.45</v>
      </c>
      <c r="Y94">
        <v>127.64</v>
      </c>
      <c r="Z94">
        <v>0</v>
      </c>
      <c r="AA94">
        <v>0</v>
      </c>
      <c r="AB94">
        <f>N94/1200</f>
        <v>0.39530833333333332</v>
      </c>
      <c r="AC94">
        <f>O94/1200</f>
        <v>0.23283333333333331</v>
      </c>
      <c r="AD94">
        <f>P94/1200</f>
        <v>0.22864166666666666</v>
      </c>
      <c r="AE94">
        <f>Q94/1200</f>
        <v>0</v>
      </c>
      <c r="AF94">
        <f>R94/1200</f>
        <v>0.14321666666666669</v>
      </c>
      <c r="AG94">
        <f>S94/1200</f>
        <v>0.89363333333333328</v>
      </c>
      <c r="AH94">
        <v>0.89</v>
      </c>
      <c r="AI94">
        <v>0.11</v>
      </c>
      <c r="AJ94">
        <v>11</v>
      </c>
      <c r="AK94">
        <v>0.85</v>
      </c>
      <c r="AL94">
        <v>0.15</v>
      </c>
      <c r="AM94">
        <v>0.15</v>
      </c>
      <c r="AN94">
        <v>0.74</v>
      </c>
      <c r="AO94">
        <v>0.11</v>
      </c>
      <c r="AP94">
        <v>0</v>
      </c>
      <c r="AQ94">
        <v>0</v>
      </c>
      <c r="AR94">
        <v>0</v>
      </c>
      <c r="AS94">
        <v>36</v>
      </c>
      <c r="AT94">
        <v>12.43486</v>
      </c>
      <c r="AU94">
        <v>4.5581004610000004</v>
      </c>
      <c r="AV94">
        <v>14.6</v>
      </c>
      <c r="AW94">
        <v>22.5</v>
      </c>
      <c r="AX94">
        <v>36</v>
      </c>
      <c r="AY94">
        <v>35.299999999999997</v>
      </c>
      <c r="AZ94">
        <v>35.299999999999997</v>
      </c>
      <c r="BA94">
        <v>39.9</v>
      </c>
      <c r="BB94">
        <v>974</v>
      </c>
      <c r="BC94">
        <v>26.07</v>
      </c>
      <c r="BD94">
        <v>11.97</v>
      </c>
      <c r="BE94">
        <v>1.739134859</v>
      </c>
      <c r="BF94">
        <v>14.3</v>
      </c>
      <c r="BG94">
        <v>11.83</v>
      </c>
      <c r="BH94">
        <v>25.93</v>
      </c>
      <c r="BI94">
        <v>26.07</v>
      </c>
      <c r="BJ94">
        <v>25.93</v>
      </c>
      <c r="BK94">
        <v>31.13</v>
      </c>
      <c r="BL94">
        <v>303.67</v>
      </c>
    </row>
    <row r="95" spans="1:64" ht="15.75" customHeight="1" x14ac:dyDescent="0.2">
      <c r="A95" s="1">
        <v>43057</v>
      </c>
      <c r="B95" t="s">
        <v>62</v>
      </c>
      <c r="C95">
        <v>2</v>
      </c>
      <c r="D95" t="s">
        <v>63</v>
      </c>
      <c r="E95" t="s">
        <v>74</v>
      </c>
      <c r="F95" t="s">
        <v>65</v>
      </c>
      <c r="G95" s="2">
        <v>0.34439814814814818</v>
      </c>
      <c r="H95">
        <v>0.34</v>
      </c>
      <c r="I95" s="3">
        <v>0.34375</v>
      </c>
      <c r="J95" s="3">
        <v>0.3576388888888889</v>
      </c>
      <c r="K95">
        <v>1197</v>
      </c>
      <c r="L95">
        <v>1040</v>
      </c>
      <c r="M95">
        <v>1200</v>
      </c>
      <c r="N95">
        <f>596/L95*1200</f>
        <v>687.69230769230762</v>
      </c>
      <c r="O95">
        <v>73.849999999999994</v>
      </c>
      <c r="P95">
        <f>380/L95*1200</f>
        <v>438.46153846153845</v>
      </c>
      <c r="Q95">
        <v>0</v>
      </c>
      <c r="R95">
        <v>0</v>
      </c>
      <c r="S95">
        <v>1149.23</v>
      </c>
      <c r="T95">
        <v>96.92</v>
      </c>
      <c r="U95">
        <v>1187.31</v>
      </c>
      <c r="V95">
        <v>12.69</v>
      </c>
      <c r="W95">
        <v>12.69</v>
      </c>
      <c r="X95">
        <v>1136.54</v>
      </c>
      <c r="Y95">
        <v>96.92</v>
      </c>
      <c r="Z95">
        <v>0</v>
      </c>
      <c r="AA95">
        <v>0</v>
      </c>
      <c r="AB95">
        <f>N95/1200</f>
        <v>0.57307692307692304</v>
      </c>
      <c r="AC95">
        <f>O95/1200</f>
        <v>6.1541666666666661E-2</v>
      </c>
      <c r="AD95">
        <f>P95/1200</f>
        <v>0.36538461538461536</v>
      </c>
      <c r="AE95">
        <f>Q95/1200</f>
        <v>0</v>
      </c>
      <c r="AF95">
        <f>R95/1200</f>
        <v>0</v>
      </c>
      <c r="AG95">
        <f>S95/1200</f>
        <v>0.95769166666666672</v>
      </c>
      <c r="AH95">
        <v>0.96</v>
      </c>
      <c r="AI95">
        <v>0.08</v>
      </c>
      <c r="AJ95">
        <v>8</v>
      </c>
      <c r="AK95">
        <v>0.99</v>
      </c>
      <c r="AL95">
        <v>0.01</v>
      </c>
      <c r="AM95">
        <v>0.01</v>
      </c>
      <c r="AN95">
        <v>0.95</v>
      </c>
      <c r="AO95">
        <v>0.08</v>
      </c>
      <c r="AP95">
        <v>0</v>
      </c>
      <c r="AQ95">
        <v>0</v>
      </c>
      <c r="AR95">
        <v>0</v>
      </c>
      <c r="AS95">
        <v>29.46</v>
      </c>
      <c r="AT95">
        <v>5.0425070180000002</v>
      </c>
      <c r="AU95">
        <v>3.8194523249999999</v>
      </c>
      <c r="AV95">
        <v>1.29</v>
      </c>
      <c r="AX95">
        <v>29.27</v>
      </c>
      <c r="AY95">
        <v>27.05</v>
      </c>
      <c r="AZ95">
        <v>27.23</v>
      </c>
      <c r="BC95">
        <v>15.722</v>
      </c>
      <c r="BD95">
        <v>4.971945356</v>
      </c>
      <c r="BE95">
        <v>1.1209395310000001</v>
      </c>
      <c r="BF95">
        <v>1.21</v>
      </c>
      <c r="BH95">
        <v>16.346</v>
      </c>
      <c r="BI95">
        <v>13.821</v>
      </c>
      <c r="BJ95">
        <v>14.656000000000001</v>
      </c>
      <c r="BK95">
        <v>13.786300000000001</v>
      </c>
      <c r="BL95">
        <v>409.13</v>
      </c>
    </row>
    <row r="96" spans="1:64" ht="15.75" customHeight="1" x14ac:dyDescent="0.2">
      <c r="A96" s="1">
        <v>43049</v>
      </c>
      <c r="B96" t="s">
        <v>62</v>
      </c>
      <c r="C96">
        <v>2</v>
      </c>
      <c r="D96" t="s">
        <v>63</v>
      </c>
      <c r="E96" t="s">
        <v>67</v>
      </c>
      <c r="F96" t="s">
        <v>65</v>
      </c>
      <c r="G96" s="2">
        <v>0.39265046296296297</v>
      </c>
      <c r="H96">
        <v>0.39</v>
      </c>
      <c r="I96" s="3">
        <v>0.3923611111111111</v>
      </c>
      <c r="J96" s="3">
        <v>0.40625</v>
      </c>
      <c r="K96">
        <v>1195</v>
      </c>
      <c r="L96">
        <v>1103</v>
      </c>
      <c r="M96">
        <v>1200</v>
      </c>
      <c r="N96">
        <f>801/L96*1200</f>
        <v>871.44152311876701</v>
      </c>
      <c r="O96">
        <v>32.64</v>
      </c>
      <c r="P96">
        <f>262/L96*1200</f>
        <v>285.04079782411605</v>
      </c>
      <c r="Q96">
        <v>10.88</v>
      </c>
      <c r="R96">
        <v>0</v>
      </c>
      <c r="S96">
        <v>1129.28</v>
      </c>
      <c r="T96">
        <v>70.72</v>
      </c>
      <c r="U96">
        <v>1135.81</v>
      </c>
      <c r="V96">
        <v>64.19</v>
      </c>
      <c r="W96">
        <v>64.19</v>
      </c>
      <c r="X96">
        <v>1065.0999999999999</v>
      </c>
      <c r="Y96">
        <v>70.72</v>
      </c>
      <c r="Z96">
        <v>0</v>
      </c>
      <c r="AA96">
        <v>0</v>
      </c>
      <c r="AB96">
        <f>N96/1200</f>
        <v>0.72620126926563922</v>
      </c>
      <c r="AC96">
        <f>O96/1200</f>
        <v>2.7200000000000002E-2</v>
      </c>
      <c r="AD96">
        <f>P96/1200</f>
        <v>0.23753399818676338</v>
      </c>
      <c r="AE96">
        <f>Q96/1200</f>
        <v>9.0666666666666673E-3</v>
      </c>
      <c r="AF96">
        <f>R96/1200</f>
        <v>0</v>
      </c>
      <c r="AG96">
        <f>S96/1200</f>
        <v>0.94106666666666661</v>
      </c>
      <c r="AH96">
        <v>0.94</v>
      </c>
      <c r="AI96">
        <v>0.06</v>
      </c>
      <c r="AJ96">
        <v>6</v>
      </c>
      <c r="AK96">
        <v>0.95</v>
      </c>
      <c r="AL96">
        <v>0.05</v>
      </c>
      <c r="AM96">
        <v>0.05</v>
      </c>
      <c r="AN96">
        <v>0.89</v>
      </c>
      <c r="AO96">
        <v>0.06</v>
      </c>
      <c r="AP96">
        <v>0</v>
      </c>
      <c r="AQ96">
        <v>0</v>
      </c>
      <c r="AR96">
        <v>0</v>
      </c>
      <c r="AS96">
        <v>32.1</v>
      </c>
      <c r="AT96">
        <v>8.347099</v>
      </c>
      <c r="AU96">
        <v>4.1484227489999999</v>
      </c>
      <c r="AV96">
        <v>8.4</v>
      </c>
      <c r="AW96">
        <v>12.9</v>
      </c>
      <c r="AX96">
        <v>32.1</v>
      </c>
      <c r="AY96">
        <v>29.7</v>
      </c>
      <c r="AZ96">
        <v>29.7</v>
      </c>
      <c r="BA96">
        <v>34.700000000000003</v>
      </c>
      <c r="BB96">
        <v>1007</v>
      </c>
      <c r="BC96">
        <v>19.399999999999999</v>
      </c>
      <c r="BD96">
        <v>8.1</v>
      </c>
      <c r="BE96">
        <v>1.172353081</v>
      </c>
      <c r="BF96">
        <v>8.07</v>
      </c>
      <c r="BG96">
        <v>9.1</v>
      </c>
      <c r="BH96">
        <v>19.399999999999999</v>
      </c>
      <c r="BI96">
        <v>18.47</v>
      </c>
      <c r="BJ96">
        <v>18.47</v>
      </c>
      <c r="BK96">
        <v>25.23</v>
      </c>
      <c r="BL96">
        <v>558</v>
      </c>
    </row>
    <row r="97" spans="1:64" ht="15.75" customHeight="1" x14ac:dyDescent="0.2">
      <c r="A97" s="1">
        <v>43032</v>
      </c>
      <c r="B97" t="s">
        <v>62</v>
      </c>
      <c r="C97">
        <v>1</v>
      </c>
      <c r="D97" t="s">
        <v>63</v>
      </c>
      <c r="E97" t="s">
        <v>68</v>
      </c>
      <c r="F97" t="s">
        <v>69</v>
      </c>
      <c r="G97" s="2">
        <v>0.31254629629629632</v>
      </c>
      <c r="H97">
        <v>0.31</v>
      </c>
      <c r="I97" s="3">
        <v>0.3125</v>
      </c>
      <c r="J97" s="3">
        <v>0.3263888888888889</v>
      </c>
      <c r="K97">
        <v>1193</v>
      </c>
      <c r="L97">
        <f>K97-15</f>
        <v>1178</v>
      </c>
      <c r="M97">
        <v>1200</v>
      </c>
      <c r="N97">
        <f>350/L97*1200</f>
        <v>356.53650254668929</v>
      </c>
      <c r="O97">
        <v>600</v>
      </c>
      <c r="P97">
        <f>235/L97*1200</f>
        <v>239.3887945670628</v>
      </c>
      <c r="Q97">
        <f>4/L97*1200</f>
        <v>4.074702886247878</v>
      </c>
      <c r="R97">
        <v>0</v>
      </c>
      <c r="S97">
        <v>1134.8</v>
      </c>
      <c r="T97">
        <v>65.2</v>
      </c>
      <c r="U97">
        <v>1189.81</v>
      </c>
      <c r="V97">
        <v>10.19</v>
      </c>
      <c r="W97">
        <v>10.19</v>
      </c>
      <c r="X97">
        <v>1124.6199999999999</v>
      </c>
      <c r="Y97">
        <v>65.2</v>
      </c>
      <c r="Z97">
        <v>0</v>
      </c>
      <c r="AA97">
        <v>0</v>
      </c>
      <c r="AB97">
        <f>N97/1200</f>
        <v>0.29711375212224106</v>
      </c>
      <c r="AC97">
        <f>O97/1200</f>
        <v>0.5</v>
      </c>
      <c r="AD97">
        <f>P97/1200</f>
        <v>0.19949066213921901</v>
      </c>
      <c r="AE97">
        <f>Q97/1200</f>
        <v>3.3955857385398985E-3</v>
      </c>
      <c r="AF97">
        <f>R97/1200</f>
        <v>0</v>
      </c>
      <c r="AG97">
        <f>S97/1200</f>
        <v>0.94566666666666666</v>
      </c>
      <c r="AH97">
        <v>0.95</v>
      </c>
      <c r="AI97">
        <v>0.05</v>
      </c>
      <c r="AJ97">
        <v>5</v>
      </c>
      <c r="AK97">
        <v>0.99</v>
      </c>
      <c r="AL97">
        <v>0.01</v>
      </c>
      <c r="AM97">
        <v>0.01</v>
      </c>
      <c r="AN97">
        <v>0.94</v>
      </c>
      <c r="AO97">
        <v>0.05</v>
      </c>
      <c r="AP97">
        <v>0</v>
      </c>
      <c r="AQ97">
        <v>0</v>
      </c>
      <c r="AR97">
        <v>0</v>
      </c>
      <c r="AS97">
        <v>33.4</v>
      </c>
      <c r="AT97">
        <v>8.5821120000000004</v>
      </c>
      <c r="AU97">
        <v>4.6677333750000001</v>
      </c>
      <c r="AV97">
        <v>8.6</v>
      </c>
      <c r="AW97">
        <v>22.5</v>
      </c>
      <c r="AX97">
        <v>33.4</v>
      </c>
      <c r="AY97">
        <v>30.8</v>
      </c>
      <c r="AZ97">
        <v>30.8</v>
      </c>
      <c r="BA97">
        <v>35.4</v>
      </c>
      <c r="BB97">
        <v>1010</v>
      </c>
      <c r="BC97">
        <v>10.63</v>
      </c>
      <c r="BD97">
        <v>8.39</v>
      </c>
      <c r="BE97">
        <v>0.198429779</v>
      </c>
      <c r="BF97">
        <v>8.1300000000000008</v>
      </c>
      <c r="BG97">
        <v>12.9</v>
      </c>
      <c r="BH97">
        <v>8.77</v>
      </c>
      <c r="BI97">
        <v>10.63</v>
      </c>
      <c r="BJ97">
        <v>8.8000000000000007</v>
      </c>
      <c r="BK97">
        <v>11.8</v>
      </c>
      <c r="BL97">
        <v>248.67</v>
      </c>
    </row>
    <row r="98" spans="1:64" ht="15.75" customHeight="1" x14ac:dyDescent="0.2">
      <c r="A98" s="1">
        <v>43039</v>
      </c>
      <c r="B98" t="s">
        <v>62</v>
      </c>
      <c r="C98">
        <v>2</v>
      </c>
      <c r="D98" t="s">
        <v>76</v>
      </c>
      <c r="E98" t="s">
        <v>80</v>
      </c>
      <c r="F98" t="s">
        <v>65</v>
      </c>
      <c r="G98" s="2">
        <v>0.35787037037037034</v>
      </c>
      <c r="H98">
        <v>0.36</v>
      </c>
      <c r="I98" s="3">
        <v>0.3576388888888889</v>
      </c>
      <c r="J98" s="3">
        <v>0.37152777777777773</v>
      </c>
      <c r="K98">
        <v>1196</v>
      </c>
      <c r="L98">
        <v>904</v>
      </c>
      <c r="M98">
        <v>1200</v>
      </c>
      <c r="N98">
        <f>68/L98*1200</f>
        <v>90.26548672566372</v>
      </c>
      <c r="O98">
        <v>53.1</v>
      </c>
      <c r="P98">
        <f>275/L98*1200</f>
        <v>365.04424778761063</v>
      </c>
      <c r="Q98">
        <v>0</v>
      </c>
      <c r="R98">
        <v>691.59</v>
      </c>
      <c r="S98">
        <v>1140.27</v>
      </c>
      <c r="T98">
        <v>59.73</v>
      </c>
      <c r="U98">
        <v>424.78</v>
      </c>
      <c r="V98">
        <v>775.22</v>
      </c>
      <c r="W98">
        <v>775.22</v>
      </c>
      <c r="X98">
        <v>365.04</v>
      </c>
      <c r="Y98">
        <v>59.73</v>
      </c>
      <c r="Z98">
        <v>0</v>
      </c>
      <c r="AA98">
        <v>0</v>
      </c>
      <c r="AB98">
        <f>N98/1200</f>
        <v>7.5221238938053103E-2</v>
      </c>
      <c r="AC98">
        <f>O98/1200</f>
        <v>4.4250000000000005E-2</v>
      </c>
      <c r="AD98">
        <f>P98/1200</f>
        <v>0.30420353982300885</v>
      </c>
      <c r="AE98">
        <f>Q98/1200</f>
        <v>0</v>
      </c>
      <c r="AF98">
        <f>R98/1200</f>
        <v>0.57632499999999998</v>
      </c>
      <c r="AG98">
        <f>S98/1200</f>
        <v>0.95022499999999999</v>
      </c>
      <c r="AH98">
        <v>0.95</v>
      </c>
      <c r="AI98">
        <v>0.05</v>
      </c>
      <c r="AJ98">
        <v>5</v>
      </c>
      <c r="AK98">
        <v>0.35</v>
      </c>
      <c r="AL98">
        <v>0.65</v>
      </c>
      <c r="AM98">
        <v>0.65</v>
      </c>
      <c r="AN98">
        <v>0.3</v>
      </c>
      <c r="AO98">
        <v>0.05</v>
      </c>
      <c r="AP98">
        <v>0</v>
      </c>
      <c r="AQ98">
        <v>0</v>
      </c>
      <c r="AR98">
        <v>0</v>
      </c>
      <c r="AS98">
        <v>36.1</v>
      </c>
      <c r="AT98">
        <v>12.798500000000001</v>
      </c>
      <c r="AU98">
        <v>4.4096398260000003</v>
      </c>
      <c r="AV98">
        <v>15.1</v>
      </c>
      <c r="AW98">
        <v>24.1</v>
      </c>
      <c r="AX98">
        <v>36.1</v>
      </c>
      <c r="AY98">
        <v>35.799999999999997</v>
      </c>
      <c r="AZ98">
        <v>35.799999999999997</v>
      </c>
      <c r="BA98">
        <v>40.700000000000003</v>
      </c>
      <c r="BB98">
        <v>1026</v>
      </c>
      <c r="BC98">
        <v>25.1</v>
      </c>
      <c r="BD98">
        <v>12.06</v>
      </c>
      <c r="BE98">
        <v>1.5472049320000001</v>
      </c>
      <c r="BF98">
        <v>14.37</v>
      </c>
      <c r="BG98">
        <v>4.8</v>
      </c>
      <c r="BH98">
        <v>25.1</v>
      </c>
      <c r="BI98">
        <v>25.2</v>
      </c>
      <c r="BJ98">
        <v>25.2</v>
      </c>
      <c r="BK98">
        <v>30.9</v>
      </c>
      <c r="BL98">
        <v>334</v>
      </c>
    </row>
    <row r="99" spans="1:64" ht="15.75" customHeight="1" x14ac:dyDescent="0.2">
      <c r="A99" s="1">
        <v>43037</v>
      </c>
      <c r="B99" t="s">
        <v>62</v>
      </c>
      <c r="C99">
        <v>2</v>
      </c>
      <c r="D99" t="s">
        <v>76</v>
      </c>
      <c r="E99" t="s">
        <v>83</v>
      </c>
      <c r="F99" t="s">
        <v>69</v>
      </c>
      <c r="G99" s="2">
        <v>0.3386805555555556</v>
      </c>
      <c r="H99">
        <v>0.34</v>
      </c>
      <c r="I99" s="3">
        <v>0.34027777777777773</v>
      </c>
      <c r="J99" s="3">
        <v>0.35416666666666669</v>
      </c>
      <c r="K99">
        <v>1195</v>
      </c>
      <c r="L99">
        <v>1195</v>
      </c>
      <c r="M99">
        <v>1200</v>
      </c>
      <c r="N99">
        <v>566.36</v>
      </c>
      <c r="O99">
        <v>131.55000000000001</v>
      </c>
      <c r="P99">
        <v>113.47</v>
      </c>
      <c r="Q99">
        <v>62.26</v>
      </c>
      <c r="R99">
        <v>326.36</v>
      </c>
      <c r="S99">
        <v>1142.76</v>
      </c>
      <c r="T99">
        <v>57.24</v>
      </c>
      <c r="U99">
        <v>841.51</v>
      </c>
      <c r="V99">
        <v>358.49</v>
      </c>
      <c r="W99">
        <v>358.49</v>
      </c>
      <c r="X99">
        <v>784.27</v>
      </c>
      <c r="Y99">
        <v>57.24</v>
      </c>
      <c r="Z99">
        <v>0</v>
      </c>
      <c r="AA99">
        <v>0</v>
      </c>
      <c r="AB99">
        <f>N99/1200</f>
        <v>0.4719666666666667</v>
      </c>
      <c r="AC99">
        <f>O99/1200</f>
        <v>0.10962500000000001</v>
      </c>
      <c r="AD99">
        <f>P99/1200</f>
        <v>9.4558333333333328E-2</v>
      </c>
      <c r="AE99">
        <f>Q99/1200</f>
        <v>5.188333333333333E-2</v>
      </c>
      <c r="AF99">
        <f>R99/1200</f>
        <v>0.27196666666666669</v>
      </c>
      <c r="AG99">
        <f>S99/1200</f>
        <v>0.95230000000000004</v>
      </c>
      <c r="AH99">
        <v>0.95</v>
      </c>
      <c r="AI99">
        <v>0.05</v>
      </c>
      <c r="AJ99">
        <v>5</v>
      </c>
      <c r="AK99">
        <v>0.7</v>
      </c>
      <c r="AL99">
        <v>0.3</v>
      </c>
      <c r="AM99">
        <v>0.3</v>
      </c>
      <c r="AN99">
        <v>0.65</v>
      </c>
      <c r="AO99">
        <v>0.05</v>
      </c>
      <c r="AP99">
        <v>0</v>
      </c>
      <c r="AQ99">
        <v>0</v>
      </c>
      <c r="AR99">
        <v>0</v>
      </c>
      <c r="AS99">
        <v>34.9</v>
      </c>
      <c r="AT99">
        <v>10.888579999999999</v>
      </c>
      <c r="AU99">
        <v>4.3397455760000003</v>
      </c>
      <c r="AV99">
        <v>12.8</v>
      </c>
      <c r="AW99">
        <v>25.7</v>
      </c>
      <c r="AX99">
        <v>34.9</v>
      </c>
      <c r="AY99">
        <v>33.6</v>
      </c>
      <c r="AZ99">
        <v>33.6</v>
      </c>
      <c r="BA99">
        <v>38.5</v>
      </c>
      <c r="BB99">
        <v>980</v>
      </c>
      <c r="BC99">
        <v>23.2</v>
      </c>
      <c r="BD99">
        <v>10.27</v>
      </c>
      <c r="BE99">
        <v>1.4548436469999999</v>
      </c>
      <c r="BF99">
        <v>11.8</v>
      </c>
      <c r="BG99">
        <v>18.77</v>
      </c>
      <c r="BH99">
        <v>21.73</v>
      </c>
      <c r="BI99">
        <v>22.97</v>
      </c>
      <c r="BJ99">
        <v>21.5</v>
      </c>
      <c r="BK99">
        <v>25.83</v>
      </c>
      <c r="BL99">
        <v>303.67</v>
      </c>
    </row>
    <row r="100" spans="1:64" ht="15.75" customHeight="1" x14ac:dyDescent="0.2">
      <c r="A100" s="1">
        <v>43075</v>
      </c>
      <c r="B100" t="s">
        <v>62</v>
      </c>
      <c r="C100">
        <v>1</v>
      </c>
      <c r="D100" t="s">
        <v>76</v>
      </c>
      <c r="E100" t="s">
        <v>71</v>
      </c>
      <c r="F100" t="s">
        <v>69</v>
      </c>
      <c r="G100" s="2">
        <v>0.30857638888888889</v>
      </c>
      <c r="H100">
        <v>0.31</v>
      </c>
      <c r="I100" s="3">
        <v>0.30902777777777779</v>
      </c>
      <c r="J100" s="3">
        <v>0.32291666666666669</v>
      </c>
      <c r="K100">
        <v>1196</v>
      </c>
      <c r="L100">
        <v>1056</v>
      </c>
      <c r="M100">
        <v>1200</v>
      </c>
      <c r="N100">
        <f>505/L100*1200</f>
        <v>573.86363636363637</v>
      </c>
      <c r="O100">
        <v>31.82</v>
      </c>
      <c r="P100">
        <f>519/L100*1200</f>
        <v>589.77272727272725</v>
      </c>
      <c r="Q100">
        <v>4.55</v>
      </c>
      <c r="R100">
        <v>0</v>
      </c>
      <c r="S100">
        <v>1152.27</v>
      </c>
      <c r="T100">
        <v>47.73</v>
      </c>
      <c r="U100">
        <v>1189.77</v>
      </c>
      <c r="V100">
        <v>10.23</v>
      </c>
      <c r="W100">
        <v>10.23</v>
      </c>
      <c r="X100">
        <v>1142.05</v>
      </c>
      <c r="Y100">
        <v>47.73</v>
      </c>
      <c r="Z100">
        <v>0</v>
      </c>
      <c r="AA100">
        <v>0</v>
      </c>
      <c r="AB100">
        <f>N100/1200</f>
        <v>0.47821969696969696</v>
      </c>
      <c r="AC100">
        <f>O100/1200</f>
        <v>2.6516666666666668E-2</v>
      </c>
      <c r="AD100">
        <f>P100/1200</f>
        <v>0.49147727272727271</v>
      </c>
      <c r="AE100">
        <f>Q100/1200</f>
        <v>3.7916666666666667E-3</v>
      </c>
      <c r="AF100">
        <f>R100/1200</f>
        <v>0</v>
      </c>
      <c r="AG100">
        <f>S100/1200</f>
        <v>0.960225</v>
      </c>
      <c r="AH100">
        <v>0.96</v>
      </c>
      <c r="AI100">
        <v>0.04</v>
      </c>
      <c r="AJ100">
        <v>4</v>
      </c>
      <c r="AK100">
        <v>0.99</v>
      </c>
      <c r="AL100">
        <v>0.01</v>
      </c>
      <c r="AM100">
        <v>0.01</v>
      </c>
      <c r="AN100">
        <v>0.95</v>
      </c>
      <c r="AO100">
        <v>0.04</v>
      </c>
      <c r="AP100">
        <v>0</v>
      </c>
      <c r="AQ100">
        <v>0</v>
      </c>
      <c r="AR100">
        <v>0</v>
      </c>
      <c r="AS100">
        <v>35.578000000000003</v>
      </c>
      <c r="AT100">
        <v>10.135709009999999</v>
      </c>
      <c r="AU100">
        <v>5.0049074349999998</v>
      </c>
      <c r="AV100">
        <v>10.9</v>
      </c>
      <c r="AX100">
        <v>35.033999999999999</v>
      </c>
      <c r="AY100">
        <v>33.011000000000003</v>
      </c>
      <c r="AZ100">
        <v>32.896000000000001</v>
      </c>
      <c r="BC100">
        <v>22.623999999999999</v>
      </c>
      <c r="BD100">
        <v>9.6057164610000001</v>
      </c>
      <c r="BE100">
        <v>1.4963382160000001</v>
      </c>
      <c r="BF100">
        <v>10.210000000000001</v>
      </c>
      <c r="BH100">
        <v>22.122</v>
      </c>
      <c r="BI100">
        <v>22.103000000000002</v>
      </c>
      <c r="BJ100">
        <v>21.808</v>
      </c>
      <c r="BK100">
        <v>21.723600000000001</v>
      </c>
      <c r="BL100">
        <v>242.09</v>
      </c>
    </row>
    <row r="101" spans="1:64" ht="15.75" customHeight="1" x14ac:dyDescent="0.2">
      <c r="A101" s="1">
        <v>43038</v>
      </c>
      <c r="B101" t="s">
        <v>62</v>
      </c>
      <c r="C101">
        <v>1</v>
      </c>
      <c r="D101" t="s">
        <v>76</v>
      </c>
      <c r="E101" t="s">
        <v>64</v>
      </c>
      <c r="F101" t="s">
        <v>65</v>
      </c>
      <c r="G101" s="2">
        <v>0.30776620370370372</v>
      </c>
      <c r="H101">
        <v>0.31</v>
      </c>
      <c r="I101" s="3">
        <v>0.30902777777777779</v>
      </c>
      <c r="J101" s="3">
        <v>0.32291666666666669</v>
      </c>
      <c r="K101">
        <v>1195</v>
      </c>
      <c r="L101">
        <v>1150</v>
      </c>
      <c r="M101">
        <v>1200</v>
      </c>
      <c r="N101">
        <v>261.91000000000003</v>
      </c>
      <c r="O101">
        <v>122.09</v>
      </c>
      <c r="P101">
        <v>424.7</v>
      </c>
      <c r="Q101">
        <v>38.61</v>
      </c>
      <c r="R101">
        <v>352.7</v>
      </c>
      <c r="S101">
        <v>1153.04</v>
      </c>
      <c r="T101">
        <v>46.96</v>
      </c>
      <c r="U101">
        <v>802.43</v>
      </c>
      <c r="V101">
        <v>397.57</v>
      </c>
      <c r="W101">
        <v>397.57</v>
      </c>
      <c r="X101">
        <v>755.48</v>
      </c>
      <c r="Y101">
        <v>46.96</v>
      </c>
      <c r="Z101">
        <v>0</v>
      </c>
      <c r="AA101">
        <v>0</v>
      </c>
      <c r="AB101">
        <f>N101/1200</f>
        <v>0.21825833333333336</v>
      </c>
      <c r="AC101">
        <f>O101/1200</f>
        <v>0.10174166666666667</v>
      </c>
      <c r="AD101">
        <f>P101/1200</f>
        <v>0.35391666666666666</v>
      </c>
      <c r="AE101">
        <f>Q101/1200</f>
        <v>3.2175000000000002E-2</v>
      </c>
      <c r="AF101">
        <f>R101/1200</f>
        <v>0.29391666666666666</v>
      </c>
      <c r="AG101">
        <f>S101/1200</f>
        <v>0.96086666666666665</v>
      </c>
      <c r="AH101">
        <v>0.96</v>
      </c>
      <c r="AI101">
        <v>0.04</v>
      </c>
      <c r="AJ101">
        <v>4</v>
      </c>
      <c r="AK101">
        <v>0.67</v>
      </c>
      <c r="AL101">
        <v>0.33</v>
      </c>
      <c r="AM101">
        <v>0.33</v>
      </c>
      <c r="AN101">
        <v>0.63</v>
      </c>
      <c r="AO101">
        <v>0.04</v>
      </c>
      <c r="AP101">
        <v>0</v>
      </c>
      <c r="AQ101">
        <v>0</v>
      </c>
      <c r="AR101">
        <v>0</v>
      </c>
      <c r="AS101">
        <v>35.700000000000003</v>
      </c>
      <c r="AT101">
        <v>12.280200000000001</v>
      </c>
      <c r="AU101">
        <v>4.599117669</v>
      </c>
      <c r="AV101">
        <v>14.9</v>
      </c>
      <c r="AW101">
        <v>25.7</v>
      </c>
      <c r="AX101">
        <v>35.700000000000003</v>
      </c>
      <c r="AY101">
        <v>34.700000000000003</v>
      </c>
      <c r="AZ101">
        <v>34.700000000000003</v>
      </c>
      <c r="BA101">
        <v>39.700000000000003</v>
      </c>
      <c r="BB101">
        <v>967</v>
      </c>
      <c r="BC101">
        <v>22.43</v>
      </c>
      <c r="BD101">
        <v>10.54</v>
      </c>
      <c r="BE101">
        <v>1.2929876330000001</v>
      </c>
      <c r="BF101">
        <v>12.17</v>
      </c>
      <c r="BG101">
        <v>8.0299999999999994</v>
      </c>
      <c r="BH101">
        <v>22.43</v>
      </c>
      <c r="BI101">
        <v>22.13</v>
      </c>
      <c r="BJ101">
        <v>22.13</v>
      </c>
      <c r="BK101">
        <v>20.83</v>
      </c>
      <c r="BL101">
        <v>43.67</v>
      </c>
    </row>
    <row r="102" spans="1:64" ht="15.75" customHeight="1" x14ac:dyDescent="0.2">
      <c r="A102" s="1">
        <v>43036</v>
      </c>
      <c r="B102" t="s">
        <v>78</v>
      </c>
      <c r="C102">
        <v>3</v>
      </c>
      <c r="D102" t="s">
        <v>63</v>
      </c>
      <c r="E102" t="s">
        <v>83</v>
      </c>
      <c r="F102" t="s">
        <v>69</v>
      </c>
      <c r="G102" s="2">
        <v>0.49612268518518521</v>
      </c>
      <c r="H102">
        <v>0.5</v>
      </c>
      <c r="I102" s="3">
        <v>0.49652777777777773</v>
      </c>
      <c r="J102" s="3">
        <v>0.51041666666666663</v>
      </c>
      <c r="K102">
        <v>1196</v>
      </c>
      <c r="L102">
        <v>1196</v>
      </c>
      <c r="M102">
        <v>1200</v>
      </c>
      <c r="N102">
        <v>0</v>
      </c>
      <c r="O102">
        <v>1179.93</v>
      </c>
      <c r="P102">
        <v>20.07</v>
      </c>
      <c r="Q102">
        <v>0</v>
      </c>
      <c r="R102">
        <v>0</v>
      </c>
      <c r="S102">
        <v>1157.8599999999999</v>
      </c>
      <c r="T102">
        <v>42.14</v>
      </c>
      <c r="U102">
        <v>1200</v>
      </c>
      <c r="V102">
        <v>0</v>
      </c>
      <c r="W102">
        <v>0</v>
      </c>
      <c r="X102">
        <v>42.14</v>
      </c>
      <c r="Y102">
        <v>1157.8599999999999</v>
      </c>
      <c r="Z102">
        <v>0</v>
      </c>
      <c r="AA102">
        <v>0</v>
      </c>
      <c r="AB102">
        <f>N102/1200</f>
        <v>0</v>
      </c>
      <c r="AC102">
        <f>O102/1200</f>
        <v>0.98327500000000001</v>
      </c>
      <c r="AD102">
        <f>P102/1200</f>
        <v>1.6725E-2</v>
      </c>
      <c r="AE102">
        <f>Q102/1200</f>
        <v>0</v>
      </c>
      <c r="AF102">
        <f>R102/1200</f>
        <v>0</v>
      </c>
      <c r="AG102">
        <f>S102/1200</f>
        <v>0.9648833333333332</v>
      </c>
      <c r="AH102">
        <v>0.96</v>
      </c>
      <c r="AI102">
        <v>0.04</v>
      </c>
      <c r="AJ102">
        <v>4</v>
      </c>
      <c r="AK102">
        <v>1</v>
      </c>
      <c r="AL102">
        <v>0</v>
      </c>
      <c r="AM102">
        <v>0</v>
      </c>
      <c r="AN102">
        <v>0.04</v>
      </c>
      <c r="AO102">
        <v>0.96</v>
      </c>
      <c r="AP102">
        <v>0</v>
      </c>
      <c r="AQ102">
        <v>0</v>
      </c>
      <c r="AR102">
        <v>0</v>
      </c>
      <c r="AS102">
        <v>29.6</v>
      </c>
      <c r="AT102">
        <v>4.489446</v>
      </c>
      <c r="AU102">
        <v>3.8062265740000001</v>
      </c>
      <c r="AV102">
        <v>-0.3</v>
      </c>
      <c r="AW102">
        <v>29</v>
      </c>
      <c r="AX102">
        <v>29.4</v>
      </c>
      <c r="AY102">
        <v>27.5</v>
      </c>
      <c r="AZ102">
        <v>27.4</v>
      </c>
      <c r="BA102">
        <v>31.8</v>
      </c>
      <c r="BB102">
        <v>1029</v>
      </c>
      <c r="BC102">
        <v>26.33</v>
      </c>
      <c r="BD102">
        <v>3.1</v>
      </c>
      <c r="BE102">
        <v>2.9977594440000002</v>
      </c>
      <c r="BF102">
        <v>-5.03</v>
      </c>
      <c r="BG102">
        <v>21.43</v>
      </c>
      <c r="BH102">
        <v>24.87</v>
      </c>
      <c r="BI102">
        <v>24.3</v>
      </c>
      <c r="BJ102">
        <v>22.83</v>
      </c>
      <c r="BK102">
        <v>26.8</v>
      </c>
      <c r="BL102">
        <v>1015.67</v>
      </c>
    </row>
    <row r="103" spans="1:64" ht="15.75" customHeight="1" x14ac:dyDescent="0.2">
      <c r="A103" s="1">
        <v>43035</v>
      </c>
      <c r="B103" t="s">
        <v>78</v>
      </c>
      <c r="C103">
        <v>3</v>
      </c>
      <c r="D103" t="s">
        <v>63</v>
      </c>
      <c r="E103" t="s">
        <v>64</v>
      </c>
      <c r="F103" t="s">
        <v>65</v>
      </c>
      <c r="G103" s="2">
        <v>0.49186342592592597</v>
      </c>
      <c r="H103">
        <v>0.49</v>
      </c>
      <c r="I103" s="3">
        <v>0.49305555555555558</v>
      </c>
      <c r="J103" s="3">
        <v>0.50694444444444442</v>
      </c>
      <c r="K103">
        <v>1193</v>
      </c>
      <c r="L103">
        <v>1146</v>
      </c>
      <c r="M103">
        <v>1200</v>
      </c>
      <c r="N103">
        <f>289/L103*1200</f>
        <v>302.61780104712039</v>
      </c>
      <c r="O103">
        <v>62.83</v>
      </c>
      <c r="P103">
        <f>587/L103*1200</f>
        <v>614.6596858638743</v>
      </c>
      <c r="Q103">
        <v>0</v>
      </c>
      <c r="R103">
        <v>219.9</v>
      </c>
      <c r="S103">
        <v>1158.1199999999999</v>
      </c>
      <c r="T103">
        <v>41.88</v>
      </c>
      <c r="U103">
        <v>985.34</v>
      </c>
      <c r="V103">
        <v>255.5</v>
      </c>
      <c r="W103">
        <v>255.5</v>
      </c>
      <c r="X103">
        <v>902.62</v>
      </c>
      <c r="Y103">
        <v>41.88</v>
      </c>
      <c r="Z103">
        <v>0</v>
      </c>
      <c r="AA103">
        <v>0</v>
      </c>
      <c r="AB103">
        <f>N103/1200</f>
        <v>0.25218150087260033</v>
      </c>
      <c r="AC103">
        <f>O103/1200</f>
        <v>5.2358333333333333E-2</v>
      </c>
      <c r="AD103">
        <f>P103/1200</f>
        <v>0.51221640488656195</v>
      </c>
      <c r="AE103">
        <f>Q103/1200</f>
        <v>0</v>
      </c>
      <c r="AF103">
        <f>R103/1200</f>
        <v>0.18325</v>
      </c>
      <c r="AG103">
        <f>S103/1200</f>
        <v>0.96509999999999996</v>
      </c>
      <c r="AH103">
        <v>0.97</v>
      </c>
      <c r="AI103">
        <v>0.03</v>
      </c>
      <c r="AJ103">
        <v>3</v>
      </c>
      <c r="AK103">
        <v>0.82</v>
      </c>
      <c r="AL103">
        <v>0.21</v>
      </c>
      <c r="AM103">
        <v>0.21</v>
      </c>
      <c r="AN103">
        <v>0.75</v>
      </c>
      <c r="AO103">
        <v>0.03</v>
      </c>
      <c r="AP103">
        <v>0</v>
      </c>
      <c r="AQ103">
        <v>0</v>
      </c>
      <c r="AR103">
        <v>0</v>
      </c>
      <c r="AS103">
        <v>26.6</v>
      </c>
      <c r="AT103">
        <v>5.2935809999999996</v>
      </c>
      <c r="AU103">
        <v>3.2783784050000002</v>
      </c>
      <c r="AV103">
        <v>1.4</v>
      </c>
      <c r="AW103">
        <v>32.200000000000003</v>
      </c>
      <c r="AX103">
        <v>24.8</v>
      </c>
      <c r="AY103">
        <v>24.3</v>
      </c>
      <c r="AZ103">
        <v>22.5</v>
      </c>
      <c r="BA103">
        <v>25.9</v>
      </c>
      <c r="BB103">
        <v>1023</v>
      </c>
      <c r="BC103">
        <v>21.77</v>
      </c>
      <c r="BD103">
        <v>3.1</v>
      </c>
      <c r="BE103">
        <v>2.1873101899999998</v>
      </c>
      <c r="BF103">
        <v>-5.23</v>
      </c>
      <c r="BG103">
        <v>29</v>
      </c>
      <c r="BH103">
        <v>18.93</v>
      </c>
      <c r="BI103">
        <v>19.23</v>
      </c>
      <c r="BJ103">
        <v>16.43</v>
      </c>
      <c r="BK103">
        <v>19.899999999999999</v>
      </c>
      <c r="BL103">
        <v>1008</v>
      </c>
    </row>
    <row r="104" spans="1:64" ht="15.75" customHeight="1" x14ac:dyDescent="0.2">
      <c r="A104" s="1">
        <v>43036</v>
      </c>
      <c r="B104" t="s">
        <v>81</v>
      </c>
      <c r="C104">
        <v>6</v>
      </c>
      <c r="D104" t="s">
        <v>63</v>
      </c>
      <c r="E104" t="s">
        <v>80</v>
      </c>
      <c r="F104" t="s">
        <v>65</v>
      </c>
      <c r="G104" s="2">
        <v>0.76589120370370367</v>
      </c>
      <c r="H104">
        <v>0.77</v>
      </c>
      <c r="I104" s="3">
        <v>0.76736111111111116</v>
      </c>
      <c r="J104" s="3">
        <v>0.78125</v>
      </c>
      <c r="K104">
        <v>1193</v>
      </c>
      <c r="L104">
        <v>1193</v>
      </c>
      <c r="M104">
        <v>1200</v>
      </c>
      <c r="N104">
        <v>840.91</v>
      </c>
      <c r="O104">
        <v>0</v>
      </c>
      <c r="P104">
        <v>36.21</v>
      </c>
      <c r="Q104">
        <v>0</v>
      </c>
      <c r="R104">
        <v>322.88</v>
      </c>
      <c r="S104">
        <v>1165.8</v>
      </c>
      <c r="T104">
        <v>34.200000000000003</v>
      </c>
      <c r="U104">
        <v>918.36</v>
      </c>
      <c r="V104">
        <v>281.64</v>
      </c>
      <c r="W104">
        <v>281.64</v>
      </c>
      <c r="X104">
        <v>884.16</v>
      </c>
      <c r="Y104">
        <v>34.200000000000003</v>
      </c>
      <c r="Z104">
        <v>0</v>
      </c>
      <c r="AA104">
        <v>0</v>
      </c>
      <c r="AB104">
        <f>N104/1200</f>
        <v>0.70075833333333326</v>
      </c>
      <c r="AC104">
        <f>O104/1200</f>
        <v>0</v>
      </c>
      <c r="AD104">
        <f>P104/1200</f>
        <v>3.0175E-2</v>
      </c>
      <c r="AE104">
        <f>Q104/1200</f>
        <v>0</v>
      </c>
      <c r="AF104">
        <f>R104/1200</f>
        <v>0.26906666666666668</v>
      </c>
      <c r="AG104">
        <f>S104/1200</f>
        <v>0.97149999999999992</v>
      </c>
      <c r="AH104">
        <v>0.97</v>
      </c>
      <c r="AI104">
        <v>0.03</v>
      </c>
      <c r="AJ104">
        <v>3</v>
      </c>
      <c r="AK104">
        <v>0.77</v>
      </c>
      <c r="AL104">
        <v>0.23</v>
      </c>
      <c r="AM104">
        <v>0.23</v>
      </c>
      <c r="AN104">
        <v>0.74</v>
      </c>
      <c r="AO104">
        <v>0.03</v>
      </c>
      <c r="AP104">
        <v>0</v>
      </c>
      <c r="AQ104">
        <v>0</v>
      </c>
      <c r="AR104">
        <v>0</v>
      </c>
      <c r="AS104">
        <v>29.6</v>
      </c>
      <c r="AT104">
        <v>4.489446</v>
      </c>
      <c r="AU104">
        <v>3.8062265740000001</v>
      </c>
      <c r="AV104">
        <v>-0.3</v>
      </c>
      <c r="AW104">
        <v>29</v>
      </c>
      <c r="AX104">
        <v>29.4</v>
      </c>
      <c r="AY104">
        <v>27.5</v>
      </c>
      <c r="AZ104">
        <v>27.4</v>
      </c>
      <c r="BA104">
        <v>31.8</v>
      </c>
      <c r="BB104">
        <v>1029</v>
      </c>
      <c r="BC104">
        <v>28.03</v>
      </c>
      <c r="BD104">
        <v>2.2000000000000002</v>
      </c>
      <c r="BE104">
        <v>3.3200534799999999</v>
      </c>
      <c r="BF104">
        <v>-9.33</v>
      </c>
      <c r="BG104">
        <v>6.93</v>
      </c>
      <c r="BH104">
        <v>28.03</v>
      </c>
      <c r="BI104">
        <v>25.73</v>
      </c>
      <c r="BJ104">
        <v>25.73</v>
      </c>
      <c r="BK104">
        <v>24.3</v>
      </c>
      <c r="BL104">
        <v>50</v>
      </c>
    </row>
    <row r="105" spans="1:64" ht="15.75" customHeight="1" x14ac:dyDescent="0.2">
      <c r="A105" s="6">
        <v>43083</v>
      </c>
      <c r="B105" s="5" t="s">
        <v>62</v>
      </c>
      <c r="C105" s="5">
        <v>1</v>
      </c>
      <c r="D105" s="5" t="s">
        <v>63</v>
      </c>
      <c r="E105" s="5" t="s">
        <v>71</v>
      </c>
      <c r="F105" s="5" t="s">
        <v>69</v>
      </c>
      <c r="G105" s="7">
        <v>0.32750000000000001</v>
      </c>
      <c r="H105" s="5">
        <v>0.33</v>
      </c>
      <c r="I105" s="8">
        <v>0.3263888888888889</v>
      </c>
      <c r="J105" s="8">
        <v>0.34027777777777773</v>
      </c>
      <c r="K105" s="5">
        <v>1194</v>
      </c>
      <c r="L105" s="5">
        <v>975</v>
      </c>
      <c r="M105" s="5">
        <v>1200</v>
      </c>
      <c r="N105" s="5">
        <f>358/L105*1200</f>
        <v>440.61538461538458</v>
      </c>
      <c r="O105" s="5">
        <v>71.38</v>
      </c>
      <c r="P105" s="5">
        <f>557/L105*1200</f>
        <v>685.53846153846143</v>
      </c>
      <c r="Q105" s="5">
        <v>2.46</v>
      </c>
      <c r="R105" s="5">
        <v>0</v>
      </c>
      <c r="S105" s="5">
        <v>1174.1500000000001</v>
      </c>
      <c r="T105" s="5">
        <v>25.85</v>
      </c>
      <c r="U105" s="5">
        <v>1148.31</v>
      </c>
      <c r="V105" s="5">
        <v>51.69</v>
      </c>
      <c r="W105" s="5">
        <v>51.69</v>
      </c>
      <c r="X105" s="5">
        <v>1122.46</v>
      </c>
      <c r="Y105" s="5">
        <v>25.85</v>
      </c>
      <c r="Z105" s="5">
        <v>0</v>
      </c>
      <c r="AA105" s="5">
        <v>0</v>
      </c>
      <c r="AB105" s="5">
        <f>N105/1200</f>
        <v>0.36717948717948717</v>
      </c>
      <c r="AC105" s="5">
        <f>O105/1200</f>
        <v>5.9483333333333333E-2</v>
      </c>
      <c r="AD105" s="5">
        <f>P105/1200</f>
        <v>0.57128205128205123</v>
      </c>
      <c r="AE105" s="5">
        <f>Q105/1200</f>
        <v>2.0500000000000002E-3</v>
      </c>
      <c r="AF105" s="5">
        <f>R105/1200</f>
        <v>0</v>
      </c>
      <c r="AG105" s="5">
        <f>S105/1200</f>
        <v>0.97845833333333343</v>
      </c>
      <c r="AH105" s="5">
        <v>0.98</v>
      </c>
      <c r="AI105" s="5">
        <v>0.02</v>
      </c>
      <c r="AJ105" s="5">
        <v>2</v>
      </c>
      <c r="AK105" s="5">
        <v>0.96</v>
      </c>
      <c r="AL105" s="5">
        <v>0.04</v>
      </c>
      <c r="AM105" s="5">
        <v>0.04</v>
      </c>
      <c r="AN105" s="5">
        <v>0.94</v>
      </c>
      <c r="AO105" s="5">
        <v>0.02</v>
      </c>
      <c r="AP105" s="5">
        <v>0</v>
      </c>
      <c r="AQ105" s="5">
        <v>0</v>
      </c>
      <c r="AR105" s="5">
        <v>0</v>
      </c>
      <c r="AS105" s="5">
        <v>29.66</v>
      </c>
      <c r="AT105" s="5">
        <v>8.7899999999999991</v>
      </c>
      <c r="AU105" s="5">
        <v>3.2801092710000002</v>
      </c>
      <c r="AV105" s="5">
        <v>8.73</v>
      </c>
      <c r="AW105" s="5"/>
      <c r="AX105" s="5">
        <v>29.47</v>
      </c>
      <c r="AY105" s="5">
        <v>27.76</v>
      </c>
      <c r="AZ105" s="5">
        <v>27.9</v>
      </c>
      <c r="BA105" s="5"/>
      <c r="BB105" s="5"/>
      <c r="BC105" s="5">
        <v>13.648</v>
      </c>
      <c r="BD105" s="5">
        <v>8.7050820939999998</v>
      </c>
      <c r="BE105" s="5">
        <v>0.44881265999999997</v>
      </c>
      <c r="BF105" s="5">
        <v>8.5433333329999996</v>
      </c>
      <c r="BG105" s="5"/>
      <c r="BH105" s="5">
        <v>11.13</v>
      </c>
      <c r="BI105" s="5">
        <v>13.28233333</v>
      </c>
      <c r="BJ105" s="5">
        <v>10.88</v>
      </c>
      <c r="BK105" s="5">
        <v>11.401199999999999</v>
      </c>
      <c r="BL105" s="5">
        <v>331.41</v>
      </c>
    </row>
    <row r="106" spans="1:64" ht="15.75" customHeight="1" x14ac:dyDescent="0.2">
      <c r="A106" s="1">
        <v>43049</v>
      </c>
      <c r="B106" t="s">
        <v>62</v>
      </c>
      <c r="C106">
        <v>2</v>
      </c>
      <c r="D106" t="s">
        <v>63</v>
      </c>
      <c r="E106" t="s">
        <v>67</v>
      </c>
      <c r="F106" t="s">
        <v>65</v>
      </c>
      <c r="G106" s="2">
        <v>0.33670138888888884</v>
      </c>
      <c r="H106">
        <v>0.34</v>
      </c>
      <c r="I106" s="3">
        <v>0.33680555555555558</v>
      </c>
      <c r="J106" s="3">
        <v>0.35069444444444442</v>
      </c>
      <c r="K106">
        <v>1193</v>
      </c>
      <c r="L106">
        <v>1185</v>
      </c>
      <c r="M106">
        <v>1200</v>
      </c>
      <c r="N106">
        <f>1052/L106*1200</f>
        <v>1065.3164556962024</v>
      </c>
      <c r="O106">
        <v>12.15</v>
      </c>
      <c r="P106">
        <f>121/L106*1200</f>
        <v>122.53164556962025</v>
      </c>
      <c r="Q106">
        <v>0</v>
      </c>
      <c r="R106">
        <v>0</v>
      </c>
      <c r="S106">
        <v>1180.76</v>
      </c>
      <c r="T106">
        <v>19.239999999999998</v>
      </c>
      <c r="U106">
        <v>1193.92</v>
      </c>
      <c r="V106">
        <v>6.08</v>
      </c>
      <c r="W106">
        <v>6.08</v>
      </c>
      <c r="X106">
        <v>1174.68</v>
      </c>
      <c r="Y106">
        <v>19.239999999999998</v>
      </c>
      <c r="Z106">
        <v>0</v>
      </c>
      <c r="AA106">
        <v>0</v>
      </c>
      <c r="AB106">
        <f>N106/1200</f>
        <v>0.88776371308016866</v>
      </c>
      <c r="AC106">
        <f>O106/1200</f>
        <v>1.0125E-2</v>
      </c>
      <c r="AD106">
        <f>P106/1200</f>
        <v>0.1021097046413502</v>
      </c>
      <c r="AE106">
        <f>Q106/1200</f>
        <v>0</v>
      </c>
      <c r="AF106">
        <f>R106/1200</f>
        <v>0</v>
      </c>
      <c r="AG106">
        <f>S106/1200</f>
        <v>0.98396666666666666</v>
      </c>
      <c r="AH106">
        <v>0.98</v>
      </c>
      <c r="AI106">
        <v>0.02</v>
      </c>
      <c r="AJ106">
        <v>2</v>
      </c>
      <c r="AK106">
        <v>0.99</v>
      </c>
      <c r="AL106">
        <v>0.01</v>
      </c>
      <c r="AM106">
        <v>0.01</v>
      </c>
      <c r="AN106">
        <v>0.98</v>
      </c>
      <c r="AO106">
        <v>0.02</v>
      </c>
      <c r="AP106">
        <v>0</v>
      </c>
      <c r="AQ106">
        <v>0</v>
      </c>
      <c r="AR106">
        <v>0</v>
      </c>
      <c r="AS106">
        <v>32.1</v>
      </c>
      <c r="AT106">
        <v>8.347099</v>
      </c>
      <c r="AU106">
        <v>4.1484227489999999</v>
      </c>
      <c r="AV106">
        <v>8.4</v>
      </c>
      <c r="AW106">
        <v>12.9</v>
      </c>
      <c r="AX106">
        <v>32.1</v>
      </c>
      <c r="AY106">
        <v>29.7</v>
      </c>
      <c r="AZ106">
        <v>29.7</v>
      </c>
      <c r="BA106">
        <v>34.700000000000003</v>
      </c>
      <c r="BB106">
        <v>1007</v>
      </c>
      <c r="BC106">
        <v>15.1</v>
      </c>
      <c r="BD106">
        <v>8</v>
      </c>
      <c r="BE106">
        <v>0.66699480499999997</v>
      </c>
      <c r="BF106">
        <v>7.67</v>
      </c>
      <c r="BG106">
        <v>8.0299999999999994</v>
      </c>
      <c r="BH106">
        <v>15</v>
      </c>
      <c r="BI106">
        <v>14.43</v>
      </c>
      <c r="BJ106">
        <v>14.33</v>
      </c>
      <c r="BK106">
        <v>16.37</v>
      </c>
      <c r="BL106">
        <v>227</v>
      </c>
    </row>
    <row r="107" spans="1:64" ht="15.75" customHeight="1" x14ac:dyDescent="0.2">
      <c r="A107" s="1">
        <v>43049</v>
      </c>
      <c r="B107" t="s">
        <v>62</v>
      </c>
      <c r="C107">
        <v>1</v>
      </c>
      <c r="D107" t="s">
        <v>63</v>
      </c>
      <c r="E107" t="s">
        <v>67</v>
      </c>
      <c r="F107" t="s">
        <v>65</v>
      </c>
      <c r="G107" s="2">
        <v>0.28420138888888885</v>
      </c>
      <c r="H107">
        <v>0.28000000000000003</v>
      </c>
      <c r="I107" s="3">
        <v>0.28472222222222221</v>
      </c>
      <c r="J107" s="3">
        <v>0.2986111111111111</v>
      </c>
      <c r="K107">
        <v>1193</v>
      </c>
      <c r="L107">
        <v>1193</v>
      </c>
      <c r="M107">
        <v>1200</v>
      </c>
      <c r="N107">
        <f>1037/L107*1200</f>
        <v>1043.0846605196982</v>
      </c>
      <c r="O107">
        <v>21.12</v>
      </c>
      <c r="P107">
        <f>130/L107*1200</f>
        <v>130.76278290025147</v>
      </c>
      <c r="Q107">
        <v>2.0099999999999998</v>
      </c>
      <c r="R107">
        <v>3.02</v>
      </c>
      <c r="S107">
        <v>1183.9100000000001</v>
      </c>
      <c r="T107">
        <v>16.09</v>
      </c>
      <c r="U107">
        <v>1200</v>
      </c>
      <c r="V107">
        <v>0</v>
      </c>
      <c r="W107">
        <v>0</v>
      </c>
      <c r="X107">
        <v>1183.9100000000001</v>
      </c>
      <c r="Y107">
        <v>16.09</v>
      </c>
      <c r="Z107">
        <v>0</v>
      </c>
      <c r="AA107">
        <v>0</v>
      </c>
      <c r="AB107">
        <f>N107/1200</f>
        <v>0.86923721709974855</v>
      </c>
      <c r="AC107">
        <f>O107/1200</f>
        <v>1.7600000000000001E-2</v>
      </c>
      <c r="AD107">
        <f>P107/1200</f>
        <v>0.10896898575020955</v>
      </c>
      <c r="AE107">
        <f>Q107/1200</f>
        <v>1.6749999999999998E-3</v>
      </c>
      <c r="AF107">
        <f>R107/1200</f>
        <v>2.5166666666666666E-3</v>
      </c>
      <c r="AG107">
        <f>S107/1200</f>
        <v>0.98659166666666676</v>
      </c>
      <c r="AH107">
        <v>0.99</v>
      </c>
      <c r="AI107">
        <v>0.01</v>
      </c>
      <c r="AJ107">
        <v>1</v>
      </c>
      <c r="AK107">
        <v>1</v>
      </c>
      <c r="AL107">
        <v>0</v>
      </c>
      <c r="AM107">
        <v>0</v>
      </c>
      <c r="AN107">
        <v>0.99</v>
      </c>
      <c r="AO107">
        <v>0.01</v>
      </c>
      <c r="AP107">
        <v>0</v>
      </c>
      <c r="AQ107">
        <v>0</v>
      </c>
      <c r="AR107">
        <v>0</v>
      </c>
      <c r="AS107">
        <v>32.1</v>
      </c>
      <c r="AT107">
        <v>8.347099</v>
      </c>
      <c r="AU107">
        <v>4.1484227489999999</v>
      </c>
      <c r="AV107">
        <v>8.4</v>
      </c>
      <c r="AW107">
        <v>12.9</v>
      </c>
      <c r="AX107">
        <v>32.1</v>
      </c>
      <c r="AY107">
        <v>29.7</v>
      </c>
      <c r="AZ107">
        <v>29.7</v>
      </c>
      <c r="BA107">
        <v>34.700000000000003</v>
      </c>
      <c r="BB107">
        <v>1007</v>
      </c>
      <c r="BC107">
        <v>10.27</v>
      </c>
      <c r="BD107">
        <v>6.69</v>
      </c>
      <c r="BE107">
        <v>0.38703410900000002</v>
      </c>
      <c r="BF107">
        <v>4.83</v>
      </c>
      <c r="BG107">
        <v>1.07</v>
      </c>
      <c r="BH107">
        <v>10.27</v>
      </c>
      <c r="BI107">
        <v>9.9700000000000006</v>
      </c>
      <c r="BJ107">
        <v>9.9700000000000006</v>
      </c>
      <c r="BK107">
        <v>8.1</v>
      </c>
      <c r="BL107">
        <v>10.33</v>
      </c>
    </row>
    <row r="108" spans="1:64" ht="15.75" customHeight="1" x14ac:dyDescent="0.2">
      <c r="A108" s="1">
        <v>43039</v>
      </c>
      <c r="B108" t="s">
        <v>62</v>
      </c>
      <c r="C108">
        <v>1</v>
      </c>
      <c r="D108" t="s">
        <v>76</v>
      </c>
      <c r="E108" t="s">
        <v>80</v>
      </c>
      <c r="F108" t="s">
        <v>65</v>
      </c>
      <c r="G108" s="2">
        <v>0.29137731481481483</v>
      </c>
      <c r="H108">
        <v>0.28999999999999998</v>
      </c>
      <c r="I108" s="3">
        <v>0.29166666666666669</v>
      </c>
      <c r="J108" s="3">
        <v>0.30555555555555552</v>
      </c>
      <c r="K108">
        <v>1196</v>
      </c>
      <c r="L108">
        <v>1022</v>
      </c>
      <c r="M108">
        <v>1200</v>
      </c>
      <c r="N108">
        <f>49/L108*1200</f>
        <v>57.534246575342465</v>
      </c>
      <c r="O108">
        <v>0</v>
      </c>
      <c r="P108">
        <f>104/L108*1200</f>
        <v>122.11350293542074</v>
      </c>
      <c r="Q108">
        <v>0</v>
      </c>
      <c r="R108">
        <v>1020.35</v>
      </c>
      <c r="S108">
        <v>1194.1300000000001</v>
      </c>
      <c r="T108">
        <v>5.87</v>
      </c>
      <c r="U108">
        <v>150.29</v>
      </c>
      <c r="V108">
        <v>1049.71</v>
      </c>
      <c r="W108">
        <v>1049.71</v>
      </c>
      <c r="X108">
        <v>144.41999999999999</v>
      </c>
      <c r="Y108">
        <v>5.87</v>
      </c>
      <c r="Z108">
        <v>0</v>
      </c>
      <c r="AA108">
        <v>0</v>
      </c>
      <c r="AB108">
        <f>N108/1200</f>
        <v>4.7945205479452052E-2</v>
      </c>
      <c r="AC108">
        <f>O108/1200</f>
        <v>0</v>
      </c>
      <c r="AD108">
        <f>P108/1200</f>
        <v>0.10176125244618395</v>
      </c>
      <c r="AE108">
        <f>Q108/1200</f>
        <v>0</v>
      </c>
      <c r="AF108">
        <f>R108/1200</f>
        <v>0.85029166666666667</v>
      </c>
      <c r="AG108">
        <f>S108/1200</f>
        <v>0.99510833333333337</v>
      </c>
      <c r="AH108">
        <v>1</v>
      </c>
      <c r="AI108">
        <v>0</v>
      </c>
      <c r="AJ108">
        <v>0</v>
      </c>
      <c r="AK108">
        <v>0.13</v>
      </c>
      <c r="AL108">
        <v>0.87</v>
      </c>
      <c r="AM108">
        <v>0.87</v>
      </c>
      <c r="AN108">
        <v>0.12</v>
      </c>
      <c r="AO108">
        <v>0</v>
      </c>
      <c r="AP108">
        <v>0</v>
      </c>
      <c r="AQ108">
        <v>0</v>
      </c>
      <c r="AR108">
        <v>0</v>
      </c>
      <c r="AS108">
        <v>36.1</v>
      </c>
      <c r="AT108">
        <v>12.798500000000001</v>
      </c>
      <c r="AU108">
        <v>4.4096398260000003</v>
      </c>
      <c r="AV108">
        <v>15.1</v>
      </c>
      <c r="AW108">
        <v>24.1</v>
      </c>
      <c r="AX108">
        <v>36.1</v>
      </c>
      <c r="AY108">
        <v>35.799999999999997</v>
      </c>
      <c r="AZ108">
        <v>35.799999999999997</v>
      </c>
      <c r="BA108">
        <v>40.700000000000003</v>
      </c>
      <c r="BB108">
        <v>1026</v>
      </c>
      <c r="BC108">
        <v>19.53</v>
      </c>
      <c r="BD108">
        <v>12.58</v>
      </c>
      <c r="BE108">
        <v>0.59369559100000002</v>
      </c>
      <c r="BF108">
        <v>14.73</v>
      </c>
      <c r="BG108">
        <v>6.93</v>
      </c>
      <c r="BH108">
        <v>19.53</v>
      </c>
      <c r="BI108">
        <v>19.87</v>
      </c>
      <c r="BJ108">
        <v>19.87</v>
      </c>
      <c r="BK108">
        <v>18.47</v>
      </c>
      <c r="BL108">
        <v>9.33</v>
      </c>
    </row>
    <row r="109" spans="1:64" ht="15.75" customHeight="1" x14ac:dyDescent="0.2">
      <c r="A109" s="6">
        <v>43083</v>
      </c>
      <c r="B109" s="5" t="s">
        <v>62</v>
      </c>
      <c r="C109" s="5">
        <v>1</v>
      </c>
      <c r="D109" s="5" t="s">
        <v>63</v>
      </c>
      <c r="E109" s="5" t="s">
        <v>71</v>
      </c>
      <c r="F109" s="5" t="s">
        <v>69</v>
      </c>
      <c r="G109" s="7">
        <v>0.25743055555555555</v>
      </c>
      <c r="H109" s="5">
        <v>0.26</v>
      </c>
      <c r="I109" s="8">
        <v>0.25694444444444448</v>
      </c>
      <c r="J109" s="8">
        <v>0.27083333333333331</v>
      </c>
      <c r="K109" s="5">
        <v>1195</v>
      </c>
      <c r="L109" s="5">
        <v>940</v>
      </c>
      <c r="M109" s="5">
        <v>1200</v>
      </c>
      <c r="N109" s="5">
        <f>387/L109*1200</f>
        <v>494.04255319148939</v>
      </c>
      <c r="O109" s="5">
        <v>82.98</v>
      </c>
      <c r="P109" s="5">
        <f>485/L109*1200</f>
        <v>619.14893617021278</v>
      </c>
      <c r="Q109" s="5">
        <v>3.83</v>
      </c>
      <c r="R109" s="5">
        <v>0</v>
      </c>
      <c r="S109" s="5">
        <v>1196.17</v>
      </c>
      <c r="T109" s="5">
        <v>3.83</v>
      </c>
      <c r="U109" s="5">
        <v>1161.7</v>
      </c>
      <c r="V109" s="5">
        <v>38.299999999999997</v>
      </c>
      <c r="W109" s="5">
        <v>38.299999999999997</v>
      </c>
      <c r="X109" s="5">
        <v>1157.8699999999999</v>
      </c>
      <c r="Y109" s="5">
        <v>3.83</v>
      </c>
      <c r="Z109" s="5">
        <v>0</v>
      </c>
      <c r="AA109" s="5">
        <v>0</v>
      </c>
      <c r="AB109" s="5">
        <f>N109/1200</f>
        <v>0.41170212765957448</v>
      </c>
      <c r="AC109" s="5">
        <f>O109/1200</f>
        <v>6.9150000000000003E-2</v>
      </c>
      <c r="AD109" s="5">
        <f>P109/1200</f>
        <v>0.51595744680851063</v>
      </c>
      <c r="AE109" s="5">
        <f>Q109/1200</f>
        <v>3.1916666666666669E-3</v>
      </c>
      <c r="AF109" s="5">
        <f>R109/1200</f>
        <v>0</v>
      </c>
      <c r="AG109" s="5">
        <f>S109/1200</f>
        <v>0.99680833333333341</v>
      </c>
      <c r="AH109" s="5">
        <v>1</v>
      </c>
      <c r="AI109" s="5">
        <v>0</v>
      </c>
      <c r="AJ109" s="5">
        <v>0</v>
      </c>
      <c r="AK109" s="5">
        <v>0.97</v>
      </c>
      <c r="AL109" s="5">
        <v>0.03</v>
      </c>
      <c r="AM109" s="5">
        <v>0.03</v>
      </c>
      <c r="AN109" s="5">
        <v>0.96</v>
      </c>
      <c r="AO109" s="5">
        <v>0</v>
      </c>
      <c r="AP109" s="5">
        <v>0</v>
      </c>
      <c r="AQ109" s="5">
        <v>0</v>
      </c>
      <c r="AR109" s="5">
        <v>0</v>
      </c>
      <c r="AS109" s="5">
        <v>29.66</v>
      </c>
      <c r="AT109" s="5">
        <v>8.7899999999999991</v>
      </c>
      <c r="AU109" s="5">
        <v>3.28</v>
      </c>
      <c r="AV109" s="5">
        <v>8.73</v>
      </c>
      <c r="AW109" s="5"/>
      <c r="AX109" s="5">
        <v>29.47</v>
      </c>
      <c r="AY109" s="5">
        <v>27.76</v>
      </c>
      <c r="AZ109" s="5">
        <v>27.9</v>
      </c>
      <c r="BA109" s="5"/>
      <c r="BB109" s="5"/>
      <c r="BC109" s="5">
        <v>12.882999999999999</v>
      </c>
      <c r="BD109" s="5">
        <v>8.7430420649999991</v>
      </c>
      <c r="BE109" s="5">
        <v>0.370299396</v>
      </c>
      <c r="BF109" s="5">
        <v>8.57</v>
      </c>
      <c r="BG109" s="5"/>
      <c r="BH109" s="5">
        <v>12.378</v>
      </c>
      <c r="BI109" s="5">
        <v>12.5585</v>
      </c>
      <c r="BJ109" s="5">
        <v>12.208</v>
      </c>
      <c r="BK109" s="5">
        <v>10.52145</v>
      </c>
      <c r="BL109" s="5">
        <v>1</v>
      </c>
    </row>
    <row r="110" spans="1:64" ht="15.75" customHeight="1" x14ac:dyDescent="0.2">
      <c r="A110" s="1">
        <v>43029</v>
      </c>
      <c r="B110" t="s">
        <v>62</v>
      </c>
      <c r="C110">
        <v>1</v>
      </c>
      <c r="D110" t="s">
        <v>63</v>
      </c>
      <c r="E110" t="s">
        <v>66</v>
      </c>
      <c r="F110" t="s">
        <v>65</v>
      </c>
      <c r="G110" s="2">
        <v>0.31653935185185184</v>
      </c>
      <c r="H110">
        <v>0.32</v>
      </c>
      <c r="I110" s="3">
        <v>0.31597222222222221</v>
      </c>
      <c r="J110" s="3">
        <v>0.3298611111111111</v>
      </c>
      <c r="K110">
        <v>1193</v>
      </c>
      <c r="L110">
        <f>K110-144</f>
        <v>1049</v>
      </c>
      <c r="M110">
        <v>1200</v>
      </c>
      <c r="N110" s="4">
        <f>441/L110*1200</f>
        <v>504.48045757864628</v>
      </c>
      <c r="O110" s="4">
        <v>0</v>
      </c>
      <c r="P110" s="4">
        <f>456/L110*1200</f>
        <v>521.6396568160153</v>
      </c>
      <c r="Q110" s="4">
        <v>0</v>
      </c>
      <c r="R110" s="4">
        <f>152/L110*1200</f>
        <v>173.87988560533842</v>
      </c>
      <c r="S110">
        <v>1200</v>
      </c>
      <c r="T110">
        <v>0</v>
      </c>
      <c r="U110">
        <v>847.19</v>
      </c>
      <c r="V110">
        <v>352.81</v>
      </c>
      <c r="W110">
        <v>352.81</v>
      </c>
      <c r="X110">
        <v>847.19</v>
      </c>
      <c r="Y110">
        <v>0</v>
      </c>
      <c r="Z110">
        <v>0</v>
      </c>
      <c r="AA110">
        <v>0</v>
      </c>
      <c r="AB110">
        <f>N110/1200</f>
        <v>0.42040038131553858</v>
      </c>
      <c r="AC110">
        <f>O110/1200</f>
        <v>0</v>
      </c>
      <c r="AD110">
        <f>P110/1200</f>
        <v>0.43469971401334606</v>
      </c>
      <c r="AE110">
        <f>Q110/1200</f>
        <v>0</v>
      </c>
      <c r="AF110">
        <f>R110/1200</f>
        <v>0.14489990467111535</v>
      </c>
      <c r="AG110">
        <f>S110/1200</f>
        <v>1</v>
      </c>
      <c r="AH110">
        <v>1</v>
      </c>
      <c r="AI110">
        <v>0</v>
      </c>
      <c r="AJ110">
        <v>0</v>
      </c>
      <c r="AK110">
        <v>0.71</v>
      </c>
      <c r="AL110">
        <v>0.28999999999999998</v>
      </c>
      <c r="AM110">
        <v>0.28999999999999998</v>
      </c>
      <c r="AN110">
        <v>0.71</v>
      </c>
      <c r="AO110">
        <v>0</v>
      </c>
      <c r="AP110">
        <v>0</v>
      </c>
      <c r="AQ110">
        <v>0</v>
      </c>
      <c r="AR110">
        <v>0</v>
      </c>
      <c r="AS110">
        <v>29.7</v>
      </c>
      <c r="AT110">
        <v>7.4832349999999996</v>
      </c>
      <c r="AU110">
        <v>3.6623821840000002</v>
      </c>
      <c r="AV110">
        <v>6.5</v>
      </c>
      <c r="AW110">
        <v>22.5</v>
      </c>
      <c r="AX110">
        <v>29.4</v>
      </c>
      <c r="AY110">
        <v>27.8</v>
      </c>
      <c r="AZ110">
        <v>27.6</v>
      </c>
      <c r="BA110">
        <v>32.1</v>
      </c>
      <c r="BB110">
        <v>1003</v>
      </c>
      <c r="BC110">
        <v>9.9700000000000006</v>
      </c>
      <c r="BD110">
        <v>7.4</v>
      </c>
      <c r="BE110">
        <v>0.27265286900000002</v>
      </c>
      <c r="BF110">
        <v>6.27</v>
      </c>
      <c r="BG110">
        <v>10.23</v>
      </c>
      <c r="BH110">
        <v>8.6</v>
      </c>
      <c r="BI110">
        <v>9.8699999999999992</v>
      </c>
      <c r="BJ110">
        <v>8.5299999999999994</v>
      </c>
      <c r="BK110">
        <v>14.03</v>
      </c>
      <c r="BL110">
        <v>335</v>
      </c>
    </row>
    <row r="111" spans="1:64" ht="15.75" customHeight="1" x14ac:dyDescent="0.2">
      <c r="A111" s="1">
        <v>43035</v>
      </c>
      <c r="B111" t="s">
        <v>62</v>
      </c>
      <c r="C111">
        <v>1</v>
      </c>
      <c r="D111" t="s">
        <v>63</v>
      </c>
      <c r="E111" t="s">
        <v>64</v>
      </c>
      <c r="F111" t="s">
        <v>65</v>
      </c>
      <c r="G111" s="2">
        <v>0.29457175925925927</v>
      </c>
      <c r="H111">
        <v>0.28999999999999998</v>
      </c>
      <c r="I111" s="3">
        <v>0.2951388888888889</v>
      </c>
      <c r="J111" s="3">
        <v>0.30902777777777779</v>
      </c>
      <c r="K111">
        <v>1194</v>
      </c>
      <c r="L111">
        <v>1194</v>
      </c>
      <c r="M111">
        <v>1200</v>
      </c>
      <c r="N111">
        <v>458.29</v>
      </c>
      <c r="O111">
        <v>313.57</v>
      </c>
      <c r="P111">
        <v>422.11</v>
      </c>
      <c r="Q111">
        <v>0</v>
      </c>
      <c r="R111">
        <v>6.03</v>
      </c>
      <c r="S111">
        <v>1200</v>
      </c>
      <c r="T111">
        <v>0</v>
      </c>
      <c r="U111">
        <v>1158.79</v>
      </c>
      <c r="V111">
        <v>41.21</v>
      </c>
      <c r="W111">
        <v>41.21</v>
      </c>
      <c r="X111">
        <v>1158.79</v>
      </c>
      <c r="Y111">
        <v>0</v>
      </c>
      <c r="Z111">
        <v>0</v>
      </c>
      <c r="AA111">
        <v>0</v>
      </c>
      <c r="AB111">
        <f>N111/1200</f>
        <v>0.38190833333333335</v>
      </c>
      <c r="AC111">
        <f>O111/1200</f>
        <v>0.26130833333333331</v>
      </c>
      <c r="AD111">
        <f>P111/1200</f>
        <v>0.35175833333333334</v>
      </c>
      <c r="AE111">
        <f>Q111/1200</f>
        <v>0</v>
      </c>
      <c r="AF111">
        <f>R111/1200</f>
        <v>5.025E-3</v>
      </c>
      <c r="AG111">
        <f>S111/1200</f>
        <v>1</v>
      </c>
      <c r="AH111">
        <v>1</v>
      </c>
      <c r="AI111">
        <v>0</v>
      </c>
      <c r="AJ111">
        <v>0</v>
      </c>
      <c r="AK111">
        <v>0.97</v>
      </c>
      <c r="AL111">
        <v>0.03</v>
      </c>
      <c r="AM111">
        <v>0.03</v>
      </c>
      <c r="AN111">
        <v>0.97</v>
      </c>
      <c r="AO111">
        <v>0</v>
      </c>
      <c r="AP111">
        <v>0</v>
      </c>
      <c r="AQ111">
        <v>0</v>
      </c>
      <c r="AR111">
        <v>0</v>
      </c>
      <c r="AS111">
        <v>26.6</v>
      </c>
      <c r="AT111">
        <v>5.2935809999999996</v>
      </c>
      <c r="AU111">
        <v>3.2783784050000002</v>
      </c>
      <c r="AV111">
        <v>1.4</v>
      </c>
      <c r="AW111">
        <v>32.200000000000003</v>
      </c>
      <c r="AX111">
        <v>24.8</v>
      </c>
      <c r="AY111">
        <v>24.3</v>
      </c>
      <c r="AZ111">
        <v>22.5</v>
      </c>
      <c r="BA111">
        <v>25.9</v>
      </c>
      <c r="BB111">
        <v>1023</v>
      </c>
      <c r="BC111">
        <v>9.4</v>
      </c>
      <c r="BD111">
        <v>5.15</v>
      </c>
      <c r="BE111">
        <v>0.51720734899999998</v>
      </c>
      <c r="BF111">
        <v>1.1000000000000001</v>
      </c>
      <c r="BG111">
        <v>20.9</v>
      </c>
      <c r="BH111">
        <v>5.97</v>
      </c>
      <c r="BI111">
        <v>8.9</v>
      </c>
      <c r="BJ111">
        <v>5.43</v>
      </c>
      <c r="BK111">
        <v>5.63</v>
      </c>
      <c r="BL111">
        <v>203.33</v>
      </c>
    </row>
    <row r="112" spans="1:64" ht="15.75" customHeight="1" x14ac:dyDescent="0.2">
      <c r="A112" s="1">
        <v>43035</v>
      </c>
      <c r="B112" t="s">
        <v>62</v>
      </c>
      <c r="C112">
        <v>2</v>
      </c>
      <c r="D112" t="s">
        <v>63</v>
      </c>
      <c r="E112" t="s">
        <v>64</v>
      </c>
      <c r="F112" t="s">
        <v>65</v>
      </c>
      <c r="G112" s="2">
        <v>0.36518518518518522</v>
      </c>
      <c r="H112">
        <v>0.37</v>
      </c>
      <c r="I112" s="3">
        <v>0.36458333333333331</v>
      </c>
      <c r="J112" s="3">
        <v>0.37847222222222227</v>
      </c>
      <c r="K112">
        <v>1194</v>
      </c>
      <c r="L112">
        <v>1151</v>
      </c>
      <c r="M112">
        <v>1200</v>
      </c>
      <c r="N112">
        <f>444/L112*1200</f>
        <v>462.90182450043437</v>
      </c>
      <c r="O112">
        <v>202.26</v>
      </c>
      <c r="P112">
        <f>296/L112*1200</f>
        <v>308.60121633362292</v>
      </c>
      <c r="Q112">
        <v>17.72</v>
      </c>
      <c r="R112">
        <v>208.51</v>
      </c>
      <c r="S112">
        <v>1200</v>
      </c>
      <c r="T112">
        <v>0</v>
      </c>
      <c r="U112">
        <v>948.74</v>
      </c>
      <c r="V112">
        <v>251.26</v>
      </c>
      <c r="W112">
        <v>251.26</v>
      </c>
      <c r="X112">
        <v>948.74</v>
      </c>
      <c r="Y112">
        <v>0</v>
      </c>
      <c r="Z112">
        <v>0</v>
      </c>
      <c r="AA112">
        <v>0</v>
      </c>
      <c r="AB112">
        <f>N112/1200</f>
        <v>0.38575152041702865</v>
      </c>
      <c r="AC112">
        <f>O112/1200</f>
        <v>0.16855000000000001</v>
      </c>
      <c r="AD112">
        <f>P112/1200</f>
        <v>0.25716768027801912</v>
      </c>
      <c r="AE112">
        <f>Q112/1200</f>
        <v>1.4766666666666666E-2</v>
      </c>
      <c r="AF112">
        <f>R112/1200</f>
        <v>0.17375833333333332</v>
      </c>
      <c r="AG112">
        <f>S112/1200</f>
        <v>1</v>
      </c>
      <c r="AH112">
        <v>1</v>
      </c>
      <c r="AI112">
        <v>0</v>
      </c>
      <c r="AJ112">
        <v>0</v>
      </c>
      <c r="AK112">
        <v>0.79</v>
      </c>
      <c r="AL112">
        <v>0.21</v>
      </c>
      <c r="AM112">
        <v>0.21</v>
      </c>
      <c r="AN112">
        <v>0.79</v>
      </c>
      <c r="AO112">
        <v>0</v>
      </c>
      <c r="AP112">
        <v>0</v>
      </c>
      <c r="AQ112">
        <v>0</v>
      </c>
      <c r="AR112">
        <v>0</v>
      </c>
      <c r="AS112">
        <v>26.6</v>
      </c>
      <c r="AT112">
        <v>5.2935809999999996</v>
      </c>
      <c r="AU112">
        <v>3.2783784050000002</v>
      </c>
      <c r="AV112">
        <v>1.4</v>
      </c>
      <c r="AW112">
        <v>32.200000000000003</v>
      </c>
      <c r="AX112">
        <v>24.8</v>
      </c>
      <c r="AY112">
        <v>24.3</v>
      </c>
      <c r="AZ112">
        <v>22.5</v>
      </c>
      <c r="BA112">
        <v>25.9</v>
      </c>
      <c r="BB112">
        <v>1023</v>
      </c>
      <c r="BC112">
        <v>13.6</v>
      </c>
      <c r="BD112">
        <v>4.83</v>
      </c>
      <c r="BE112">
        <v>0.92683510400000002</v>
      </c>
      <c r="BF112">
        <v>0.4</v>
      </c>
      <c r="BG112">
        <v>30.6</v>
      </c>
      <c r="BH112">
        <v>9.6300000000000008</v>
      </c>
      <c r="BI112">
        <v>12.2</v>
      </c>
      <c r="BJ112">
        <v>8.3000000000000007</v>
      </c>
      <c r="BK112">
        <v>12.83</v>
      </c>
      <c r="BL112">
        <v>621.66999999999996</v>
      </c>
    </row>
    <row r="113" spans="1:64" ht="15.75" customHeight="1" x14ac:dyDescent="0.2">
      <c r="A113" s="1">
        <v>43036</v>
      </c>
      <c r="B113" t="s">
        <v>81</v>
      </c>
      <c r="C113">
        <v>5</v>
      </c>
      <c r="D113" t="s">
        <v>63</v>
      </c>
      <c r="E113" t="s">
        <v>83</v>
      </c>
      <c r="F113" t="s">
        <v>69</v>
      </c>
      <c r="G113" s="2">
        <v>0.70893518518518517</v>
      </c>
      <c r="H113">
        <v>0.71</v>
      </c>
      <c r="I113" s="3">
        <v>0.70833333333333337</v>
      </c>
      <c r="J113" s="3">
        <v>0.72222222222222221</v>
      </c>
      <c r="K113">
        <v>1196</v>
      </c>
      <c r="L113">
        <v>991</v>
      </c>
      <c r="M113">
        <v>1200</v>
      </c>
      <c r="N113">
        <v>0</v>
      </c>
      <c r="O113">
        <v>0</v>
      </c>
      <c r="P113">
        <v>21.8</v>
      </c>
      <c r="Q113">
        <v>0</v>
      </c>
      <c r="R113">
        <v>1178.2</v>
      </c>
      <c r="S113">
        <v>1200</v>
      </c>
      <c r="T113">
        <v>0</v>
      </c>
      <c r="U113">
        <v>0</v>
      </c>
      <c r="V113">
        <v>1200</v>
      </c>
      <c r="W113">
        <v>1200</v>
      </c>
      <c r="X113">
        <v>0</v>
      </c>
      <c r="Y113">
        <v>0</v>
      </c>
      <c r="Z113">
        <v>0</v>
      </c>
      <c r="AA113">
        <v>0</v>
      </c>
      <c r="AB113">
        <f>N113/1200</f>
        <v>0</v>
      </c>
      <c r="AC113">
        <f>O113/1200</f>
        <v>0</v>
      </c>
      <c r="AD113">
        <f>P113/1200</f>
        <v>1.8166666666666668E-2</v>
      </c>
      <c r="AE113">
        <f>Q113/1200</f>
        <v>0</v>
      </c>
      <c r="AF113">
        <f>R113/1200</f>
        <v>0.98183333333333334</v>
      </c>
      <c r="AG113">
        <f>S113/1200</f>
        <v>1</v>
      </c>
      <c r="AH113">
        <v>1</v>
      </c>
      <c r="AI113">
        <v>0</v>
      </c>
      <c r="AJ113">
        <v>0</v>
      </c>
      <c r="AK113">
        <v>0</v>
      </c>
      <c r="AL113">
        <v>1</v>
      </c>
      <c r="AM113">
        <v>1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29.6</v>
      </c>
      <c r="AT113">
        <v>4.489446</v>
      </c>
      <c r="AU113">
        <v>3.8062265740000001</v>
      </c>
      <c r="AV113">
        <v>-0.3</v>
      </c>
      <c r="AW113">
        <v>29</v>
      </c>
      <c r="AX113">
        <v>29.4</v>
      </c>
      <c r="AY113">
        <v>27.5</v>
      </c>
      <c r="AZ113">
        <v>27.4</v>
      </c>
      <c r="BA113">
        <v>31.8</v>
      </c>
      <c r="BB113">
        <v>1029</v>
      </c>
      <c r="BC113">
        <v>29</v>
      </c>
      <c r="BD113">
        <v>2.3199999999999998</v>
      </c>
      <c r="BE113">
        <v>3.6768521569999999</v>
      </c>
      <c r="BF113">
        <v>-8.6300000000000008</v>
      </c>
      <c r="BG113">
        <v>8.57</v>
      </c>
      <c r="BH113">
        <v>29</v>
      </c>
      <c r="BI113">
        <v>26.97</v>
      </c>
      <c r="BJ113">
        <v>26.97</v>
      </c>
      <c r="BK113">
        <v>30.83</v>
      </c>
      <c r="BL113">
        <v>389</v>
      </c>
    </row>
    <row r="114" spans="1:64" ht="15.75" customHeight="1" x14ac:dyDescent="0.2">
      <c r="A114" s="1">
        <v>43037</v>
      </c>
      <c r="B114" t="s">
        <v>62</v>
      </c>
      <c r="C114">
        <v>1</v>
      </c>
      <c r="D114" t="s">
        <v>76</v>
      </c>
      <c r="E114" t="s">
        <v>83</v>
      </c>
      <c r="F114" t="s">
        <v>69</v>
      </c>
      <c r="G114" s="2">
        <v>0.27188657407407407</v>
      </c>
      <c r="H114">
        <v>0.27</v>
      </c>
      <c r="I114" s="3">
        <v>0.27430555555555552</v>
      </c>
      <c r="J114" s="3">
        <v>0.28819444444444448</v>
      </c>
      <c r="K114">
        <v>1191</v>
      </c>
      <c r="L114">
        <v>1191</v>
      </c>
      <c r="M114">
        <v>1200</v>
      </c>
      <c r="N114">
        <f>741/L114*1200</f>
        <v>746.59949622166255</v>
      </c>
      <c r="O114">
        <v>73.55</v>
      </c>
      <c r="P114">
        <f>164/L114*1200</f>
        <v>165.23929471032744</v>
      </c>
      <c r="Q114">
        <v>0</v>
      </c>
      <c r="R114">
        <v>214.61</v>
      </c>
      <c r="S114">
        <v>1200</v>
      </c>
      <c r="T114">
        <v>0</v>
      </c>
      <c r="U114">
        <v>967.25</v>
      </c>
      <c r="V114">
        <v>232.75</v>
      </c>
      <c r="W114">
        <v>232.75</v>
      </c>
      <c r="X114">
        <v>967.25</v>
      </c>
      <c r="Y114">
        <v>0</v>
      </c>
      <c r="Z114">
        <v>0</v>
      </c>
      <c r="AA114">
        <v>0</v>
      </c>
      <c r="AB114">
        <f>N114/1200</f>
        <v>0.62216624685138544</v>
      </c>
      <c r="AC114">
        <f>O114/1200</f>
        <v>6.1291666666666661E-2</v>
      </c>
      <c r="AD114">
        <f>P114/1200</f>
        <v>0.13769941225860621</v>
      </c>
      <c r="AE114">
        <f>Q114/1200</f>
        <v>0</v>
      </c>
      <c r="AF114">
        <f>R114/1200</f>
        <v>0.17884166666666668</v>
      </c>
      <c r="AG114">
        <f>S114/1200</f>
        <v>1</v>
      </c>
      <c r="AH114">
        <v>1</v>
      </c>
      <c r="AI114">
        <v>0</v>
      </c>
      <c r="AJ114">
        <v>0</v>
      </c>
      <c r="AK114">
        <v>0.81</v>
      </c>
      <c r="AL114">
        <v>0.19</v>
      </c>
      <c r="AM114">
        <v>0.19</v>
      </c>
      <c r="AN114">
        <v>0.81</v>
      </c>
      <c r="AO114">
        <v>0</v>
      </c>
      <c r="AP114">
        <v>0</v>
      </c>
      <c r="AQ114">
        <v>0</v>
      </c>
      <c r="AR114">
        <v>0</v>
      </c>
      <c r="AS114">
        <v>34.9</v>
      </c>
      <c r="AT114">
        <v>10.888579999999999</v>
      </c>
      <c r="AU114">
        <v>4.3397455760000003</v>
      </c>
      <c r="AV114">
        <v>12.8</v>
      </c>
      <c r="AW114">
        <v>25.7</v>
      </c>
      <c r="AX114">
        <v>34.9</v>
      </c>
      <c r="AY114">
        <v>33.6</v>
      </c>
      <c r="AZ114">
        <v>33.6</v>
      </c>
      <c r="BA114">
        <v>38.5</v>
      </c>
      <c r="BB114">
        <v>980</v>
      </c>
      <c r="BC114">
        <v>19.93333333</v>
      </c>
      <c r="BD114">
        <v>4.6500000000000004</v>
      </c>
      <c r="BE114">
        <v>1.7053756170000001</v>
      </c>
      <c r="BF114">
        <v>0.1</v>
      </c>
      <c r="BG114">
        <v>17.170000000000002</v>
      </c>
      <c r="BH114">
        <v>18.57</v>
      </c>
      <c r="BI114">
        <v>17.670000000000002</v>
      </c>
      <c r="BJ114">
        <v>16.3</v>
      </c>
      <c r="BK114">
        <v>14.13</v>
      </c>
      <c r="BL114">
        <v>1</v>
      </c>
    </row>
    <row r="115" spans="1:64" s="5" customFormat="1" ht="15.75" customHeight="1" x14ac:dyDescent="0.2">
      <c r="A115" s="1">
        <v>43037</v>
      </c>
      <c r="B115" t="s">
        <v>62</v>
      </c>
      <c r="C115">
        <v>2</v>
      </c>
      <c r="D115" t="s">
        <v>76</v>
      </c>
      <c r="E115" t="s">
        <v>83</v>
      </c>
      <c r="F115" t="s">
        <v>69</v>
      </c>
      <c r="G115" s="2">
        <v>0.39858796296296295</v>
      </c>
      <c r="H115">
        <v>0.4</v>
      </c>
      <c r="I115" s="3">
        <v>0.39930555555555558</v>
      </c>
      <c r="J115" s="3">
        <v>0.41319444444444442</v>
      </c>
      <c r="K115">
        <v>1196</v>
      </c>
      <c r="L115">
        <v>1196</v>
      </c>
      <c r="M115">
        <v>1200</v>
      </c>
      <c r="N115">
        <v>611.04</v>
      </c>
      <c r="O115">
        <v>0</v>
      </c>
      <c r="P115">
        <v>327.08999999999997</v>
      </c>
      <c r="Q115">
        <v>0</v>
      </c>
      <c r="R115">
        <v>261.87</v>
      </c>
      <c r="S115">
        <v>1200</v>
      </c>
      <c r="T115">
        <v>0</v>
      </c>
      <c r="U115">
        <v>944.15</v>
      </c>
      <c r="V115">
        <v>255.85</v>
      </c>
      <c r="W115">
        <v>255.85</v>
      </c>
      <c r="X115">
        <v>944.15</v>
      </c>
      <c r="Y115">
        <v>0</v>
      </c>
      <c r="Z115">
        <v>0</v>
      </c>
      <c r="AA115">
        <v>0</v>
      </c>
      <c r="AB115">
        <f>N115/1200</f>
        <v>0.50919999999999999</v>
      </c>
      <c r="AC115">
        <f>O115/1200</f>
        <v>0</v>
      </c>
      <c r="AD115">
        <f>P115/1200</f>
        <v>0.27257499999999996</v>
      </c>
      <c r="AE115">
        <f>Q115/1200</f>
        <v>0</v>
      </c>
      <c r="AF115">
        <f>R115/1200</f>
        <v>0.218225</v>
      </c>
      <c r="AG115">
        <f>S115/1200</f>
        <v>1</v>
      </c>
      <c r="AH115">
        <v>1</v>
      </c>
      <c r="AI115">
        <v>0</v>
      </c>
      <c r="AJ115">
        <v>0</v>
      </c>
      <c r="AK115">
        <v>0.79</v>
      </c>
      <c r="AL115">
        <v>0.21</v>
      </c>
      <c r="AM115">
        <v>0.21</v>
      </c>
      <c r="AN115">
        <v>0.79</v>
      </c>
      <c r="AO115">
        <v>0</v>
      </c>
      <c r="AP115">
        <v>0</v>
      </c>
      <c r="AQ115">
        <v>0</v>
      </c>
      <c r="AR115">
        <v>0</v>
      </c>
      <c r="AS115">
        <v>34.9</v>
      </c>
      <c r="AT115">
        <v>10.888579999999999</v>
      </c>
      <c r="AU115">
        <v>4.3397455760000003</v>
      </c>
      <c r="AV115">
        <v>12.8</v>
      </c>
      <c r="AW115">
        <v>25.7</v>
      </c>
      <c r="AX115">
        <v>34.9</v>
      </c>
      <c r="AY115">
        <v>33.6</v>
      </c>
      <c r="AZ115">
        <v>33.6</v>
      </c>
      <c r="BA115">
        <v>38.5</v>
      </c>
      <c r="BB115">
        <v>980</v>
      </c>
      <c r="BC115">
        <v>25.033333330000001</v>
      </c>
      <c r="BD115">
        <v>10.75</v>
      </c>
      <c r="BE115">
        <v>1.709552569</v>
      </c>
      <c r="BF115">
        <v>12.6</v>
      </c>
      <c r="BG115">
        <v>25.17</v>
      </c>
      <c r="BH115">
        <v>22.97</v>
      </c>
      <c r="BI115">
        <v>24.8</v>
      </c>
      <c r="BJ115">
        <v>22.77</v>
      </c>
      <c r="BK115">
        <v>27.7</v>
      </c>
      <c r="BL115">
        <v>519.33000000000004</v>
      </c>
    </row>
    <row r="116" spans="1:64" s="5" customFormat="1" ht="15.75" customHeight="1" x14ac:dyDescent="0.2">
      <c r="A116" s="1">
        <v>43040</v>
      </c>
      <c r="B116" t="s">
        <v>62</v>
      </c>
      <c r="C116">
        <v>1</v>
      </c>
      <c r="D116" t="s">
        <v>76</v>
      </c>
      <c r="E116" t="s">
        <v>84</v>
      </c>
      <c r="F116" t="s">
        <v>69</v>
      </c>
      <c r="G116" s="2">
        <v>0.27925925925925926</v>
      </c>
      <c r="H116">
        <v>0.28000000000000003</v>
      </c>
      <c r="I116" s="3">
        <v>0.27777777777777779</v>
      </c>
      <c r="J116" s="3">
        <v>0.29166666666666669</v>
      </c>
      <c r="K116">
        <v>1194</v>
      </c>
      <c r="L116">
        <v>1119</v>
      </c>
      <c r="M116">
        <v>1200</v>
      </c>
      <c r="N116">
        <v>334.58</v>
      </c>
      <c r="O116">
        <v>0</v>
      </c>
      <c r="P116">
        <v>449.33</v>
      </c>
      <c r="Q116">
        <v>0</v>
      </c>
      <c r="R116">
        <v>416.09</v>
      </c>
      <c r="S116">
        <v>1200</v>
      </c>
      <c r="T116">
        <v>0</v>
      </c>
      <c r="U116">
        <v>726.01</v>
      </c>
      <c r="V116">
        <v>473.99</v>
      </c>
      <c r="W116">
        <v>473.99</v>
      </c>
      <c r="X116">
        <v>726.01</v>
      </c>
      <c r="Y116">
        <v>0</v>
      </c>
      <c r="Z116">
        <v>0</v>
      </c>
      <c r="AA116">
        <v>0</v>
      </c>
      <c r="AB116">
        <f>N116/1200</f>
        <v>0.27881666666666666</v>
      </c>
      <c r="AC116">
        <f>O116/1200</f>
        <v>0</v>
      </c>
      <c r="AD116">
        <f>P116/1200</f>
        <v>0.37444166666666667</v>
      </c>
      <c r="AE116">
        <f>Q116/1200</f>
        <v>0</v>
      </c>
      <c r="AF116">
        <f>R116/1200</f>
        <v>0.34674166666666667</v>
      </c>
      <c r="AG116">
        <f>S116/1200</f>
        <v>1</v>
      </c>
      <c r="AH116">
        <v>1</v>
      </c>
      <c r="AI116">
        <v>0</v>
      </c>
      <c r="AJ116">
        <v>0</v>
      </c>
      <c r="AK116">
        <v>0.61</v>
      </c>
      <c r="AL116">
        <v>0.39</v>
      </c>
      <c r="AM116">
        <v>0.39</v>
      </c>
      <c r="AN116">
        <v>0.61</v>
      </c>
      <c r="AO116">
        <v>0</v>
      </c>
      <c r="AP116">
        <v>0</v>
      </c>
      <c r="AQ116">
        <v>0</v>
      </c>
      <c r="AR116">
        <v>0</v>
      </c>
      <c r="AS116">
        <v>36</v>
      </c>
      <c r="AT116">
        <v>12.43486</v>
      </c>
      <c r="AU116">
        <v>4.5581004610000004</v>
      </c>
      <c r="AV116">
        <v>14.6</v>
      </c>
      <c r="AW116">
        <v>22.5</v>
      </c>
      <c r="AX116">
        <v>36</v>
      </c>
      <c r="AY116">
        <v>35.299999999999997</v>
      </c>
      <c r="AZ116">
        <v>35.299999999999997</v>
      </c>
      <c r="BA116">
        <v>39.9</v>
      </c>
      <c r="BB116">
        <v>974</v>
      </c>
      <c r="BC116">
        <v>23.43</v>
      </c>
      <c r="BD116">
        <v>11.67</v>
      </c>
      <c r="BE116">
        <v>1.3062989920000001</v>
      </c>
      <c r="BF116">
        <v>13.77</v>
      </c>
      <c r="BG116">
        <v>10.73</v>
      </c>
      <c r="BH116">
        <v>23.33</v>
      </c>
      <c r="BI116">
        <v>23.57</v>
      </c>
      <c r="BJ116">
        <v>23.47</v>
      </c>
      <c r="BK116">
        <v>21.57</v>
      </c>
      <c r="BL116">
        <v>0</v>
      </c>
    </row>
    <row r="117" spans="1:64" s="5" customFormat="1" ht="15.75" customHeight="1" x14ac:dyDescent="0.2">
      <c r="A117" s="1">
        <v>43040</v>
      </c>
      <c r="B117" t="s">
        <v>62</v>
      </c>
      <c r="C117">
        <v>1</v>
      </c>
      <c r="D117" t="s">
        <v>76</v>
      </c>
      <c r="E117" t="s">
        <v>85</v>
      </c>
      <c r="F117" t="s">
        <v>65</v>
      </c>
      <c r="G117" s="2">
        <v>0.29334490740740743</v>
      </c>
      <c r="H117">
        <v>0.28999999999999998</v>
      </c>
      <c r="I117" s="3">
        <v>0.29166666666666669</v>
      </c>
      <c r="J117" s="3">
        <v>0.30555555555555552</v>
      </c>
      <c r="K117">
        <v>1195</v>
      </c>
      <c r="L117">
        <v>1147</v>
      </c>
      <c r="M117">
        <v>1200</v>
      </c>
      <c r="N117">
        <v>0</v>
      </c>
      <c r="O117">
        <v>0</v>
      </c>
      <c r="P117">
        <v>102.53</v>
      </c>
      <c r="Q117">
        <v>0</v>
      </c>
      <c r="R117">
        <v>1097.47</v>
      </c>
      <c r="S117">
        <v>1200</v>
      </c>
      <c r="T117">
        <v>0</v>
      </c>
      <c r="U117">
        <v>129.72999999999999</v>
      </c>
      <c r="V117">
        <v>1070.27</v>
      </c>
      <c r="W117">
        <v>1070.27</v>
      </c>
      <c r="X117">
        <v>129.72999999999999</v>
      </c>
      <c r="Y117">
        <v>0</v>
      </c>
      <c r="Z117">
        <v>0</v>
      </c>
      <c r="AA117">
        <v>0</v>
      </c>
      <c r="AB117">
        <f>N117/1200</f>
        <v>0</v>
      </c>
      <c r="AC117">
        <f>O117/1200</f>
        <v>0</v>
      </c>
      <c r="AD117">
        <f>P117/1200</f>
        <v>8.5441666666666666E-2</v>
      </c>
      <c r="AE117">
        <f>Q117/1200</f>
        <v>0</v>
      </c>
      <c r="AF117">
        <f>R117/1200</f>
        <v>0.91455833333333336</v>
      </c>
      <c r="AG117">
        <f>S117/1200</f>
        <v>1</v>
      </c>
      <c r="AH117">
        <v>1</v>
      </c>
      <c r="AI117">
        <v>0</v>
      </c>
      <c r="AJ117">
        <v>0</v>
      </c>
      <c r="AK117">
        <v>0.11</v>
      </c>
      <c r="AL117">
        <v>0.89</v>
      </c>
      <c r="AM117">
        <v>0.89</v>
      </c>
      <c r="AN117">
        <v>0.11</v>
      </c>
      <c r="AO117">
        <v>0</v>
      </c>
      <c r="AP117">
        <v>0</v>
      </c>
      <c r="AQ117">
        <v>0</v>
      </c>
      <c r="AR117">
        <v>0</v>
      </c>
      <c r="AS117">
        <v>36</v>
      </c>
      <c r="AT117">
        <v>12.43486</v>
      </c>
      <c r="AU117">
        <v>4.5581004610000004</v>
      </c>
      <c r="AV117">
        <v>14.6</v>
      </c>
      <c r="AW117">
        <v>22.5</v>
      </c>
      <c r="AX117">
        <v>36</v>
      </c>
      <c r="AY117">
        <v>35.299999999999997</v>
      </c>
      <c r="AZ117">
        <v>35.299999999999997</v>
      </c>
      <c r="BA117">
        <v>39.9</v>
      </c>
      <c r="BB117">
        <v>974</v>
      </c>
      <c r="BC117">
        <v>23.77</v>
      </c>
      <c r="BD117">
        <v>11.68</v>
      </c>
      <c r="BE117">
        <v>1.360167804</v>
      </c>
      <c r="BF117">
        <v>13.8</v>
      </c>
      <c r="BG117">
        <v>9.67</v>
      </c>
      <c r="BH117">
        <v>23.67</v>
      </c>
      <c r="BI117">
        <v>23.93</v>
      </c>
      <c r="BJ117">
        <v>23.83</v>
      </c>
      <c r="BK117">
        <v>21.97</v>
      </c>
      <c r="BL117">
        <v>3</v>
      </c>
    </row>
    <row r="118" spans="1:64" s="5" customFormat="1" ht="15.75" customHeight="1" x14ac:dyDescent="0.2">
      <c r="A118" s="1">
        <v>43042</v>
      </c>
      <c r="B118" t="s">
        <v>62</v>
      </c>
      <c r="C118">
        <v>1</v>
      </c>
      <c r="D118" t="s">
        <v>63</v>
      </c>
      <c r="E118" t="s">
        <v>70</v>
      </c>
      <c r="F118" t="s">
        <v>65</v>
      </c>
      <c r="G118" s="2">
        <v>0.2804976851851852</v>
      </c>
      <c r="H118">
        <v>0.28000000000000003</v>
      </c>
      <c r="I118" s="3">
        <v>0.28125</v>
      </c>
      <c r="J118" s="3">
        <v>0.2951388888888889</v>
      </c>
      <c r="K118">
        <v>1194</v>
      </c>
      <c r="L118">
        <v>1194</v>
      </c>
      <c r="M118">
        <v>1200</v>
      </c>
      <c r="N118">
        <f>286/L118*1200</f>
        <v>287.43718592964825</v>
      </c>
      <c r="O118">
        <v>60.3</v>
      </c>
      <c r="P118">
        <f>190/L118*1200</f>
        <v>190.95477386934675</v>
      </c>
      <c r="Q118">
        <v>0</v>
      </c>
      <c r="R118">
        <v>661.31</v>
      </c>
      <c r="S118">
        <v>1200</v>
      </c>
      <c r="T118">
        <v>0</v>
      </c>
      <c r="U118">
        <v>768.84</v>
      </c>
      <c r="V118">
        <v>431.16</v>
      </c>
      <c r="W118">
        <v>431.16</v>
      </c>
      <c r="X118">
        <v>768.84</v>
      </c>
      <c r="Y118">
        <v>0</v>
      </c>
      <c r="Z118">
        <v>0</v>
      </c>
      <c r="AA118">
        <v>0</v>
      </c>
      <c r="AB118">
        <f>N118/1200</f>
        <v>0.23953098827470687</v>
      </c>
      <c r="AC118">
        <f>O118/1200</f>
        <v>5.0249999999999996E-2</v>
      </c>
      <c r="AD118">
        <f>P118/1200</f>
        <v>0.15912897822445563</v>
      </c>
      <c r="AE118">
        <f>Q118/1200</f>
        <v>0</v>
      </c>
      <c r="AF118">
        <f>R118/1200</f>
        <v>0.55109166666666665</v>
      </c>
      <c r="AG118">
        <f>S118/1200</f>
        <v>1</v>
      </c>
      <c r="AH118">
        <v>1</v>
      </c>
      <c r="AI118">
        <v>0</v>
      </c>
      <c r="AJ118">
        <v>0</v>
      </c>
      <c r="AK118">
        <v>0.64</v>
      </c>
      <c r="AL118">
        <v>0.36</v>
      </c>
      <c r="AM118">
        <v>0.36</v>
      </c>
      <c r="AN118">
        <v>0.64</v>
      </c>
      <c r="AO118">
        <v>0</v>
      </c>
      <c r="AP118">
        <v>0</v>
      </c>
      <c r="AQ118">
        <v>0</v>
      </c>
      <c r="AR118">
        <v>0</v>
      </c>
      <c r="AS118">
        <v>32.799999999999997</v>
      </c>
      <c r="AT118">
        <v>9.5451300000000003</v>
      </c>
      <c r="AU118">
        <v>4.3386181419999996</v>
      </c>
      <c r="AV118">
        <v>10.4</v>
      </c>
      <c r="AW118">
        <v>14.5</v>
      </c>
      <c r="AX118">
        <v>32.799999999999997</v>
      </c>
      <c r="AY118">
        <v>30.6</v>
      </c>
      <c r="AZ118">
        <v>30.6</v>
      </c>
      <c r="BA118">
        <v>36</v>
      </c>
      <c r="BB118">
        <v>1008</v>
      </c>
      <c r="BC118">
        <v>12.8</v>
      </c>
      <c r="BD118">
        <v>9.27</v>
      </c>
      <c r="BE118">
        <v>0.27142291699999999</v>
      </c>
      <c r="BF118">
        <v>9.73</v>
      </c>
      <c r="BG118">
        <v>8.57</v>
      </c>
      <c r="BH118">
        <v>12.2</v>
      </c>
      <c r="BI118">
        <v>12.67</v>
      </c>
      <c r="BJ118">
        <v>12.07</v>
      </c>
      <c r="BK118">
        <v>10.3</v>
      </c>
      <c r="BL118">
        <v>2.33</v>
      </c>
    </row>
    <row r="119" spans="1:64" ht="15.75" customHeight="1" x14ac:dyDescent="0.2">
      <c r="A119" s="1">
        <v>43042</v>
      </c>
      <c r="B119" t="s">
        <v>62</v>
      </c>
      <c r="C119">
        <v>2</v>
      </c>
      <c r="D119" t="s">
        <v>63</v>
      </c>
      <c r="E119" t="s">
        <v>70</v>
      </c>
      <c r="F119" t="s">
        <v>65</v>
      </c>
      <c r="G119" s="2">
        <v>0.33498842592592593</v>
      </c>
      <c r="H119">
        <v>0.33</v>
      </c>
      <c r="I119" s="3">
        <v>0.33333333333333331</v>
      </c>
      <c r="J119" s="3">
        <v>0.34722222222222227</v>
      </c>
      <c r="K119">
        <v>1194</v>
      </c>
      <c r="L119">
        <v>1175</v>
      </c>
      <c r="M119">
        <v>1200</v>
      </c>
      <c r="N119">
        <f>248/L119*1200</f>
        <v>253.27659574468083</v>
      </c>
      <c r="O119">
        <f>90/L119*1200</f>
        <v>91.914893617021278</v>
      </c>
      <c r="P119">
        <f>370/L119*1200</f>
        <v>377.87234042553195</v>
      </c>
      <c r="Q119">
        <v>0</v>
      </c>
      <c r="R119">
        <v>476.94</v>
      </c>
      <c r="S119">
        <v>1200</v>
      </c>
      <c r="T119">
        <v>0</v>
      </c>
      <c r="U119">
        <v>727.15</v>
      </c>
      <c r="V119">
        <v>472.85</v>
      </c>
      <c r="W119">
        <v>472.85</v>
      </c>
      <c r="X119">
        <v>727.15</v>
      </c>
      <c r="Y119">
        <v>0</v>
      </c>
      <c r="Z119">
        <v>0</v>
      </c>
      <c r="AA119">
        <v>0</v>
      </c>
      <c r="AB119">
        <f>N119/1200</f>
        <v>0.21106382978723404</v>
      </c>
      <c r="AC119">
        <f>O119/1200</f>
        <v>7.6595744680851063E-2</v>
      </c>
      <c r="AD119">
        <f>P119/1200</f>
        <v>0.31489361702127661</v>
      </c>
      <c r="AE119">
        <f>Q119/1200</f>
        <v>0</v>
      </c>
      <c r="AF119">
        <f>R119/1200</f>
        <v>0.39745000000000003</v>
      </c>
      <c r="AG119">
        <f>S119/1200</f>
        <v>1</v>
      </c>
      <c r="AH119">
        <v>1</v>
      </c>
      <c r="AI119">
        <v>0</v>
      </c>
      <c r="AJ119">
        <v>0</v>
      </c>
      <c r="AK119">
        <v>0.61</v>
      </c>
      <c r="AL119">
        <v>0.39</v>
      </c>
      <c r="AM119">
        <v>0.39</v>
      </c>
      <c r="AN119">
        <v>0.61</v>
      </c>
      <c r="AO119">
        <v>0</v>
      </c>
      <c r="AP119">
        <v>0</v>
      </c>
      <c r="AQ119">
        <v>0</v>
      </c>
      <c r="AR119">
        <v>0</v>
      </c>
      <c r="AS119">
        <v>32.799999999999997</v>
      </c>
      <c r="AT119">
        <v>9.5451300000000003</v>
      </c>
      <c r="AU119">
        <v>4.3386181419999996</v>
      </c>
      <c r="AV119">
        <v>10.4</v>
      </c>
      <c r="AW119">
        <v>14.5</v>
      </c>
      <c r="AX119">
        <v>32.799999999999997</v>
      </c>
      <c r="AY119">
        <v>30.6</v>
      </c>
      <c r="AZ119">
        <v>30.6</v>
      </c>
      <c r="BA119">
        <v>36</v>
      </c>
      <c r="BB119">
        <v>1008</v>
      </c>
      <c r="BC119">
        <v>14.07</v>
      </c>
      <c r="BD119">
        <v>9.4600000000000009</v>
      </c>
      <c r="BE119">
        <v>0.36860019599999999</v>
      </c>
      <c r="BF119">
        <v>10.1</v>
      </c>
      <c r="BG119">
        <v>14.5</v>
      </c>
      <c r="BH119">
        <v>12.53</v>
      </c>
      <c r="BI119">
        <v>13.9</v>
      </c>
      <c r="BJ119">
        <v>12.3</v>
      </c>
      <c r="BK119">
        <v>13.23</v>
      </c>
      <c r="BL119">
        <v>217</v>
      </c>
    </row>
    <row r="120" spans="1:64" ht="15.75" customHeight="1" x14ac:dyDescent="0.2">
      <c r="A120" s="1">
        <v>43044</v>
      </c>
      <c r="B120" t="s">
        <v>81</v>
      </c>
      <c r="C120">
        <v>6</v>
      </c>
      <c r="D120" t="s">
        <v>76</v>
      </c>
      <c r="E120" t="s">
        <v>68</v>
      </c>
      <c r="F120" t="s">
        <v>69</v>
      </c>
      <c r="G120" s="2">
        <v>0.77005787037037043</v>
      </c>
      <c r="H120">
        <v>0.77</v>
      </c>
      <c r="I120" s="3">
        <v>0.77083333333333337</v>
      </c>
      <c r="J120" s="3">
        <v>0.78472222222222221</v>
      </c>
      <c r="K120">
        <v>1195</v>
      </c>
      <c r="L120">
        <v>1169</v>
      </c>
      <c r="M120">
        <v>1200</v>
      </c>
      <c r="N120">
        <f>578/L120*1200</f>
        <v>593.3276304533789</v>
      </c>
      <c r="O120">
        <v>168.35</v>
      </c>
      <c r="P120">
        <f>366/L120*1200</f>
        <v>375.70573139435419</v>
      </c>
      <c r="Q120">
        <v>0</v>
      </c>
      <c r="R120">
        <v>62.62</v>
      </c>
      <c r="S120">
        <v>1200</v>
      </c>
      <c r="T120">
        <v>0</v>
      </c>
      <c r="U120">
        <v>1162.02</v>
      </c>
      <c r="V120">
        <v>37.979999999999997</v>
      </c>
      <c r="W120">
        <v>37.979999999999997</v>
      </c>
      <c r="X120">
        <v>1162.02</v>
      </c>
      <c r="Y120">
        <v>0</v>
      </c>
      <c r="Z120">
        <v>0</v>
      </c>
      <c r="AA120">
        <v>0</v>
      </c>
      <c r="AB120">
        <f>N120/1200</f>
        <v>0.4944396920444824</v>
      </c>
      <c r="AC120">
        <f>O120/1200</f>
        <v>0.14029166666666668</v>
      </c>
      <c r="AD120">
        <f>P120/1200</f>
        <v>0.31308810949529514</v>
      </c>
      <c r="AE120">
        <f>Q120/1200</f>
        <v>0</v>
      </c>
      <c r="AF120">
        <f>R120/1200</f>
        <v>5.2183333333333332E-2</v>
      </c>
      <c r="AG120">
        <f>S120/1200</f>
        <v>1</v>
      </c>
      <c r="AH120">
        <v>1</v>
      </c>
      <c r="AI120">
        <v>0</v>
      </c>
      <c r="AJ120">
        <v>0</v>
      </c>
      <c r="AK120">
        <v>0.97</v>
      </c>
      <c r="AL120">
        <v>0.03</v>
      </c>
      <c r="AM120">
        <v>0.03</v>
      </c>
      <c r="AN120">
        <v>0.97</v>
      </c>
      <c r="AO120">
        <v>0</v>
      </c>
      <c r="AP120">
        <v>0</v>
      </c>
      <c r="AQ120">
        <v>0</v>
      </c>
      <c r="AR120">
        <v>0</v>
      </c>
      <c r="AS120">
        <v>37.1</v>
      </c>
      <c r="AT120">
        <v>8.420083</v>
      </c>
      <c r="AU120">
        <v>5.7881672589999997</v>
      </c>
      <c r="AV120">
        <v>9</v>
      </c>
      <c r="AW120">
        <v>24.1</v>
      </c>
      <c r="AX120">
        <v>37.1</v>
      </c>
      <c r="AY120">
        <v>33.799999999999997</v>
      </c>
      <c r="AZ120">
        <v>3.8</v>
      </c>
      <c r="BA120">
        <v>38.4</v>
      </c>
      <c r="BB120">
        <v>1004</v>
      </c>
      <c r="BC120">
        <v>35.6</v>
      </c>
      <c r="BD120">
        <v>2.89</v>
      </c>
      <c r="BE120">
        <v>5.3884041460000001</v>
      </c>
      <c r="BF120">
        <v>-5.5</v>
      </c>
      <c r="BG120">
        <v>12.9</v>
      </c>
      <c r="BH120">
        <v>35.6</v>
      </c>
      <c r="BI120">
        <v>32.299999999999997</v>
      </c>
      <c r="BJ120">
        <v>32.299999999999997</v>
      </c>
      <c r="BK120">
        <v>35.369999999999997</v>
      </c>
      <c r="BL120">
        <v>275</v>
      </c>
    </row>
    <row r="121" spans="1:64" ht="15.75" customHeight="1" x14ac:dyDescent="0.2">
      <c r="A121" s="1">
        <v>43045</v>
      </c>
      <c r="B121" t="s">
        <v>62</v>
      </c>
      <c r="C121">
        <v>1</v>
      </c>
      <c r="D121" t="s">
        <v>63</v>
      </c>
      <c r="E121" t="s">
        <v>73</v>
      </c>
      <c r="F121" t="s">
        <v>65</v>
      </c>
      <c r="G121" s="2">
        <v>0.30431712962962965</v>
      </c>
      <c r="H121">
        <v>0.3</v>
      </c>
      <c r="I121" s="3">
        <v>0.30555555555555552</v>
      </c>
      <c r="J121" s="3">
        <v>0.31944444444444448</v>
      </c>
      <c r="K121">
        <v>1193</v>
      </c>
      <c r="L121">
        <v>1177</v>
      </c>
      <c r="M121">
        <v>1200</v>
      </c>
      <c r="N121">
        <v>290.57</v>
      </c>
      <c r="O121">
        <v>0</v>
      </c>
      <c r="P121">
        <v>494.48</v>
      </c>
      <c r="Q121">
        <v>20.39</v>
      </c>
      <c r="R121">
        <v>394.56</v>
      </c>
      <c r="S121">
        <v>1200</v>
      </c>
      <c r="T121">
        <v>0</v>
      </c>
      <c r="U121">
        <v>732.03</v>
      </c>
      <c r="V121">
        <v>467.97</v>
      </c>
      <c r="W121">
        <v>467.97</v>
      </c>
      <c r="X121">
        <v>732.03</v>
      </c>
      <c r="Y121">
        <v>0</v>
      </c>
      <c r="Z121">
        <v>0</v>
      </c>
      <c r="AA121">
        <v>0</v>
      </c>
      <c r="AB121">
        <f>N121/1200</f>
        <v>0.24214166666666667</v>
      </c>
      <c r="AC121">
        <f>O121/1200</f>
        <v>0</v>
      </c>
      <c r="AD121">
        <f>P121/1200</f>
        <v>0.41206666666666669</v>
      </c>
      <c r="AE121">
        <f>Q121/1200</f>
        <v>1.6991666666666669E-2</v>
      </c>
      <c r="AF121">
        <f>R121/1200</f>
        <v>0.32879999999999998</v>
      </c>
      <c r="AG121">
        <f>S121/1200</f>
        <v>1</v>
      </c>
      <c r="AH121">
        <v>1</v>
      </c>
      <c r="AI121">
        <v>0</v>
      </c>
      <c r="AJ121">
        <v>0</v>
      </c>
      <c r="AK121">
        <v>0.61</v>
      </c>
      <c r="AL121">
        <v>0.39</v>
      </c>
      <c r="AM121">
        <v>0.39</v>
      </c>
      <c r="AN121">
        <v>0.61</v>
      </c>
      <c r="AO121">
        <v>0</v>
      </c>
      <c r="AP121">
        <v>0</v>
      </c>
      <c r="AQ121">
        <v>0</v>
      </c>
      <c r="AR121">
        <v>0</v>
      </c>
      <c r="AS121">
        <v>35.799999999999997</v>
      </c>
      <c r="AT121">
        <v>5.9678500000000003</v>
      </c>
      <c r="AU121">
        <v>5.507345806</v>
      </c>
      <c r="AV121">
        <v>3.4</v>
      </c>
      <c r="AW121">
        <v>27.4</v>
      </c>
      <c r="AX121">
        <v>35.799999999999997</v>
      </c>
      <c r="AY121">
        <v>32.299999999999997</v>
      </c>
      <c r="AZ121">
        <v>32.299999999999997</v>
      </c>
      <c r="BA121">
        <v>37.1</v>
      </c>
      <c r="BB121">
        <v>1021</v>
      </c>
      <c r="BC121">
        <v>14.4</v>
      </c>
      <c r="BD121">
        <v>5.89</v>
      </c>
      <c r="BE121">
        <v>0.869715075</v>
      </c>
      <c r="BF121">
        <v>3.23</v>
      </c>
      <c r="BG121">
        <v>4.2699999999999996</v>
      </c>
      <c r="BH121">
        <v>14.4</v>
      </c>
      <c r="BI121">
        <v>13.2</v>
      </c>
      <c r="BJ121">
        <v>13.2</v>
      </c>
      <c r="BK121">
        <v>11.37</v>
      </c>
      <c r="BL121">
        <v>19.670000000000002</v>
      </c>
    </row>
    <row r="122" spans="1:64" ht="15.75" customHeight="1" x14ac:dyDescent="0.2">
      <c r="A122" s="1">
        <v>43054</v>
      </c>
      <c r="B122" t="s">
        <v>78</v>
      </c>
      <c r="C122">
        <v>4</v>
      </c>
      <c r="D122" t="s">
        <v>63</v>
      </c>
      <c r="E122" t="s">
        <v>67</v>
      </c>
      <c r="F122" t="s">
        <v>65</v>
      </c>
      <c r="G122" s="2">
        <v>0.61190972222222217</v>
      </c>
      <c r="H122">
        <v>0.61</v>
      </c>
      <c r="I122" s="3">
        <v>0.61111111111111105</v>
      </c>
      <c r="J122" s="3">
        <v>0.625</v>
      </c>
      <c r="K122">
        <v>1191</v>
      </c>
      <c r="L122">
        <v>1191</v>
      </c>
      <c r="M122">
        <v>1200</v>
      </c>
      <c r="N122">
        <v>0</v>
      </c>
      <c r="O122">
        <v>1200</v>
      </c>
      <c r="P122">
        <v>0</v>
      </c>
      <c r="Q122">
        <v>0</v>
      </c>
      <c r="R122">
        <v>0</v>
      </c>
      <c r="S122">
        <v>1200</v>
      </c>
      <c r="T122">
        <v>0</v>
      </c>
      <c r="U122">
        <v>1200</v>
      </c>
      <c r="V122">
        <v>0</v>
      </c>
      <c r="W122">
        <v>0</v>
      </c>
      <c r="X122">
        <v>1200</v>
      </c>
      <c r="Y122">
        <v>0</v>
      </c>
      <c r="Z122">
        <v>0</v>
      </c>
      <c r="AA122">
        <v>0</v>
      </c>
      <c r="AB122">
        <f>N122/1200</f>
        <v>0</v>
      </c>
      <c r="AC122">
        <f>O122/1200</f>
        <v>1</v>
      </c>
      <c r="AD122">
        <f>P122/1200</f>
        <v>0</v>
      </c>
      <c r="AE122">
        <f>Q122/1200</f>
        <v>0</v>
      </c>
      <c r="AF122">
        <f>R122/1200</f>
        <v>0</v>
      </c>
      <c r="AG122">
        <f>S122/1200</f>
        <v>1</v>
      </c>
      <c r="AH122">
        <v>1</v>
      </c>
      <c r="AI122">
        <v>0</v>
      </c>
      <c r="AJ122">
        <v>0</v>
      </c>
      <c r="AK122">
        <v>1</v>
      </c>
      <c r="AL122">
        <v>0</v>
      </c>
      <c r="AM122">
        <v>0</v>
      </c>
      <c r="AN122">
        <v>1</v>
      </c>
      <c r="AO122">
        <v>0</v>
      </c>
      <c r="AP122">
        <v>0</v>
      </c>
      <c r="AQ122">
        <v>0</v>
      </c>
      <c r="AR122">
        <v>0</v>
      </c>
      <c r="AS122">
        <v>24</v>
      </c>
      <c r="AT122">
        <v>7.5229059999999999</v>
      </c>
      <c r="AU122">
        <v>2.4419326770000001</v>
      </c>
      <c r="AV122">
        <v>6.5</v>
      </c>
      <c r="AW122">
        <v>24.1</v>
      </c>
      <c r="AX122">
        <v>23.7</v>
      </c>
      <c r="AY122">
        <v>22.6</v>
      </c>
      <c r="AZ122">
        <v>22.1</v>
      </c>
      <c r="BA122">
        <v>26.9</v>
      </c>
      <c r="BB122">
        <v>1018</v>
      </c>
      <c r="BC122">
        <v>22</v>
      </c>
      <c r="BD122">
        <v>4.9800000000000004</v>
      </c>
      <c r="BE122">
        <v>1.9713577609999999</v>
      </c>
      <c r="BF122">
        <v>1.23</v>
      </c>
      <c r="BG122">
        <v>11.3</v>
      </c>
      <c r="BH122">
        <v>21.9</v>
      </c>
      <c r="BI122">
        <v>20.100000000000001</v>
      </c>
      <c r="BJ122">
        <v>20</v>
      </c>
      <c r="BK122">
        <v>24.3</v>
      </c>
      <c r="BL122">
        <v>964</v>
      </c>
    </row>
    <row r="123" spans="1:64" ht="15.75" customHeight="1" x14ac:dyDescent="0.2">
      <c r="A123" s="1">
        <v>43058</v>
      </c>
      <c r="B123" t="s">
        <v>62</v>
      </c>
      <c r="C123">
        <v>1</v>
      </c>
      <c r="D123" t="s">
        <v>63</v>
      </c>
      <c r="E123" t="s">
        <v>67</v>
      </c>
      <c r="F123" t="s">
        <v>65</v>
      </c>
      <c r="G123" s="2">
        <v>0.31280092592592595</v>
      </c>
      <c r="H123">
        <v>0.31</v>
      </c>
      <c r="I123" s="3">
        <v>0.3125</v>
      </c>
      <c r="J123" s="3">
        <v>0.3263888888888889</v>
      </c>
      <c r="K123">
        <v>1195</v>
      </c>
      <c r="L123">
        <v>995</v>
      </c>
      <c r="M123">
        <v>1200</v>
      </c>
      <c r="N123">
        <f>611/L123*1200</f>
        <v>736.8844221105528</v>
      </c>
      <c r="O123">
        <v>18.09</v>
      </c>
      <c r="P123">
        <f>362/L123*1200</f>
        <v>436.58291457286435</v>
      </c>
      <c r="Q123">
        <v>0</v>
      </c>
      <c r="R123">
        <v>8.44</v>
      </c>
      <c r="S123">
        <v>1200</v>
      </c>
      <c r="T123">
        <v>0</v>
      </c>
      <c r="U123">
        <v>1166.23</v>
      </c>
      <c r="V123">
        <v>33.770000000000003</v>
      </c>
      <c r="W123">
        <v>33.770000000000003</v>
      </c>
      <c r="X123">
        <v>1166.23</v>
      </c>
      <c r="Y123">
        <v>0</v>
      </c>
      <c r="Z123">
        <v>0</v>
      </c>
      <c r="AA123">
        <v>0</v>
      </c>
      <c r="AB123">
        <f>N123/1200</f>
        <v>0.61407035175879399</v>
      </c>
      <c r="AC123">
        <f>O123/1200</f>
        <v>1.5075E-2</v>
      </c>
      <c r="AD123">
        <f>P123/1200</f>
        <v>0.36381909547738694</v>
      </c>
      <c r="AE123">
        <f>Q123/1200</f>
        <v>0</v>
      </c>
      <c r="AF123">
        <f>R123/1200</f>
        <v>7.0333333333333333E-3</v>
      </c>
      <c r="AG123">
        <f>S123/1200</f>
        <v>1</v>
      </c>
      <c r="AH123">
        <v>1</v>
      </c>
      <c r="AI123">
        <v>0</v>
      </c>
      <c r="AJ123">
        <v>0</v>
      </c>
      <c r="AK123">
        <v>0.97</v>
      </c>
      <c r="AL123">
        <v>0.03</v>
      </c>
      <c r="AM123">
        <v>0.03</v>
      </c>
      <c r="AN123">
        <v>0.97</v>
      </c>
      <c r="AO123">
        <v>0</v>
      </c>
      <c r="AP123">
        <v>0</v>
      </c>
      <c r="AQ123">
        <v>0</v>
      </c>
      <c r="AR123">
        <v>0</v>
      </c>
      <c r="AS123">
        <v>34.97</v>
      </c>
      <c r="AT123">
        <v>6.1542266039999998</v>
      </c>
      <c r="AU123">
        <v>5.1533175020000002</v>
      </c>
      <c r="AV123">
        <v>4.01</v>
      </c>
      <c r="AX123">
        <v>34.46</v>
      </c>
      <c r="AY123">
        <v>31.5</v>
      </c>
      <c r="AZ123">
        <v>31.46</v>
      </c>
      <c r="BC123">
        <v>13.8</v>
      </c>
      <c r="BD123">
        <v>5.8562636169999998</v>
      </c>
      <c r="BE123">
        <v>0.73617898400000004</v>
      </c>
      <c r="BF123">
        <v>3.29</v>
      </c>
      <c r="BH123">
        <v>13.914</v>
      </c>
      <c r="BI123">
        <v>12.003</v>
      </c>
      <c r="BJ123">
        <v>12.928000000000001</v>
      </c>
      <c r="BK123">
        <v>11.576000000000001</v>
      </c>
      <c r="BL123">
        <v>262.26</v>
      </c>
    </row>
  </sheetData>
  <sortState xmlns:xlrd2="http://schemas.microsoft.com/office/spreadsheetml/2017/richdata2" ref="A2:BL123">
    <sortCondition descending="1" ref="T2:T123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Behavioural_New1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Mr. R Kemp</cp:lastModifiedBy>
  <dcterms:created xsi:type="dcterms:W3CDTF">2019-08-14T10:27:43Z</dcterms:created>
  <dcterms:modified xsi:type="dcterms:W3CDTF">2024-02-26T05:32:52Z</dcterms:modified>
</cp:coreProperties>
</file>