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ynokemp/Desktop/7. Ryno PhD/1. Data submitted/Chapter 1/"/>
    </mc:Choice>
  </mc:AlternateContent>
  <xr:revisionPtr revIDLastSave="0" documentId="8_{AFF1FF62-8DCC-F14D-A184-64C0CDF83FE6}" xr6:coauthVersionLast="47" xr6:coauthVersionMax="47" xr10:uidLastSave="{00000000-0000-0000-0000-000000000000}"/>
  <bookViews>
    <workbookView xWindow="3660" yWindow="2660" windowWidth="27640" windowHeight="16940" xr2:uid="{1C9E828F-ECBB-2347-897E-BBCC6C13E7B2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1" l="1"/>
  <c r="E64" i="1" s="1"/>
  <c r="D62" i="1"/>
  <c r="E62" i="1" s="1"/>
  <c r="D60" i="1"/>
  <c r="E60" i="1" s="1"/>
  <c r="D55" i="1"/>
  <c r="E56" i="1" s="1"/>
  <c r="E53" i="1"/>
  <c r="N49" i="1"/>
  <c r="L49" i="1"/>
  <c r="M49" i="1" s="1"/>
  <c r="O49" i="1" s="1"/>
  <c r="N48" i="1"/>
  <c r="L48" i="1"/>
  <c r="M48" i="1" s="1"/>
  <c r="O48" i="1" s="1"/>
  <c r="N47" i="1"/>
  <c r="L47" i="1"/>
  <c r="M47" i="1" s="1"/>
  <c r="O47" i="1" s="1"/>
  <c r="D45" i="1"/>
  <c r="B45" i="1"/>
  <c r="B46" i="1" s="1"/>
  <c r="D43" i="1"/>
  <c r="D42" i="1"/>
  <c r="C41" i="1"/>
  <c r="B41" i="1"/>
  <c r="D40" i="1"/>
  <c r="B38" i="1"/>
  <c r="B35" i="1"/>
  <c r="B33" i="1"/>
  <c r="D33" i="1" s="1"/>
  <c r="E33" i="1" s="1"/>
  <c r="F33" i="1" s="1"/>
  <c r="H33" i="1" s="1"/>
  <c r="E32" i="1"/>
  <c r="F32" i="1" s="1"/>
  <c r="H32" i="1" s="1"/>
  <c r="D32" i="1"/>
  <c r="B31" i="1"/>
  <c r="D31" i="1" s="1"/>
  <c r="E31" i="1" s="1"/>
  <c r="F31" i="1" s="1"/>
  <c r="H31" i="1" s="1"/>
  <c r="C29" i="1"/>
  <c r="E28" i="1"/>
  <c r="C28" i="1"/>
  <c r="D28" i="1" s="1"/>
  <c r="B22" i="1"/>
  <c r="B23" i="1" s="1"/>
  <c r="I21" i="1"/>
  <c r="I22" i="1" s="1"/>
  <c r="H21" i="1"/>
  <c r="O20" i="1"/>
  <c r="K19" i="1"/>
  <c r="K20" i="1" s="1"/>
  <c r="C19" i="1"/>
  <c r="N17" i="1"/>
  <c r="M17" i="1"/>
  <c r="L17" i="1"/>
  <c r="M16" i="1"/>
  <c r="L16" i="1"/>
  <c r="N16" i="1" s="1"/>
  <c r="M15" i="1"/>
  <c r="L15" i="1"/>
  <c r="N15" i="1" s="1"/>
  <c r="J15" i="1"/>
  <c r="M14" i="1"/>
  <c r="J14" i="1"/>
  <c r="M13" i="1"/>
  <c r="J13" i="1"/>
  <c r="M12" i="1"/>
  <c r="L12" i="1"/>
  <c r="N12" i="1" s="1"/>
  <c r="J12" i="1"/>
  <c r="M11" i="1"/>
  <c r="L11" i="1"/>
  <c r="N11" i="1" s="1"/>
  <c r="J11" i="1"/>
  <c r="M10" i="1"/>
  <c r="L10" i="1"/>
  <c r="N10" i="1" s="1"/>
  <c r="J10" i="1"/>
  <c r="M9" i="1"/>
  <c r="L9" i="1"/>
  <c r="N9" i="1" s="1"/>
  <c r="J9" i="1"/>
  <c r="N8" i="1"/>
  <c r="M8" i="1"/>
  <c r="L8" i="1"/>
  <c r="J8" i="1"/>
  <c r="M7" i="1"/>
  <c r="N7" i="1" s="1"/>
  <c r="K7" i="1"/>
  <c r="M6" i="1"/>
  <c r="L6" i="1"/>
  <c r="N6" i="1" s="1"/>
  <c r="J6" i="1"/>
  <c r="M5" i="1"/>
  <c r="L5" i="1"/>
  <c r="N5" i="1" s="1"/>
  <c r="J5" i="1"/>
  <c r="M4" i="1"/>
  <c r="L4" i="1"/>
  <c r="N4" i="1" s="1"/>
  <c r="J4" i="1"/>
  <c r="M3" i="1"/>
  <c r="N3" i="1" s="1"/>
  <c r="L3" i="1"/>
  <c r="J3" i="1"/>
  <c r="M2" i="1"/>
  <c r="L2" i="1"/>
  <c r="N2" i="1" s="1"/>
  <c r="J2" i="1"/>
  <c r="E55" i="1" l="1"/>
</calcChain>
</file>

<file path=xl/sharedStrings.xml><?xml version="1.0" encoding="utf-8"?>
<sst xmlns="http://schemas.openxmlformats.org/spreadsheetml/2006/main" count="84" uniqueCount="68">
  <si>
    <t>Species</t>
  </si>
  <si>
    <t>Mass (g)</t>
  </si>
  <si>
    <t>sd</t>
  </si>
  <si>
    <t>n</t>
  </si>
  <si>
    <t>Tlc</t>
  </si>
  <si>
    <t>Tuc</t>
  </si>
  <si>
    <t>BMR (kj d-1[SD]</t>
  </si>
  <si>
    <t>Reynolds and Lee 1996</t>
  </si>
  <si>
    <t>BMR (W)</t>
  </si>
  <si>
    <t>EWL (g/day)</t>
  </si>
  <si>
    <t>EWL (g/hr</t>
  </si>
  <si>
    <t>Reference</t>
  </si>
  <si>
    <t>Hoopoe lark</t>
  </si>
  <si>
    <t>Alaemon alaudipes</t>
  </si>
  <si>
    <t>± 2.72g</t>
  </si>
  <si>
    <t>36.87 (3.97)</t>
  </si>
  <si>
    <t>D</t>
  </si>
  <si>
    <t>Tieleman et al. 2002</t>
  </si>
  <si>
    <t>Summer</t>
  </si>
  <si>
    <t>log BMR (W) = 1.311 + 0.635 log body mass</t>
  </si>
  <si>
    <t>Dunn's lark</t>
  </si>
  <si>
    <t>Eremalauda dunni</t>
  </si>
  <si>
    <t>± 1.60g</t>
  </si>
  <si>
    <t>24.01 (1.87)</t>
  </si>
  <si>
    <t>Skylark</t>
  </si>
  <si>
    <t>Alauda arvensis</t>
  </si>
  <si>
    <t>± 2.85g</t>
  </si>
  <si>
    <t>62.41 (8.43)</t>
  </si>
  <si>
    <t>M</t>
  </si>
  <si>
    <t>Woodlark</t>
  </si>
  <si>
    <t>Lullula arborea</t>
  </si>
  <si>
    <t>± 1.03g</t>
  </si>
  <si>
    <t>49.39 (9.96)</t>
  </si>
  <si>
    <t>Dune Lark</t>
  </si>
  <si>
    <t>± 1.18g</t>
  </si>
  <si>
    <t>Williams 1999</t>
  </si>
  <si>
    <t>Winter</t>
  </si>
  <si>
    <t>Red Lark</t>
  </si>
  <si>
    <t>± 2.12g (males</t>
  </si>
  <si>
    <t>27.373 (4.26)</t>
  </si>
  <si>
    <t>Current study</t>
  </si>
  <si>
    <t>Desert lark</t>
  </si>
  <si>
    <t>Black-crowned finchlark</t>
  </si>
  <si>
    <t>Crested lark</t>
  </si>
  <si>
    <t>Calandra lark</t>
  </si>
  <si>
    <t>Horned lark</t>
  </si>
  <si>
    <t>lesser short-toed lark</t>
  </si>
  <si>
    <t>short-toed lark</t>
  </si>
  <si>
    <t>spike-heeled lark</t>
  </si>
  <si>
    <t>Grey-backed finchlark</t>
  </si>
  <si>
    <t>Stark's lark</t>
  </si>
  <si>
    <t>Log(y)</t>
  </si>
  <si>
    <t>=</t>
  </si>
  <si>
    <t>mlog(x)</t>
  </si>
  <si>
    <t>+</t>
  </si>
  <si>
    <t>b</t>
  </si>
  <si>
    <t>y</t>
  </si>
  <si>
    <t>0.585*logm</t>
  </si>
  <si>
    <t>ml H20/day</t>
  </si>
  <si>
    <t>logy</t>
  </si>
  <si>
    <t xml:space="preserve">Normal </t>
  </si>
  <si>
    <t>Phylogenetic</t>
  </si>
  <si>
    <t>Mass</t>
  </si>
  <si>
    <t>mg/g/h</t>
  </si>
  <si>
    <t>mg/min</t>
  </si>
  <si>
    <t>Social weaver</t>
  </si>
  <si>
    <t>White-browed</t>
  </si>
  <si>
    <t>Scaly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</si>
</sst>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0000000"/>
  </numFmts>
  <fonts count="2" x14ac:knownFonts="1"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[1]Sheet1!$C$2:$C$17</c:f>
              <c:numCache>
                <c:formatCode>General</c:formatCode>
                <c:ptCount val="16"/>
                <c:pt idx="0">
                  <c:v>36.9</c:v>
                </c:pt>
                <c:pt idx="1">
                  <c:v>20.9</c:v>
                </c:pt>
                <c:pt idx="2">
                  <c:v>32</c:v>
                </c:pt>
                <c:pt idx="3">
                  <c:v>25.6</c:v>
                </c:pt>
                <c:pt idx="4">
                  <c:v>27.3</c:v>
                </c:pt>
                <c:pt idx="5">
                  <c:v>38.340000000000003</c:v>
                </c:pt>
                <c:pt idx="6">
                  <c:v>21.5</c:v>
                </c:pt>
                <c:pt idx="7">
                  <c:v>15.2</c:v>
                </c:pt>
                <c:pt idx="8">
                  <c:v>31.2</c:v>
                </c:pt>
                <c:pt idx="9">
                  <c:v>50.6</c:v>
                </c:pt>
                <c:pt idx="10">
                  <c:v>26</c:v>
                </c:pt>
                <c:pt idx="11">
                  <c:v>23.6</c:v>
                </c:pt>
                <c:pt idx="12">
                  <c:v>24</c:v>
                </c:pt>
                <c:pt idx="13">
                  <c:v>25.7</c:v>
                </c:pt>
                <c:pt idx="14">
                  <c:v>15.1</c:v>
                </c:pt>
                <c:pt idx="15">
                  <c:v>15.6</c:v>
                </c:pt>
              </c:numCache>
            </c:numRef>
          </c:xVal>
          <c:yVal>
            <c:numRef>
              <c:f>[1]Sheet1!$J$2:$J$17</c:f>
              <c:numCache>
                <c:formatCode>0.000</c:formatCode>
                <c:ptCount val="16"/>
                <c:pt idx="0">
                  <c:v>0.42673611111111109</c:v>
                </c:pt>
                <c:pt idx="1">
                  <c:v>0.27789351851851851</c:v>
                </c:pt>
                <c:pt idx="2">
                  <c:v>0.72233796296296293</c:v>
                </c:pt>
                <c:pt idx="3">
                  <c:v>0.57164351851851858</c:v>
                </c:pt>
                <c:pt idx="4">
                  <c:v>0.41666666666666669</c:v>
                </c:pt>
                <c:pt idx="5" formatCode="General">
                  <c:v>0.317</c:v>
                </c:pt>
                <c:pt idx="6">
                  <c:v>0.2326388888888889</c:v>
                </c:pt>
                <c:pt idx="7">
                  <c:v>0.19097222222222221</c:v>
                </c:pt>
                <c:pt idx="8">
                  <c:v>0.37268518518518523</c:v>
                </c:pt>
                <c:pt idx="9">
                  <c:v>0.57291666666666663</c:v>
                </c:pt>
                <c:pt idx="10">
                  <c:v>0.33101851851851855</c:v>
                </c:pt>
                <c:pt idx="11">
                  <c:v>0.36574074074074076</c:v>
                </c:pt>
                <c:pt idx="12">
                  <c:v>0.41203703703703709</c:v>
                </c:pt>
                <c:pt idx="13">
                  <c:v>0.33680555555555564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1C-BF46-BFCE-FB903F242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305408"/>
        <c:axId val="295305792"/>
      </c:scatterChart>
      <c:valAx>
        <c:axId val="295305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305792"/>
        <c:crosses val="autoZero"/>
        <c:crossBetween val="midCat"/>
      </c:valAx>
      <c:valAx>
        <c:axId val="29530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305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</xdr:colOff>
      <xdr:row>18</xdr:row>
      <xdr:rowOff>57150</xdr:rowOff>
    </xdr:from>
    <xdr:to>
      <xdr:col>15</xdr:col>
      <xdr:colOff>804862</xdr:colOff>
      <xdr:row>32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1E99AE-4834-7149-87F8-E1A0A3BC1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Untitled/7.%20Ryno%20PhD/1.%20Chapter%201%20-%20Thermal%20physiology%20of%20a%20range-restricted%20desert%20lark/Data/Original/Paper%20data.xlsx" TargetMode="External"/><Relationship Id="rId1" Type="http://schemas.openxmlformats.org/officeDocument/2006/relationships/externalLinkPath" Target="/Volumes/Untitled/7.%20Ryno%20PhD/1.%20Chapter%201%20-%20Thermal%20physiology%20of%20a%20range-restricted%20desert%20lark/Data/Original/Paper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3"/>
      <sheetName val="Sheet2"/>
      <sheetName val="BMR vs Mb"/>
      <sheetName val="Tb"/>
      <sheetName val="Sheet6"/>
    </sheetNames>
    <sheetDataSet>
      <sheetData sheetId="0">
        <row r="2">
          <cell r="C2">
            <v>36.9</v>
          </cell>
          <cell r="J2">
            <v>0.42673611111111109</v>
          </cell>
        </row>
        <row r="3">
          <cell r="C3">
            <v>20.9</v>
          </cell>
          <cell r="J3">
            <v>0.27789351851851851</v>
          </cell>
        </row>
        <row r="4">
          <cell r="C4">
            <v>32</v>
          </cell>
          <cell r="J4">
            <v>0.72233796296296293</v>
          </cell>
        </row>
        <row r="5">
          <cell r="C5">
            <v>25.6</v>
          </cell>
          <cell r="J5">
            <v>0.57164351851851858</v>
          </cell>
        </row>
        <row r="6">
          <cell r="C6">
            <v>27.3</v>
          </cell>
          <cell r="J6">
            <v>0.41666666666666669</v>
          </cell>
        </row>
        <row r="7">
          <cell r="C7">
            <v>38.340000000000003</v>
          </cell>
          <cell r="J7">
            <v>0.317</v>
          </cell>
        </row>
        <row r="8">
          <cell r="C8">
            <v>21.5</v>
          </cell>
          <cell r="J8">
            <v>0.2326388888888889</v>
          </cell>
        </row>
        <row r="9">
          <cell r="C9">
            <v>15.2</v>
          </cell>
          <cell r="J9">
            <v>0.19097222222222221</v>
          </cell>
        </row>
        <row r="10">
          <cell r="C10">
            <v>31.2</v>
          </cell>
          <cell r="J10">
            <v>0.37268518518518523</v>
          </cell>
        </row>
        <row r="11">
          <cell r="C11">
            <v>50.6</v>
          </cell>
          <cell r="J11">
            <v>0.57291666666666663</v>
          </cell>
        </row>
        <row r="12">
          <cell r="C12">
            <v>26</v>
          </cell>
          <cell r="J12">
            <v>0.33101851851851855</v>
          </cell>
        </row>
        <row r="13">
          <cell r="C13">
            <v>23.6</v>
          </cell>
          <cell r="J13">
            <v>0.36574074074074076</v>
          </cell>
        </row>
        <row r="14">
          <cell r="C14">
            <v>24</v>
          </cell>
          <cell r="J14">
            <v>0.41203703703703709</v>
          </cell>
        </row>
        <row r="15">
          <cell r="C15">
            <v>25.7</v>
          </cell>
          <cell r="J15">
            <v>0.33680555555555564</v>
          </cell>
        </row>
        <row r="16">
          <cell r="C16">
            <v>15.1</v>
          </cell>
        </row>
        <row r="17">
          <cell r="C17">
            <v>15.6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C3EC5-11C9-4047-BA70-E66C8DA4EA29}">
  <dimension ref="A1:T64"/>
  <sheetViews>
    <sheetView tabSelected="1" workbookViewId="0">
      <selection sqref="A1:XFD1048576"/>
    </sheetView>
  </sheetViews>
  <sheetFormatPr baseColWidth="10" defaultColWidth="9.1640625" defaultRowHeight="16" x14ac:dyDescent="0.2"/>
  <cols>
    <col min="1" max="1" width="22.5" style="2" bestFit="1" customWidth="1"/>
    <col min="2" max="2" width="18.33203125" style="2" bestFit="1" customWidth="1"/>
    <col min="3" max="3" width="8.5" style="2" bestFit="1" customWidth="1"/>
    <col min="4" max="4" width="13.5" style="2" bestFit="1" customWidth="1"/>
    <col min="5" max="5" width="8.5" style="2" bestFit="1" customWidth="1"/>
    <col min="6" max="6" width="7.1640625" style="2" bestFit="1" customWidth="1"/>
    <col min="7" max="7" width="9.5" style="2" customWidth="1"/>
    <col min="8" max="8" width="15" style="2" bestFit="1" customWidth="1"/>
    <col min="9" max="9" width="21.1640625" style="2" bestFit="1" customWidth="1"/>
    <col min="10" max="10" width="9" style="2" bestFit="1" customWidth="1"/>
    <col min="11" max="11" width="11" style="2" bestFit="1" customWidth="1"/>
    <col min="12" max="12" width="9.6640625" style="2" bestFit="1" customWidth="1"/>
    <col min="13" max="14" width="9" style="2" customWidth="1"/>
    <col min="15" max="15" width="9.1640625" style="2"/>
    <col min="16" max="16" width="18.83203125" style="2" bestFit="1" customWidth="1"/>
    <col min="17" max="19" width="9.1640625" style="2"/>
    <col min="20" max="20" width="38.5" style="2" bestFit="1" customWidth="1"/>
    <col min="21" max="16384" width="9.1640625" style="2"/>
  </cols>
  <sheetData>
    <row r="1" spans="1:20" x14ac:dyDescent="0.2">
      <c r="A1" s="1" t="s">
        <v>0</v>
      </c>
      <c r="B1" s="1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/>
      <c r="N1" s="1"/>
      <c r="O1" s="1"/>
      <c r="P1" s="1" t="s">
        <v>11</v>
      </c>
    </row>
    <row r="2" spans="1:20" x14ac:dyDescent="0.2">
      <c r="A2" s="2" t="s">
        <v>12</v>
      </c>
      <c r="B2" s="2" t="s">
        <v>13</v>
      </c>
      <c r="C2" s="2">
        <v>36.9</v>
      </c>
      <c r="D2" s="2" t="s">
        <v>14</v>
      </c>
      <c r="E2" s="2">
        <v>7</v>
      </c>
      <c r="F2" s="2">
        <v>32.700000000000003</v>
      </c>
      <c r="G2" s="2">
        <v>37.5</v>
      </c>
      <c r="H2" s="2" t="s">
        <v>15</v>
      </c>
      <c r="I2" s="3"/>
      <c r="J2" s="3">
        <f>((36.87/24)*1000)/3600</f>
        <v>0.42673611111111109</v>
      </c>
      <c r="K2" s="3">
        <v>2.59</v>
      </c>
      <c r="L2" s="3">
        <f t="shared" ref="L2:L5" si="0">K2/24</f>
        <v>0.10791666666666666</v>
      </c>
      <c r="M2" s="3">
        <f t="shared" ref="M2:M5" si="1">(10^(0.819*(LOG(C2))-0.752))/24</f>
        <v>0.14163916316021324</v>
      </c>
      <c r="N2" s="4">
        <f t="shared" ref="N2:N5" si="2">L2/M2</f>
        <v>0.76191262542689675</v>
      </c>
      <c r="O2" s="2" t="s">
        <v>16</v>
      </c>
      <c r="P2" s="2" t="s">
        <v>17</v>
      </c>
      <c r="R2" s="2" t="s">
        <v>18</v>
      </c>
      <c r="T2" s="2" t="s">
        <v>19</v>
      </c>
    </row>
    <row r="3" spans="1:20" x14ac:dyDescent="0.2">
      <c r="A3" s="2" t="s">
        <v>20</v>
      </c>
      <c r="B3" s="2" t="s">
        <v>21</v>
      </c>
      <c r="C3" s="2">
        <v>20.9</v>
      </c>
      <c r="D3" s="2" t="s">
        <v>22</v>
      </c>
      <c r="E3" s="2">
        <v>16</v>
      </c>
      <c r="F3" s="2">
        <v>31.5</v>
      </c>
      <c r="G3" s="2">
        <v>43.6</v>
      </c>
      <c r="H3" s="2" t="s">
        <v>23</v>
      </c>
      <c r="I3" s="3"/>
      <c r="J3" s="3">
        <f>((24.01/24)*1000)/3600</f>
        <v>0.27789351851851851</v>
      </c>
      <c r="K3" s="3">
        <v>1.69</v>
      </c>
      <c r="L3" s="3">
        <f t="shared" si="0"/>
        <v>7.0416666666666669E-2</v>
      </c>
      <c r="M3" s="3">
        <f t="shared" si="1"/>
        <v>8.8917770875008975E-2</v>
      </c>
      <c r="N3" s="4">
        <f t="shared" si="2"/>
        <v>0.79193018418838723</v>
      </c>
      <c r="O3" s="2" t="s">
        <v>16</v>
      </c>
      <c r="P3" s="2" t="s">
        <v>17</v>
      </c>
      <c r="R3" s="2" t="s">
        <v>18</v>
      </c>
    </row>
    <row r="4" spans="1:20" x14ac:dyDescent="0.2">
      <c r="A4" s="2" t="s">
        <v>24</v>
      </c>
      <c r="B4" s="2" t="s">
        <v>25</v>
      </c>
      <c r="C4" s="2">
        <v>32</v>
      </c>
      <c r="D4" s="2" t="s">
        <v>26</v>
      </c>
      <c r="E4" s="2">
        <v>15</v>
      </c>
      <c r="F4" s="2">
        <v>22.2</v>
      </c>
      <c r="G4" s="2">
        <v>35.1</v>
      </c>
      <c r="H4" s="2" t="s">
        <v>27</v>
      </c>
      <c r="I4" s="3"/>
      <c r="J4" s="3">
        <f>((62.41/24)*1000)/3600</f>
        <v>0.72233796296296293</v>
      </c>
      <c r="K4" s="3">
        <v>3.47</v>
      </c>
      <c r="L4" s="3">
        <f t="shared" si="0"/>
        <v>0.14458333333333334</v>
      </c>
      <c r="M4" s="3">
        <f t="shared" si="1"/>
        <v>0.12603947645696356</v>
      </c>
      <c r="N4" s="4">
        <f t="shared" si="2"/>
        <v>1.1471273715001635</v>
      </c>
      <c r="O4" s="2" t="s">
        <v>28</v>
      </c>
      <c r="P4" s="2" t="s">
        <v>17</v>
      </c>
      <c r="R4" s="2" t="s">
        <v>18</v>
      </c>
    </row>
    <row r="5" spans="1:20" x14ac:dyDescent="0.2">
      <c r="A5" s="2" t="s">
        <v>29</v>
      </c>
      <c r="B5" s="2" t="s">
        <v>30</v>
      </c>
      <c r="C5" s="2">
        <v>25.6</v>
      </c>
      <c r="D5" s="2" t="s">
        <v>31</v>
      </c>
      <c r="E5" s="2">
        <v>14</v>
      </c>
      <c r="F5" s="2">
        <v>27.6</v>
      </c>
      <c r="H5" s="2" t="s">
        <v>32</v>
      </c>
      <c r="I5" s="3"/>
      <c r="J5" s="3">
        <f>((49.39/24)*1000)/3600</f>
        <v>0.57164351851851858</v>
      </c>
      <c r="K5" s="3">
        <v>2.41</v>
      </c>
      <c r="L5" s="3">
        <f t="shared" si="0"/>
        <v>0.10041666666666667</v>
      </c>
      <c r="M5" s="3">
        <f t="shared" si="1"/>
        <v>0.10498742641613083</v>
      </c>
      <c r="N5" s="4">
        <f t="shared" si="2"/>
        <v>0.95646374136891987</v>
      </c>
      <c r="O5" s="2" t="s">
        <v>28</v>
      </c>
      <c r="P5" s="2" t="s">
        <v>17</v>
      </c>
      <c r="R5" s="2" t="s">
        <v>18</v>
      </c>
    </row>
    <row r="6" spans="1:20" x14ac:dyDescent="0.2">
      <c r="A6" s="2" t="s">
        <v>33</v>
      </c>
      <c r="C6" s="2">
        <v>27.3</v>
      </c>
      <c r="D6" s="2" t="s">
        <v>34</v>
      </c>
      <c r="E6" s="2">
        <v>12</v>
      </c>
      <c r="F6" s="2">
        <v>27.9</v>
      </c>
      <c r="G6" s="2">
        <v>35.1</v>
      </c>
      <c r="H6" s="2">
        <v>36</v>
      </c>
      <c r="I6" s="3"/>
      <c r="J6" s="3">
        <f>((36/24)*1000)/3600</f>
        <v>0.41666666666666669</v>
      </c>
      <c r="K6" s="3">
        <v>1.58</v>
      </c>
      <c r="L6" s="3">
        <f>K6/24</f>
        <v>6.5833333333333341E-2</v>
      </c>
      <c r="M6" s="3">
        <f>(10^(0.819*(LOG(C6))-0.752))/24</f>
        <v>0.11066389865666797</v>
      </c>
      <c r="N6" s="4">
        <f>L6/M6</f>
        <v>0.59489439765338148</v>
      </c>
      <c r="O6" s="2" t="s">
        <v>16</v>
      </c>
      <c r="P6" s="2" t="s">
        <v>35</v>
      </c>
      <c r="R6" s="2" t="s">
        <v>36</v>
      </c>
    </row>
    <row r="7" spans="1:20" x14ac:dyDescent="0.2">
      <c r="A7" s="2" t="s">
        <v>37</v>
      </c>
      <c r="C7" s="2">
        <v>38.340000000000003</v>
      </c>
      <c r="D7" s="2" t="s">
        <v>38</v>
      </c>
      <c r="E7" s="2">
        <v>52</v>
      </c>
      <c r="F7" s="2">
        <v>20.5</v>
      </c>
      <c r="G7" s="2">
        <v>36.6</v>
      </c>
      <c r="H7" s="2" t="s">
        <v>39</v>
      </c>
      <c r="I7" s="3"/>
      <c r="J7" s="2">
        <v>0.317</v>
      </c>
      <c r="K7" s="3">
        <f>L7*24</f>
        <v>5.7119999999999997</v>
      </c>
      <c r="L7" s="3">
        <v>0.23799999999999999</v>
      </c>
      <c r="M7" s="3">
        <f>(10^(0.819*(LOG(C7))-0.752))/24</f>
        <v>0.14615034173624283</v>
      </c>
      <c r="N7" s="4">
        <f t="shared" ref="N7:N17" si="3">L7/M7</f>
        <v>1.6284600991868907</v>
      </c>
      <c r="O7" s="2" t="s">
        <v>16</v>
      </c>
      <c r="P7" s="2" t="s">
        <v>40</v>
      </c>
      <c r="R7" s="2" t="s">
        <v>18</v>
      </c>
    </row>
    <row r="8" spans="1:20" x14ac:dyDescent="0.2">
      <c r="A8" s="2" t="s">
        <v>41</v>
      </c>
      <c r="C8" s="2">
        <v>21.5</v>
      </c>
      <c r="H8" s="2">
        <v>20.100000000000001</v>
      </c>
      <c r="I8" s="3"/>
      <c r="J8" s="3">
        <f t="shared" ref="J8:J15" si="4">((H8/24)*1000)/3600</f>
        <v>0.2326388888888889</v>
      </c>
      <c r="K8" s="3">
        <v>1.6</v>
      </c>
      <c r="L8" s="3">
        <f t="shared" ref="L8:L17" si="5">K8/24</f>
        <v>6.6666666666666666E-2</v>
      </c>
      <c r="M8" s="3">
        <f t="shared" ref="M8:M17" si="6">(10^(0.819*(LOG(C8))-0.752))/24</f>
        <v>9.1003030901956314E-2</v>
      </c>
      <c r="N8" s="4">
        <f t="shared" si="3"/>
        <v>0.73257633296292246</v>
      </c>
      <c r="O8" s="2" t="s">
        <v>16</v>
      </c>
    </row>
    <row r="9" spans="1:20" x14ac:dyDescent="0.2">
      <c r="A9" s="2" t="s">
        <v>42</v>
      </c>
      <c r="C9" s="2">
        <v>15.2</v>
      </c>
      <c r="H9" s="2">
        <v>16.5</v>
      </c>
      <c r="I9" s="3"/>
      <c r="J9" s="3">
        <f t="shared" si="4"/>
        <v>0.19097222222222221</v>
      </c>
      <c r="K9" s="3">
        <v>1.34</v>
      </c>
      <c r="L9" s="3">
        <f t="shared" si="5"/>
        <v>5.5833333333333339E-2</v>
      </c>
      <c r="M9" s="3">
        <f t="shared" si="6"/>
        <v>6.8504429959153082E-2</v>
      </c>
      <c r="N9" s="4">
        <f t="shared" si="3"/>
        <v>0.81503244923904783</v>
      </c>
      <c r="O9" s="2" t="s">
        <v>16</v>
      </c>
    </row>
    <row r="10" spans="1:20" x14ac:dyDescent="0.2">
      <c r="A10" s="2" t="s">
        <v>43</v>
      </c>
      <c r="C10" s="2">
        <v>31.2</v>
      </c>
      <c r="H10" s="2">
        <v>32.200000000000003</v>
      </c>
      <c r="I10" s="3"/>
      <c r="J10" s="3">
        <f t="shared" si="4"/>
        <v>0.37268518518518523</v>
      </c>
      <c r="K10" s="3">
        <v>2.44</v>
      </c>
      <c r="L10" s="3">
        <f t="shared" si="5"/>
        <v>0.10166666666666667</v>
      </c>
      <c r="M10" s="3">
        <f t="shared" si="6"/>
        <v>0.12345292117825031</v>
      </c>
      <c r="N10" s="4">
        <f t="shared" si="3"/>
        <v>0.8235258080274418</v>
      </c>
      <c r="O10" s="2" t="s">
        <v>16</v>
      </c>
    </row>
    <row r="11" spans="1:20" x14ac:dyDescent="0.2">
      <c r="A11" s="2" t="s">
        <v>44</v>
      </c>
      <c r="C11" s="2">
        <v>50.6</v>
      </c>
      <c r="H11" s="2">
        <v>49.5</v>
      </c>
      <c r="I11" s="3"/>
      <c r="J11" s="3">
        <f t="shared" si="4"/>
        <v>0.57291666666666663</v>
      </c>
      <c r="K11" s="3">
        <v>3.03</v>
      </c>
      <c r="L11" s="3">
        <f t="shared" si="5"/>
        <v>0.12625</v>
      </c>
      <c r="M11" s="3">
        <f t="shared" si="6"/>
        <v>0.18343746141659759</v>
      </c>
      <c r="N11" s="4">
        <f t="shared" si="3"/>
        <v>0.68824545992423325</v>
      </c>
    </row>
    <row r="12" spans="1:20" x14ac:dyDescent="0.2">
      <c r="A12" s="2" t="s">
        <v>45</v>
      </c>
      <c r="C12" s="2">
        <v>26</v>
      </c>
      <c r="H12" s="2">
        <v>28.6</v>
      </c>
      <c r="I12" s="3"/>
      <c r="J12" s="3">
        <f t="shared" si="4"/>
        <v>0.33101851851851855</v>
      </c>
      <c r="K12" s="3">
        <v>2.08</v>
      </c>
      <c r="L12" s="3">
        <f t="shared" si="5"/>
        <v>8.666666666666667E-2</v>
      </c>
      <c r="M12" s="3">
        <f t="shared" si="6"/>
        <v>0.10632904916728793</v>
      </c>
      <c r="N12" s="4">
        <f t="shared" si="3"/>
        <v>0.81507986148087952</v>
      </c>
    </row>
    <row r="13" spans="1:20" x14ac:dyDescent="0.2">
      <c r="A13" s="2" t="s">
        <v>46</v>
      </c>
      <c r="C13" s="2">
        <v>23.6</v>
      </c>
      <c r="H13" s="2">
        <v>31.6</v>
      </c>
      <c r="I13" s="3"/>
      <c r="J13" s="3">
        <f t="shared" si="4"/>
        <v>0.36574074074074076</v>
      </c>
      <c r="K13" s="3"/>
      <c r="L13" s="3"/>
      <c r="M13" s="3">
        <f t="shared" si="6"/>
        <v>9.8220850121884293E-2</v>
      </c>
      <c r="N13" s="4"/>
    </row>
    <row r="14" spans="1:20" x14ac:dyDescent="0.2">
      <c r="A14" s="2" t="s">
        <v>47</v>
      </c>
      <c r="C14" s="2">
        <v>24</v>
      </c>
      <c r="H14" s="2">
        <v>35.6</v>
      </c>
      <c r="I14" s="3"/>
      <c r="J14" s="3">
        <f t="shared" si="4"/>
        <v>0.41203703703703709</v>
      </c>
      <c r="K14" s="3"/>
      <c r="L14" s="3"/>
      <c r="M14" s="3">
        <f t="shared" si="6"/>
        <v>9.9582211153000366E-2</v>
      </c>
      <c r="N14" s="4"/>
    </row>
    <row r="15" spans="1:20" x14ac:dyDescent="0.2">
      <c r="A15" s="2" t="s">
        <v>48</v>
      </c>
      <c r="C15" s="2">
        <v>25.7</v>
      </c>
      <c r="H15" s="2">
        <v>29.1</v>
      </c>
      <c r="I15" s="3"/>
      <c r="J15" s="3">
        <f t="shared" si="4"/>
        <v>0.33680555555555564</v>
      </c>
      <c r="K15" s="3">
        <v>3.33</v>
      </c>
      <c r="L15" s="3">
        <f t="shared" si="5"/>
        <v>0.13875000000000001</v>
      </c>
      <c r="M15" s="3">
        <f t="shared" si="6"/>
        <v>0.10532318560340799</v>
      </c>
      <c r="N15" s="4">
        <f t="shared" si="3"/>
        <v>1.3173737501869713</v>
      </c>
    </row>
    <row r="16" spans="1:20" x14ac:dyDescent="0.2">
      <c r="A16" s="2" t="s">
        <v>49</v>
      </c>
      <c r="C16" s="2">
        <v>15.1</v>
      </c>
      <c r="K16" s="2">
        <v>1.31</v>
      </c>
      <c r="L16" s="3">
        <f t="shared" si="5"/>
        <v>5.4583333333333338E-2</v>
      </c>
      <c r="M16" s="3">
        <f t="shared" si="6"/>
        <v>6.8135096935064685E-2</v>
      </c>
      <c r="N16" s="4">
        <f t="shared" si="3"/>
        <v>0.80110450837625302</v>
      </c>
    </row>
    <row r="17" spans="1:15" x14ac:dyDescent="0.2">
      <c r="A17" s="2" t="s">
        <v>50</v>
      </c>
      <c r="C17" s="2">
        <v>15.6</v>
      </c>
      <c r="K17" s="2">
        <v>1.31</v>
      </c>
      <c r="L17" s="3">
        <f t="shared" si="5"/>
        <v>5.4583333333333338E-2</v>
      </c>
      <c r="M17" s="3">
        <f t="shared" si="6"/>
        <v>6.9977400328963935E-2</v>
      </c>
      <c r="N17" s="4">
        <f t="shared" si="3"/>
        <v>0.78001373410182362</v>
      </c>
    </row>
    <row r="19" spans="1:15" x14ac:dyDescent="0.2">
      <c r="C19" s="2">
        <f>188*17.4</f>
        <v>3271.2</v>
      </c>
      <c r="K19" s="3">
        <f>J2-J7</f>
        <v>0.10973611111111109</v>
      </c>
    </row>
    <row r="20" spans="1:15" x14ac:dyDescent="0.2">
      <c r="K20" s="4">
        <f>K19/J2</f>
        <v>0.25715215622457277</v>
      </c>
      <c r="O20" s="2">
        <f>24*60</f>
        <v>1440</v>
      </c>
    </row>
    <row r="21" spans="1:15" x14ac:dyDescent="0.2">
      <c r="B21" s="2">
        <v>13.4</v>
      </c>
      <c r="C21" s="2">
        <v>40</v>
      </c>
      <c r="H21" s="2">
        <f>43.6-36.6</f>
        <v>7</v>
      </c>
      <c r="I21" s="2">
        <f>16.5*1000</f>
        <v>16500</v>
      </c>
    </row>
    <row r="22" spans="1:15" x14ac:dyDescent="0.2">
      <c r="B22" s="2">
        <f>B21*C21</f>
        <v>536</v>
      </c>
      <c r="I22" s="2">
        <f>I21/(19.633*15.2)</f>
        <v>55.290903875590786</v>
      </c>
    </row>
    <row r="23" spans="1:15" x14ac:dyDescent="0.2">
      <c r="B23" s="2">
        <f>B22/1000</f>
        <v>0.53600000000000003</v>
      </c>
    </row>
    <row r="25" spans="1:15" x14ac:dyDescent="0.2">
      <c r="A25" s="2" t="s">
        <v>51</v>
      </c>
      <c r="B25" s="2" t="s">
        <v>52</v>
      </c>
      <c r="C25" s="2" t="s">
        <v>53</v>
      </c>
      <c r="D25" s="2" t="s">
        <v>54</v>
      </c>
      <c r="E25" s="2" t="s">
        <v>55</v>
      </c>
    </row>
    <row r="26" spans="1:15" x14ac:dyDescent="0.2">
      <c r="A26" s="3" t="s">
        <v>56</v>
      </c>
      <c r="C26" s="2" t="s">
        <v>57</v>
      </c>
      <c r="E26" s="2">
        <v>-0.36499999999999999</v>
      </c>
    </row>
    <row r="27" spans="1:15" x14ac:dyDescent="0.2">
      <c r="A27" s="5"/>
    </row>
    <row r="28" spans="1:15" x14ac:dyDescent="0.2">
      <c r="A28" s="2" t="s">
        <v>56</v>
      </c>
      <c r="B28" s="2" t="s">
        <v>52</v>
      </c>
      <c r="C28" s="2">
        <f>193^0.585</f>
        <v>21.729564670778011</v>
      </c>
      <c r="D28" s="2">
        <f>C28*E28</f>
        <v>9.3767216866033483</v>
      </c>
      <c r="E28" s="2">
        <f>10^(-0.365)</f>
        <v>0.43151907682776519</v>
      </c>
    </row>
    <row r="29" spans="1:15" x14ac:dyDescent="0.2">
      <c r="C29" s="2">
        <f>193^0.85*0.4315</f>
        <v>37.818518577263362</v>
      </c>
    </row>
    <row r="30" spans="1:15" x14ac:dyDescent="0.2">
      <c r="E30" s="2" t="s">
        <v>58</v>
      </c>
    </row>
    <row r="31" spans="1:15" x14ac:dyDescent="0.2">
      <c r="A31" s="2" t="s">
        <v>59</v>
      </c>
      <c r="B31" s="2">
        <f>0.75*(LOG(193))</f>
        <v>1.7141679817558304</v>
      </c>
      <c r="C31" s="2">
        <v>-0.754</v>
      </c>
      <c r="D31" s="2">
        <f>B31+C31</f>
        <v>0.9601679817558304</v>
      </c>
      <c r="E31" s="2">
        <f>10^D31</f>
        <v>9.1236366634509487</v>
      </c>
      <c r="F31" s="2">
        <f>E31/24</f>
        <v>0.38015152764378951</v>
      </c>
      <c r="G31" s="2">
        <v>0.71</v>
      </c>
      <c r="H31" s="4">
        <f>G31/F31</f>
        <v>1.8676763037114132</v>
      </c>
      <c r="I31" s="2" t="s">
        <v>60</v>
      </c>
    </row>
    <row r="32" spans="1:15" x14ac:dyDescent="0.2">
      <c r="C32" s="2">
        <v>-0.754</v>
      </c>
      <c r="D32" s="2">
        <f>B32+C32</f>
        <v>-0.754</v>
      </c>
      <c r="E32" s="2">
        <f>10^D32</f>
        <v>0.17619760464116288</v>
      </c>
      <c r="F32" s="2">
        <f>E32/24</f>
        <v>7.3415668600484534E-3</v>
      </c>
      <c r="G32" s="2">
        <v>0.71</v>
      </c>
      <c r="H32" s="4">
        <f>G32/F32</f>
        <v>96.709600761616443</v>
      </c>
      <c r="I32" s="2" t="s">
        <v>61</v>
      </c>
    </row>
    <row r="33" spans="2:15" x14ac:dyDescent="0.2">
      <c r="B33" s="2">
        <f>0.868*(LOG(38.32))</f>
        <v>1.374413334352848</v>
      </c>
      <c r="C33" s="2">
        <v>-0.86</v>
      </c>
      <c r="D33" s="2">
        <f>B33+C33</f>
        <v>0.51441333435284797</v>
      </c>
      <c r="E33" s="2">
        <f>10^D33</f>
        <v>3.2689880602482586</v>
      </c>
      <c r="F33" s="2">
        <f>E33/24</f>
        <v>0.13620783584367743</v>
      </c>
      <c r="G33" s="2">
        <v>0.23799999999999999</v>
      </c>
      <c r="H33" s="4">
        <f>G33/F33</f>
        <v>1.7473297224481787</v>
      </c>
    </row>
    <row r="35" spans="2:15" x14ac:dyDescent="0.2">
      <c r="B35" s="2">
        <f>LOG(193)</f>
        <v>2.2855573090077739</v>
      </c>
    </row>
    <row r="38" spans="2:15" x14ac:dyDescent="0.2">
      <c r="B38" s="2">
        <f>40.38-2.29*LOG(38)</f>
        <v>36.762295563747507</v>
      </c>
    </row>
    <row r="40" spans="2:15" x14ac:dyDescent="0.2">
      <c r="D40" s="2">
        <f>0.38*187%</f>
        <v>0.71060000000000001</v>
      </c>
    </row>
    <row r="41" spans="2:15" x14ac:dyDescent="0.2">
      <c r="B41" s="2">
        <f>1.153-(0.495*LOG(38.2))</f>
        <v>0.36987863535870424</v>
      </c>
      <c r="C41" s="2">
        <f>1.153-(0.495*LOG(193))</f>
        <v>2.1649132041152042E-2</v>
      </c>
    </row>
    <row r="42" spans="2:15" x14ac:dyDescent="0.2">
      <c r="B42" s="2">
        <v>2.0640000000000001</v>
      </c>
      <c r="C42" s="2">
        <v>2.3540000000000001</v>
      </c>
      <c r="D42" s="2">
        <f>0.38*(24)</f>
        <v>9.120000000000001</v>
      </c>
    </row>
    <row r="43" spans="2:15" x14ac:dyDescent="0.2">
      <c r="D43" s="2">
        <f>10^0.96016798</f>
        <v>9.1236366265645543</v>
      </c>
    </row>
    <row r="45" spans="2:15" x14ac:dyDescent="0.2">
      <c r="B45" s="2">
        <f>-0.365+(0.585*LOG(193))</f>
        <v>0.97205102576954761</v>
      </c>
      <c r="D45" s="2" t="e">
        <f>LN(-0.754)</f>
        <v>#NUM!</v>
      </c>
    </row>
    <row r="46" spans="2:15" x14ac:dyDescent="0.2">
      <c r="B46" s="2">
        <f>LN(B45)</f>
        <v>-2.8346980251863548E-2</v>
      </c>
      <c r="J46" s="2" t="s">
        <v>62</v>
      </c>
      <c r="K46" s="2" t="s">
        <v>63</v>
      </c>
      <c r="L46" s="2" t="s">
        <v>64</v>
      </c>
    </row>
    <row r="47" spans="2:15" x14ac:dyDescent="0.2">
      <c r="I47" s="2" t="s">
        <v>65</v>
      </c>
      <c r="J47" s="2">
        <v>25</v>
      </c>
      <c r="K47" s="2">
        <v>3.4</v>
      </c>
      <c r="L47" s="2">
        <f>J47*K47/60</f>
        <v>1.4166666666666667</v>
      </c>
      <c r="M47" s="2">
        <f>L47*60*(1/1000)</f>
        <v>8.5000000000000006E-2</v>
      </c>
      <c r="N47" s="3">
        <f>(10^(0.819*(LOG(J47))-0.752))/24</f>
        <v>0.10296784543718335</v>
      </c>
      <c r="O47" s="4">
        <f t="shared" ref="O47:O48" si="7">M47/N47</f>
        <v>0.82550042335162954</v>
      </c>
    </row>
    <row r="48" spans="2:15" x14ac:dyDescent="0.2">
      <c r="I48" s="2" t="s">
        <v>66</v>
      </c>
      <c r="J48" s="2">
        <v>40</v>
      </c>
      <c r="K48" s="2">
        <v>4.0999999999999996</v>
      </c>
      <c r="L48" s="2">
        <f t="shared" ref="L48:L49" si="8">J48*K48/60</f>
        <v>2.7333333333333334</v>
      </c>
      <c r="M48" s="2">
        <f t="shared" ref="M48:M49" si="9">L48*60*(1/1000)</f>
        <v>0.16400000000000001</v>
      </c>
      <c r="N48" s="3">
        <f t="shared" ref="N48:N49" si="10">(10^(0.819*(LOG(J48))-0.752))/24</f>
        <v>0.15131287781623981</v>
      </c>
      <c r="O48" s="4">
        <f t="shared" si="7"/>
        <v>1.0838469426189086</v>
      </c>
    </row>
    <row r="49" spans="4:15" x14ac:dyDescent="0.2">
      <c r="I49" s="2" t="s">
        <v>67</v>
      </c>
      <c r="J49" s="2">
        <v>10</v>
      </c>
      <c r="K49" s="2">
        <v>4</v>
      </c>
      <c r="L49" s="2">
        <f t="shared" si="8"/>
        <v>0.66666666666666663</v>
      </c>
      <c r="M49" s="2">
        <f t="shared" si="9"/>
        <v>0.04</v>
      </c>
      <c r="N49" s="3">
        <f t="shared" si="10"/>
        <v>4.8617067377540096E-2</v>
      </c>
      <c r="O49" s="4">
        <f>M49/N49</f>
        <v>0.82275633142115501</v>
      </c>
    </row>
    <row r="52" spans="4:15" x14ac:dyDescent="0.2">
      <c r="D52" s="2">
        <v>2.3540000000000001</v>
      </c>
    </row>
    <row r="53" spans="4:15" x14ac:dyDescent="0.2">
      <c r="D53" s="2">
        <v>1.0509999999999999</v>
      </c>
      <c r="E53" s="2">
        <f>D52/D53</f>
        <v>2.2397716460513797</v>
      </c>
    </row>
    <row r="54" spans="4:15" x14ac:dyDescent="0.2">
      <c r="D54" s="2">
        <v>2.0640000000000001</v>
      </c>
    </row>
    <row r="55" spans="4:15" x14ac:dyDescent="0.2">
      <c r="D55" s="3">
        <f>(10^(1.153-(0.495*(LOG(C7)))))</f>
        <v>2.3393338564283486</v>
      </c>
      <c r="E55" s="2">
        <f>D54/D55</f>
        <v>0.88230245303732613</v>
      </c>
    </row>
    <row r="56" spans="4:15" x14ac:dyDescent="0.2">
      <c r="E56" s="6">
        <f>(D55-D54)/D55</f>
        <v>0.11769754696267386</v>
      </c>
    </row>
    <row r="59" spans="4:15" x14ac:dyDescent="0.2">
      <c r="D59">
        <v>4.0199999999999996</v>
      </c>
    </row>
    <row r="60" spans="4:15" x14ac:dyDescent="0.2">
      <c r="D60" s="3">
        <f>(10^(1.153-(0.495*(LOG(40)))))</f>
        <v>2.2907637618881589</v>
      </c>
      <c r="E60" s="2">
        <f>D59/D60</f>
        <v>1.7548732291305849</v>
      </c>
    </row>
    <row r="61" spans="4:15" x14ac:dyDescent="0.2">
      <c r="D61" s="2">
        <v>5.05</v>
      </c>
    </row>
    <row r="62" spans="4:15" x14ac:dyDescent="0.2">
      <c r="D62" s="3">
        <f>(10^(1.153-(0.495*(LOG(20)))))</f>
        <v>3.228420914756192</v>
      </c>
      <c r="E62" s="2">
        <f>D61/D62</f>
        <v>1.5642322154827732</v>
      </c>
    </row>
    <row r="63" spans="4:15" x14ac:dyDescent="0.2">
      <c r="D63" s="2">
        <v>4.5199999999999996</v>
      </c>
    </row>
    <row r="64" spans="4:15" x14ac:dyDescent="0.2">
      <c r="D64" s="3">
        <f>(10^(1.153-(0.495*(LOG(10)))))</f>
        <v>4.5498806015004867</v>
      </c>
      <c r="E64" s="2">
        <f>D63/D64</f>
        <v>0.99343266249874052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R Kemp</dc:creator>
  <cp:lastModifiedBy>Mr. R Kemp</cp:lastModifiedBy>
  <dcterms:created xsi:type="dcterms:W3CDTF">2024-07-14T16:38:15Z</dcterms:created>
  <dcterms:modified xsi:type="dcterms:W3CDTF">2024-07-14T16:38:39Z</dcterms:modified>
</cp:coreProperties>
</file>