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botha\iCloudDrive\Botha Universiteit\Student Year 2024\Student Year 2024\Graaduation\Data Set\"/>
    </mc:Choice>
  </mc:AlternateContent>
  <xr:revisionPtr revIDLastSave="0" documentId="8_{A817AB99-8A7E-4F24-90C6-2A72C65EBCBA}" xr6:coauthVersionLast="47" xr6:coauthVersionMax="47" xr10:uidLastSave="{00000000-0000-0000-0000-000000000000}"/>
  <bookViews>
    <workbookView xWindow="-108" yWindow="-108" windowWidth="23256" windowHeight="12456" activeTab="7" xr2:uid="{AC736E72-409F-41C8-ABFA-E5749547F261}"/>
  </bookViews>
  <sheets>
    <sheet name="Software" sheetId="2" r:id="rId1"/>
    <sheet name="1" sheetId="3" r:id="rId2"/>
    <sheet name="2" sheetId="4" r:id="rId3"/>
    <sheet name="3" sheetId="6" r:id="rId4"/>
    <sheet name="4" sheetId="7" r:id="rId5"/>
    <sheet name="5" sheetId="8" r:id="rId6"/>
    <sheet name="6" sheetId="9" r:id="rId7"/>
    <sheet name="Final Graph" sheetId="10" r:id="rId8"/>
    <sheet name="Final graph with object detecio" sheetId="13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0" l="1"/>
  <c r="H4" i="10"/>
  <c r="H5" i="10"/>
  <c r="G6" i="10"/>
  <c r="H6" i="10" s="1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7" i="13"/>
  <c r="M10" i="13"/>
  <c r="M11" i="13" s="1"/>
  <c r="E3" i="13"/>
  <c r="E4" i="13"/>
  <c r="E5" i="13"/>
  <c r="E6" i="13"/>
  <c r="E7" i="13"/>
  <c r="E2" i="13"/>
  <c r="D7" i="13"/>
  <c r="B7" i="13"/>
  <c r="D6" i="13"/>
  <c r="B6" i="13"/>
  <c r="D5" i="13"/>
  <c r="B5" i="13"/>
  <c r="D4" i="13"/>
  <c r="B4" i="13"/>
  <c r="D3" i="13"/>
  <c r="B3" i="13"/>
  <c r="D2" i="13"/>
  <c r="B2" i="13"/>
  <c r="G7" i="10" l="1"/>
  <c r="M12" i="13"/>
  <c r="G8" i="10" l="1"/>
  <c r="H7" i="10"/>
  <c r="M13" i="13"/>
  <c r="H8" i="10" l="1"/>
  <c r="G9" i="10"/>
  <c r="M14" i="13"/>
  <c r="H9" i="10" l="1"/>
  <c r="G10" i="10"/>
  <c r="M15" i="13"/>
  <c r="H10" i="10" l="1"/>
  <c r="G11" i="10"/>
  <c r="M16" i="13"/>
  <c r="G12" i="10" l="1"/>
  <c r="H11" i="10"/>
  <c r="M17" i="13"/>
  <c r="H12" i="10" l="1"/>
  <c r="G13" i="10"/>
  <c r="M18" i="13"/>
  <c r="E3" i="10"/>
  <c r="E4" i="10"/>
  <c r="E5" i="10"/>
  <c r="E6" i="10"/>
  <c r="E7" i="10"/>
  <c r="E2" i="10"/>
  <c r="D3" i="10"/>
  <c r="D4" i="10"/>
  <c r="D5" i="10"/>
  <c r="D6" i="10"/>
  <c r="D7" i="10"/>
  <c r="D2" i="10"/>
  <c r="U7" i="10"/>
  <c r="U8" i="10"/>
  <c r="U9" i="10" s="1"/>
  <c r="U10" i="10" s="1"/>
  <c r="U11" i="10" s="1"/>
  <c r="U12" i="10" s="1"/>
  <c r="U13" i="10" s="1"/>
  <c r="U14" i="10" s="1"/>
  <c r="U15" i="10" s="1"/>
  <c r="U16" i="10" s="1"/>
  <c r="U17" i="10" s="1"/>
  <c r="U18" i="10" s="1"/>
  <c r="U19" i="10" s="1"/>
  <c r="U20" i="10" s="1"/>
  <c r="U21" i="10" s="1"/>
  <c r="U22" i="10" s="1"/>
  <c r="U23" i="10" s="1"/>
  <c r="U24" i="10" s="1"/>
  <c r="U25" i="10" s="1"/>
  <c r="U26" i="10" s="1"/>
  <c r="U27" i="10" s="1"/>
  <c r="U28" i="10" s="1"/>
  <c r="U29" i="10" s="1"/>
  <c r="U30" i="10" s="1"/>
  <c r="U6" i="10"/>
  <c r="B5" i="10"/>
  <c r="B4" i="10"/>
  <c r="B3" i="10"/>
  <c r="B2" i="10"/>
  <c r="D20" i="3"/>
  <c r="D20" i="4"/>
  <c r="D20" i="6"/>
  <c r="D20" i="7"/>
  <c r="D22" i="8"/>
  <c r="B6" i="10" s="1"/>
  <c r="D22" i="9"/>
  <c r="C11" i="8"/>
  <c r="C11" i="9"/>
  <c r="C5" i="7"/>
  <c r="C5" i="6"/>
  <c r="C6" i="4"/>
  <c r="C6" i="7" s="1"/>
  <c r="C6" i="3"/>
  <c r="C21" i="9"/>
  <c r="C20" i="9"/>
  <c r="C19" i="9"/>
  <c r="C18" i="9"/>
  <c r="C17" i="9"/>
  <c r="C16" i="9"/>
  <c r="C15" i="9"/>
  <c r="C14" i="9"/>
  <c r="C13" i="9"/>
  <c r="C12" i="9"/>
  <c r="C4" i="9"/>
  <c r="C3" i="9"/>
  <c r="C21" i="8"/>
  <c r="C20" i="8"/>
  <c r="C19" i="8"/>
  <c r="C18" i="8"/>
  <c r="C17" i="8"/>
  <c r="C16" i="8"/>
  <c r="C15" i="8"/>
  <c r="C14" i="8"/>
  <c r="C13" i="8"/>
  <c r="C12" i="8"/>
  <c r="C4" i="8"/>
  <c r="C3" i="8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4" i="7"/>
  <c r="C3" i="7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4" i="6"/>
  <c r="C3" i="6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5" i="4"/>
  <c r="C4" i="4"/>
  <c r="C3" i="4"/>
  <c r="C3" i="3"/>
  <c r="C4" i="3"/>
  <c r="C19" i="3"/>
  <c r="C9" i="3"/>
  <c r="C18" i="3"/>
  <c r="C17" i="3"/>
  <c r="C16" i="3"/>
  <c r="C15" i="3"/>
  <c r="C14" i="3"/>
  <c r="C13" i="3"/>
  <c r="C12" i="3"/>
  <c r="C11" i="3"/>
  <c r="C10" i="3"/>
  <c r="C5" i="3"/>
  <c r="H13" i="10" l="1"/>
  <c r="G14" i="10"/>
  <c r="M19" i="13"/>
  <c r="B7" i="10"/>
  <c r="C22" i="6"/>
  <c r="C24" i="8"/>
  <c r="C24" i="9"/>
  <c r="C22" i="7"/>
  <c r="C22" i="4"/>
  <c r="C8" i="3"/>
  <c r="C7" i="3"/>
  <c r="H14" i="10" l="1"/>
  <c r="G15" i="10"/>
  <c r="C5" i="10"/>
  <c r="F5" i="10" s="1"/>
  <c r="C5" i="13"/>
  <c r="F5" i="13" s="1"/>
  <c r="C6" i="10"/>
  <c r="F6" i="10" s="1"/>
  <c r="C6" i="13"/>
  <c r="F6" i="13" s="1"/>
  <c r="C3" i="10"/>
  <c r="F3" i="10" s="1"/>
  <c r="C3" i="13"/>
  <c r="F3" i="13" s="1"/>
  <c r="C7" i="10"/>
  <c r="F7" i="10" s="1"/>
  <c r="C7" i="13"/>
  <c r="F7" i="13" s="1"/>
  <c r="C4" i="10"/>
  <c r="F4" i="10" s="1"/>
  <c r="C4" i="13"/>
  <c r="F4" i="13" s="1"/>
  <c r="M20" i="13"/>
  <c r="C22" i="3"/>
  <c r="H15" i="10" l="1"/>
  <c r="G16" i="10"/>
  <c r="C2" i="10"/>
  <c r="F2" i="10" s="1"/>
  <c r="C2" i="13"/>
  <c r="F2" i="13" s="1"/>
  <c r="M21" i="13"/>
  <c r="H16" i="10" l="1"/>
  <c r="G17" i="10"/>
  <c r="M22" i="13"/>
  <c r="H17" i="10" l="1"/>
  <c r="G18" i="10"/>
  <c r="M23" i="13"/>
  <c r="H18" i="10" l="1"/>
  <c r="G19" i="10"/>
  <c r="M24" i="13"/>
  <c r="G20" i="10" l="1"/>
  <c r="H19" i="10"/>
  <c r="M25" i="13"/>
  <c r="H20" i="10" l="1"/>
  <c r="G21" i="10"/>
  <c r="M26" i="13"/>
  <c r="H21" i="10" l="1"/>
  <c r="G22" i="10"/>
  <c r="M27" i="13"/>
  <c r="H22" i="10" l="1"/>
  <c r="G23" i="10"/>
  <c r="M28" i="13"/>
  <c r="H23" i="10" l="1"/>
  <c r="G24" i="10"/>
  <c r="M29" i="13"/>
  <c r="H24" i="10" l="1"/>
  <c r="G25" i="10"/>
  <c r="M30" i="13"/>
  <c r="H25" i="10" l="1"/>
  <c r="G26" i="10"/>
  <c r="M31" i="13"/>
  <c r="H26" i="10" l="1"/>
  <c r="G27" i="10"/>
  <c r="M32" i="13"/>
  <c r="H27" i="10" l="1"/>
  <c r="G28" i="10"/>
  <c r="M33" i="13"/>
  <c r="H28" i="10" l="1"/>
  <c r="G29" i="10"/>
  <c r="M34" i="13"/>
  <c r="H29" i="10" l="1"/>
  <c r="G30" i="10"/>
  <c r="M35" i="13"/>
  <c r="H30" i="10" l="1"/>
  <c r="G31" i="10"/>
  <c r="M36" i="13"/>
  <c r="G32" i="10" l="1"/>
  <c r="H31" i="10"/>
  <c r="M37" i="13"/>
  <c r="H32" i="10" l="1"/>
  <c r="G33" i="10"/>
  <c r="H33" i="10" s="1"/>
</calcChain>
</file>

<file path=xl/sharedStrings.xml><?xml version="1.0" encoding="utf-8"?>
<sst xmlns="http://schemas.openxmlformats.org/spreadsheetml/2006/main" count="234" uniqueCount="79">
  <si>
    <t>Design</t>
  </si>
  <si>
    <t>Option 1</t>
  </si>
  <si>
    <t>Option 3</t>
  </si>
  <si>
    <t>Database</t>
  </si>
  <si>
    <t>Ground Station Control</t>
  </si>
  <si>
    <t>Object Detection</t>
  </si>
  <si>
    <t>Object Avoidance</t>
  </si>
  <si>
    <t>Geotagging software</t>
  </si>
  <si>
    <t>Navigation Software</t>
  </si>
  <si>
    <t xml:space="preserve">Path Planning </t>
  </si>
  <si>
    <t>GIS</t>
  </si>
  <si>
    <t>API</t>
  </si>
  <si>
    <t>UI Interface</t>
  </si>
  <si>
    <t>Software</t>
  </si>
  <si>
    <t>Hardware</t>
  </si>
  <si>
    <t>Frame</t>
  </si>
  <si>
    <t>Wheels</t>
  </si>
  <si>
    <t>Suspension</t>
  </si>
  <si>
    <t>Motors</t>
  </si>
  <si>
    <t xml:space="preserve">Battery </t>
  </si>
  <si>
    <t>Navigation Sensors</t>
  </si>
  <si>
    <t>IMU Sensors</t>
  </si>
  <si>
    <t>LiDAR Sensor</t>
  </si>
  <si>
    <t>Ultrasonic Sensors</t>
  </si>
  <si>
    <t>Control System(Microcontroller)</t>
  </si>
  <si>
    <t>Wireless Communication Module</t>
  </si>
  <si>
    <t>Bluetooth Module</t>
  </si>
  <si>
    <t>RTK GPS Module</t>
  </si>
  <si>
    <t>Total</t>
  </si>
  <si>
    <t>Mission Planner</t>
  </si>
  <si>
    <t>APM Planner 2</t>
  </si>
  <si>
    <t>Any of 4</t>
  </si>
  <si>
    <t>Option 2</t>
  </si>
  <si>
    <t>QGroundControl</t>
  </si>
  <si>
    <t xml:space="preserve">Any 4 </t>
  </si>
  <si>
    <t>Any 4</t>
  </si>
  <si>
    <t xml:space="preserve">ANY 4 </t>
  </si>
  <si>
    <t>Any 3</t>
  </si>
  <si>
    <t xml:space="preserve">Any 3 </t>
  </si>
  <si>
    <t>PX4, ArduPilot (through Plugin)</t>
  </si>
  <si>
    <t>ArduPilot (mission planner official GCS)</t>
  </si>
  <si>
    <t>ArduPilot with Mission Planner</t>
  </si>
  <si>
    <t>Px4 With QGroundControl OR PX4 with ROS</t>
  </si>
  <si>
    <t>ANY 3</t>
  </si>
  <si>
    <t>Any 4 , ROS (with plugin)</t>
  </si>
  <si>
    <t>QGroundContol</t>
  </si>
  <si>
    <t>Any 2</t>
  </si>
  <si>
    <t>Flight Controller</t>
  </si>
  <si>
    <t>Chasis</t>
  </si>
  <si>
    <t>Self Design</t>
  </si>
  <si>
    <t>3D Printed</t>
  </si>
  <si>
    <t>All Terrain Robot Wheel - 11"</t>
  </si>
  <si>
    <t>2900 Series Shock</t>
  </si>
  <si>
    <t>MOT-RB37GM-150</t>
  </si>
  <si>
    <t>SSDs</t>
  </si>
  <si>
    <t>Plastic</t>
  </si>
  <si>
    <t>Steel</t>
  </si>
  <si>
    <t>Bought</t>
  </si>
  <si>
    <t>Camera System</t>
  </si>
  <si>
    <t>Option 6</t>
  </si>
  <si>
    <t>Option 5</t>
  </si>
  <si>
    <t>Option 4</t>
  </si>
  <si>
    <t>Design 2</t>
  </si>
  <si>
    <t>Chassis</t>
  </si>
  <si>
    <t>3D</t>
  </si>
  <si>
    <t>Comlexity</t>
  </si>
  <si>
    <t>Complexity Level</t>
  </si>
  <si>
    <t>Design Option</t>
  </si>
  <si>
    <t>Cost</t>
  </si>
  <si>
    <t>Sofwatre design</t>
  </si>
  <si>
    <t>Final Cost</t>
  </si>
  <si>
    <t>Assuming simple object detection and avoidance at 30$/hr and it takes 100 hours to design</t>
  </si>
  <si>
    <t>Any of the 4</t>
  </si>
  <si>
    <t>Microcontroller</t>
  </si>
  <si>
    <t>JetsonNano</t>
  </si>
  <si>
    <t>Fligtht controller</t>
  </si>
  <si>
    <t>Pixhawk or Navia2 with Rasberry pi, or ArdPilot Mega</t>
  </si>
  <si>
    <t>Pixhawk,APM,Navio with rasberry Pi</t>
  </si>
  <si>
    <t>Pixhawk, Navio with rasberry pi, or ArduPilot Mega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</si>
</sst>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ZAR]\ #,##0.00"/>
    <numFmt numFmtId="165" formatCode="[$ZAR]\ #,##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2" borderId="0" xfId="0" applyFill="1"/>
    <xf numFmtId="0" fontId="1" fillId="4" borderId="8" xfId="0" applyFont="1" applyFill="1" applyBorder="1"/>
    <xf numFmtId="0" fontId="1" fillId="4" borderId="9" xfId="0" applyFont="1" applyFill="1" applyBorder="1"/>
    <xf numFmtId="0" fontId="1" fillId="0" borderId="3" xfId="0" applyFont="1" applyBorder="1"/>
    <xf numFmtId="0" fontId="1" fillId="3" borderId="3" xfId="0" applyFont="1" applyFill="1" applyBorder="1"/>
    <xf numFmtId="0" fontId="1" fillId="0" borderId="10" xfId="0" applyFont="1" applyBorder="1"/>
    <xf numFmtId="0" fontId="1" fillId="4" borderId="11" xfId="0" applyFont="1" applyFill="1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1" fillId="0" borderId="13" xfId="0" applyFont="1" applyBorder="1"/>
    <xf numFmtId="0" fontId="0" fillId="6" borderId="4" xfId="0" applyFill="1" applyBorder="1"/>
    <xf numFmtId="0" fontId="0" fillId="0" borderId="17" xfId="0" applyBorder="1"/>
    <xf numFmtId="0" fontId="0" fillId="0" borderId="16" xfId="0" applyBorder="1"/>
    <xf numFmtId="0" fontId="0" fillId="0" borderId="3" xfId="0" applyBorder="1"/>
    <xf numFmtId="0" fontId="0" fillId="0" borderId="6" xfId="0" applyBorder="1"/>
    <xf numFmtId="0" fontId="1" fillId="0" borderId="4" xfId="0" applyFont="1" applyBorder="1"/>
    <xf numFmtId="164" fontId="0" fillId="0" borderId="4" xfId="0" applyNumberFormat="1" applyBorder="1"/>
    <xf numFmtId="164" fontId="0" fillId="0" borderId="0" xfId="0" applyNumberFormat="1"/>
    <xf numFmtId="164" fontId="0" fillId="0" borderId="7" xfId="0" applyNumberFormat="1" applyBorder="1"/>
    <xf numFmtId="164" fontId="0" fillId="0" borderId="13" xfId="0" applyNumberFormat="1" applyBorder="1"/>
    <xf numFmtId="0" fontId="0" fillId="0" borderId="18" xfId="0" applyBorder="1"/>
    <xf numFmtId="0" fontId="0" fillId="6" borderId="13" xfId="0" applyFill="1" applyBorder="1"/>
    <xf numFmtId="0" fontId="0" fillId="3" borderId="19" xfId="0" applyFill="1" applyBorder="1"/>
    <xf numFmtId="164" fontId="0" fillId="3" borderId="13" xfId="0" applyNumberFormat="1" applyFill="1" applyBorder="1"/>
    <xf numFmtId="0" fontId="0" fillId="3" borderId="14" xfId="0" applyFill="1" applyBorder="1"/>
    <xf numFmtId="0" fontId="0" fillId="3" borderId="4" xfId="0" applyFill="1" applyBorder="1"/>
    <xf numFmtId="164" fontId="0" fillId="3" borderId="4" xfId="0" applyNumberFormat="1" applyFill="1" applyBorder="1"/>
    <xf numFmtId="0" fontId="0" fillId="3" borderId="20" xfId="0" applyFill="1" applyBorder="1"/>
    <xf numFmtId="0" fontId="0" fillId="3" borderId="5" xfId="0" applyFill="1" applyBorder="1"/>
    <xf numFmtId="164" fontId="0" fillId="3" borderId="5" xfId="0" applyNumberFormat="1" applyFill="1" applyBorder="1"/>
    <xf numFmtId="0" fontId="1" fillId="6" borderId="13" xfId="0" applyFont="1" applyFill="1" applyBorder="1"/>
    <xf numFmtId="0" fontId="1" fillId="6" borderId="4" xfId="0" applyFont="1" applyFill="1" applyBorder="1"/>
    <xf numFmtId="0" fontId="1" fillId="0" borderId="21" xfId="0" applyFont="1" applyBorder="1"/>
    <xf numFmtId="0" fontId="1" fillId="4" borderId="22" xfId="0" applyFont="1" applyFill="1" applyBorder="1"/>
    <xf numFmtId="164" fontId="0" fillId="0" borderId="9" xfId="0" applyNumberFormat="1" applyBorder="1"/>
    <xf numFmtId="164" fontId="0" fillId="0" borderId="23" xfId="0" applyNumberFormat="1" applyBorder="1"/>
    <xf numFmtId="164" fontId="0" fillId="3" borderId="9" xfId="0" applyNumberFormat="1" applyFill="1" applyBorder="1"/>
    <xf numFmtId="164" fontId="0" fillId="3" borderId="23" xfId="0" applyNumberFormat="1" applyFill="1" applyBorder="1"/>
    <xf numFmtId="164" fontId="0" fillId="3" borderId="24" xfId="0" applyNumberFormat="1" applyFill="1" applyBorder="1"/>
    <xf numFmtId="164" fontId="0" fillId="0" borderId="24" xfId="0" applyNumberFormat="1" applyBorder="1"/>
    <xf numFmtId="0" fontId="0" fillId="0" borderId="11" xfId="0" applyBorder="1"/>
    <xf numFmtId="0" fontId="0" fillId="0" borderId="25" xfId="0" applyBorder="1"/>
    <xf numFmtId="0" fontId="0" fillId="4" borderId="3" xfId="0" applyFill="1" applyBorder="1"/>
    <xf numFmtId="164" fontId="1" fillId="7" borderId="26" xfId="0" applyNumberFormat="1" applyFont="1" applyFill="1" applyBorder="1"/>
    <xf numFmtId="0" fontId="1" fillId="7" borderId="7" xfId="0" applyFont="1" applyFill="1" applyBorder="1"/>
    <xf numFmtId="0" fontId="1" fillId="0" borderId="0" xfId="0" applyFont="1"/>
    <xf numFmtId="0" fontId="1" fillId="8" borderId="9" xfId="0" applyFont="1" applyFill="1" applyBorder="1"/>
    <xf numFmtId="0" fontId="1" fillId="8" borderId="22" xfId="0" applyFont="1" applyFill="1" applyBorder="1"/>
    <xf numFmtId="0" fontId="1" fillId="8" borderId="8" xfId="0" applyFont="1" applyFill="1" applyBorder="1"/>
    <xf numFmtId="0" fontId="1" fillId="7" borderId="16" xfId="0" applyFont="1" applyFill="1" applyBorder="1"/>
    <xf numFmtId="0" fontId="1" fillId="8" borderId="0" xfId="0" applyFont="1" applyFill="1"/>
    <xf numFmtId="0" fontId="0" fillId="9" borderId="16" xfId="0" applyFill="1" applyBorder="1"/>
    <xf numFmtId="165" fontId="0" fillId="9" borderId="16" xfId="0" applyNumberFormat="1" applyFill="1" applyBorder="1"/>
    <xf numFmtId="0" fontId="0" fillId="9" borderId="0" xfId="0" applyFill="1"/>
    <xf numFmtId="165" fontId="0" fillId="9" borderId="0" xfId="0" applyNumberFormat="1" applyFill="1"/>
    <xf numFmtId="0" fontId="0" fillId="0" borderId="13" xfId="0" applyBorder="1"/>
    <xf numFmtId="0" fontId="0" fillId="2" borderId="22" xfId="0" applyFill="1" applyBorder="1"/>
    <xf numFmtId="0" fontId="0" fillId="2" borderId="27" xfId="0" applyFill="1" applyBorder="1"/>
    <xf numFmtId="0" fontId="1" fillId="2" borderId="6" xfId="0" applyFont="1" applyFill="1" applyBorder="1"/>
    <xf numFmtId="0" fontId="1" fillId="5" borderId="3" xfId="0" applyFont="1" applyFill="1" applyBorder="1"/>
    <xf numFmtId="0" fontId="0" fillId="5" borderId="4" xfId="0" applyFill="1" applyBorder="1"/>
    <xf numFmtId="0" fontId="0" fillId="5" borderId="13" xfId="0" applyFill="1" applyBorder="1"/>
    <xf numFmtId="0" fontId="0" fillId="3" borderId="1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Design</a:t>
            </a:r>
            <a:r>
              <a:rPr lang="en-US" baseline="0"/>
              <a:t> </a:t>
            </a:r>
            <a:r>
              <a:rPr lang="en-US"/>
              <a:t>cost as a function of design complexity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 cap="flat" cmpd="sng" algn="ctr">
              <a:solidFill>
                <a:schemeClr val="accent1">
                  <a:alpha val="70000"/>
                </a:schemeClr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dLbls>
            <c:delete val="1"/>
          </c:dLbls>
          <c:xVal>
            <c:numRef>
              <c:f>'Final Graph'!$G$2:$G$33</c:f>
              <c:numCache>
                <c:formatCode>General</c:formatCode>
                <c:ptCount val="32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</c:numCache>
            </c:numRef>
          </c:xVal>
          <c:yVal>
            <c:numRef>
              <c:f>'Final Graph'!$H$2:$H$33</c:f>
              <c:numCache>
                <c:formatCode>General</c:formatCode>
                <c:ptCount val="32"/>
                <c:pt idx="1">
                  <c:v>11162.780704588713</c:v>
                </c:pt>
                <c:pt idx="2">
                  <c:v>12460.767305873807</c:v>
                </c:pt>
                <c:pt idx="3">
                  <c:v>13909.681284637803</c:v>
                </c:pt>
                <c:pt idx="4">
                  <c:v>15527.07218511336</c:v>
                </c:pt>
                <c:pt idx="5">
                  <c:v>17332.530178673951</c:v>
                </c:pt>
                <c:pt idx="6">
                  <c:v>19347.923344020317</c:v>
                </c:pt>
                <c:pt idx="7">
                  <c:v>21597.662537849152</c:v>
                </c:pt>
                <c:pt idx="8">
                  <c:v>24108.997064172097</c:v>
                </c:pt>
                <c:pt idx="9">
                  <c:v>26912.344723492621</c:v>
                </c:pt>
                <c:pt idx="10">
                  <c:v>30041.660239464334</c:v>
                </c:pt>
                <c:pt idx="11">
                  <c:v>33534.846525490233</c:v>
                </c:pt>
                <c:pt idx="12">
                  <c:v>37434.213772608629</c:v>
                </c:pt>
                <c:pt idx="13">
                  <c:v>41786.99191923246</c:v>
                </c:pt>
                <c:pt idx="14">
                  <c:v>46645.902709881258</c:v>
                </c:pt>
                <c:pt idx="15">
                  <c:v>52069.798271798485</c:v>
                </c:pt>
                <c:pt idx="16">
                  <c:v>58124.373944025887</c:v>
                </c:pt>
                <c:pt idx="17">
                  <c:v>64882.963992867124</c:v>
                </c:pt>
                <c:pt idx="18">
                  <c:v>72427.429851610126</c:v>
                </c:pt>
                <c:pt idx="19">
                  <c:v>80849.151643050587</c:v>
                </c:pt>
                <c:pt idx="20">
                  <c:v>90250.134994341221</c:v>
                </c:pt>
                <c:pt idx="21">
                  <c:v>100744.24655013587</c:v>
                </c:pt>
                <c:pt idx="22">
                  <c:v>112458.59314881844</c:v>
                </c:pt>
                <c:pt idx="23">
                  <c:v>125535.06136668229</c:v>
                </c:pt>
                <c:pt idx="24">
                  <c:v>140132.03607733615</c:v>
                </c:pt>
                <c:pt idx="25">
                  <c:v>156426.3188418817</c:v>
                </c:pt>
                <c:pt idx="26">
                  <c:v>174615.2693657999</c:v>
                </c:pt>
                <c:pt idx="27">
                  <c:v>194919.19596031122</c:v>
                </c:pt>
                <c:pt idx="28">
                  <c:v>217584.02396197082</c:v>
                </c:pt>
                <c:pt idx="29">
                  <c:v>242884.27443094554</c:v>
                </c:pt>
                <c:pt idx="30">
                  <c:v>271126.38920657884</c:v>
                </c:pt>
                <c:pt idx="31">
                  <c:v>302652.44259400084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D6-4CAA-A682-06399CCC2E9D}"/>
            </c:ext>
          </c:extLst>
        </c:ser>
        <c:ser>
          <c:idx val="1"/>
          <c:order val="1"/>
          <c:tx>
            <c:v>WTP</c:v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2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2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2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0.21542302233656424"/>
                  <c:y val="-4.3888856234347379E-2"/>
                </c:manualLayout>
              </c:layout>
              <c:tx>
                <c:rich>
                  <a:bodyPr/>
                  <a:lstStyle/>
                  <a:p>
                    <a:fld id="{6C38C2D9-3126-49D4-B5C9-B2F79C320A3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5ED6-4CAA-A682-06399CCC2E9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ED6-4CAA-A682-06399CCC2E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name>Willingness -To-Pay</c:name>
            <c:spPr>
              <a:ln w="9525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'Final Graph'!$K$30:$K$31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'Final Graph'!$L$30:$L$31</c:f>
              <c:numCache>
                <c:formatCode>General</c:formatCode>
                <c:ptCount val="2"/>
                <c:pt idx="0">
                  <c:v>157122</c:v>
                </c:pt>
                <c:pt idx="1">
                  <c:v>157122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ED6-4CAA-A682-06399CCC2E9D}"/>
            </c:ext>
          </c:extLst>
        </c:ser>
        <c:ser>
          <c:idx val="2"/>
          <c:order val="2"/>
          <c:tx>
            <c:v>Points</c:v>
          </c:tx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3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3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3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4.8784959425903098E-4"/>
                  <c:y val="-1.434920340701246E-3"/>
                </c:manualLayout>
              </c:layout>
              <c:tx>
                <c:rich>
                  <a:bodyPr/>
                  <a:lstStyle/>
                  <a:p>
                    <a:fld id="{AE1E3918-EA5D-42DC-A829-D6DC9C2880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ED6-4CAA-A682-06399CCC2E9D}"/>
                </c:ext>
              </c:extLst>
            </c:dLbl>
            <c:dLbl>
              <c:idx val="1"/>
              <c:layout>
                <c:manualLayout>
                  <c:x val="-1.281713934007604E-2"/>
                  <c:y val="3.643963573440278E-2"/>
                </c:manualLayout>
              </c:layout>
              <c:tx>
                <c:rich>
                  <a:bodyPr/>
                  <a:lstStyle/>
                  <a:p>
                    <a:fld id="{9C83AC9D-4749-460E-82E8-722B6A631F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ED6-4CAA-A682-06399CCC2E9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3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1"/>
                </c:ext>
                <c:ext xmlns:c16="http://schemas.microsoft.com/office/drawing/2014/chart" uri="{C3380CC4-5D6E-409C-BE32-E72D297353CC}">
                  <c16:uniqueId val="{0000000C-5ED6-4CAA-A682-06399CCC2E9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BEB52B-3201-4C71-AE45-3B9B48C9E5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ED6-4CAA-A682-06399CCC2E9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4D4420C-6704-4E9A-AEC8-B1F5D72E78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ED6-4CAA-A682-06399CCC2E9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EF9C04F-FD53-4A63-AF2A-842E0F10DD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ED6-4CAA-A682-06399CCC2E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'Final Graph'!$B$2:$B$7</c:f>
              <c:numCache>
                <c:formatCode>General</c:formatCode>
                <c:ptCount val="6"/>
                <c:pt idx="0">
                  <c:v>24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17</c:v>
                </c:pt>
                <c:pt idx="5">
                  <c:v>16</c:v>
                </c:pt>
              </c:numCache>
            </c:numRef>
          </c:xVal>
          <c:yVal>
            <c:numRef>
              <c:f>'Final Graph'!$F$2:$F$7</c:f>
              <c:numCache>
                <c:formatCode>[$ZAR]\ #,##0</c:formatCode>
                <c:ptCount val="6"/>
                <c:pt idx="0">
                  <c:v>119326.18134108032</c:v>
                </c:pt>
                <c:pt idx="1">
                  <c:v>118127.75697529194</c:v>
                </c:pt>
                <c:pt idx="2">
                  <c:v>116534.51467441364</c:v>
                </c:pt>
                <c:pt idx="3">
                  <c:v>115336.09030862527</c:v>
                </c:pt>
                <c:pt idx="4">
                  <c:v>112901.33800774698</c:v>
                </c:pt>
                <c:pt idx="5">
                  <c:v>112108.87800774697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'Final Graph'!$A$2:$A$7</c15:f>
                <c15:dlblRangeCache>
                  <c:ptCount val="6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5ED6-4CAA-A682-06399CCC2E9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880786112"/>
        <c:axId val="1880784672"/>
      </c:scatterChart>
      <c:valAx>
        <c:axId val="188078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Level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84672"/>
        <c:crosses val="autoZero"/>
        <c:crossBetween val="midCat"/>
      </c:valAx>
      <c:valAx>
        <c:axId val="188078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 (ZAR)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786112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Design</a:t>
            </a:r>
            <a:r>
              <a:rPr lang="en-US" baseline="0"/>
              <a:t> cost as a function of design complexity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'Final graph with object detecio'!$M$1:$M$31</c:f>
              <c:numCache>
                <c:formatCode>General</c:formatCode>
                <c:ptCount val="31"/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</c:numCache>
            </c:numRef>
          </c:xVal>
          <c:yVal>
            <c:numRef>
              <c:f>'Final graph with object detecio'!$N$1:$N$31</c:f>
              <c:numCache>
                <c:formatCode>General</c:formatCode>
                <c:ptCount val="31"/>
                <c:pt idx="6">
                  <c:v>11218.734375719383</c:v>
                </c:pt>
                <c:pt idx="7">
                  <c:v>12586.000099294779</c:v>
                </c:pt>
                <c:pt idx="8">
                  <c:v>14119.899196676592</c:v>
                </c:pt>
                <c:pt idx="9">
                  <c:v>15840.739849944819</c:v>
                </c:pt>
                <c:pt idx="10">
                  <c:v>17771.305269140386</c:v>
                </c:pt>
                <c:pt idx="11">
                  <c:v>19937.155332430826</c:v>
                </c:pt>
                <c:pt idx="12">
                  <c:v>22366.96498819987</c:v>
                </c:pt>
                <c:pt idx="13">
                  <c:v>25092.90389936298</c:v>
                </c:pt>
                <c:pt idx="14">
                  <c:v>28151.062356240644</c:v>
                </c:pt>
                <c:pt idx="15">
                  <c:v>31581.929096897682</c:v>
                </c:pt>
                <c:pt idx="16">
                  <c:v>35430.927361089824</c:v>
                </c:pt>
                <c:pt idx="17">
                  <c:v>39749.016274947484</c:v>
                </c:pt>
                <c:pt idx="18">
                  <c:v>44593.365528478258</c:v>
                </c:pt>
                <c:pt idx="19">
                  <c:v>50028.112278335881</c:v>
                </c:pt>
                <c:pt idx="20">
                  <c:v>56125.210296931575</c:v>
                </c:pt>
                <c:pt idx="21">
                  <c:v>62965.38261026657</c:v>
                </c:pt>
                <c:pt idx="22">
                  <c:v>70639.19023701211</c:v>
                </c:pt>
                <c:pt idx="23">
                  <c:v>79248.231178494898</c:v>
                </c:pt>
                <c:pt idx="24">
                  <c:v>88906.485533713712</c:v>
                </c:pt>
                <c:pt idx="25">
                  <c:v>99741.82454814724</c:v>
                </c:pt>
                <c:pt idx="26">
                  <c:v>111897.70357552705</c:v>
                </c:pt>
                <c:pt idx="27">
                  <c:v>125535.06136668235</c:v>
                </c:pt>
                <c:pt idx="28">
                  <c:v>140834.45083124412</c:v>
                </c:pt>
                <c:pt idx="29">
                  <c:v>157998.42948260403</c:v>
                </c:pt>
                <c:pt idx="30">
                  <c:v>177254.24121461643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B8-4661-8ACB-AA458063427A}"/>
            </c:ext>
          </c:extLst>
        </c:ser>
        <c:ser>
          <c:idx val="1"/>
          <c:order val="1"/>
          <c:tx>
            <c:v>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'Final graph with object detecio'!$B$2</c:f>
              <c:numCache>
                <c:formatCode>General</c:formatCode>
                <c:ptCount val="1"/>
                <c:pt idx="0">
                  <c:v>24</c:v>
                </c:pt>
              </c:numCache>
            </c:numRef>
          </c:xVal>
          <c:yVal>
            <c:numRef>
              <c:f>'Final graph with object detecio'!$F$2</c:f>
              <c:numCache>
                <c:formatCode>[$ZAR]\ #,##0</c:formatCode>
                <c:ptCount val="1"/>
                <c:pt idx="0">
                  <c:v>156326.18134108032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B8-4661-8ACB-AA458063427A}"/>
            </c:ext>
          </c:extLst>
        </c:ser>
        <c:ser>
          <c:idx val="2"/>
          <c:order val="2"/>
          <c:tx>
            <c:v>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'Final graph with object detecio'!$B$3</c:f>
              <c:numCache>
                <c:formatCode>General</c:formatCode>
                <c:ptCount val="1"/>
                <c:pt idx="0">
                  <c:v>23</c:v>
                </c:pt>
              </c:numCache>
            </c:numRef>
          </c:xVal>
          <c:yVal>
            <c:numRef>
              <c:f>'Final graph with object detecio'!$F$3</c:f>
              <c:numCache>
                <c:formatCode>[$ZAR]\ #,##0</c:formatCode>
                <c:ptCount val="1"/>
                <c:pt idx="0">
                  <c:v>155127.75697529194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B8-4661-8ACB-AA458063427A}"/>
            </c:ext>
          </c:extLst>
        </c:ser>
        <c:ser>
          <c:idx val="3"/>
          <c:order val="3"/>
          <c:tx>
            <c:v>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'Final graph with object detecio'!$B$4</c:f>
              <c:numCache>
                <c:formatCode>General</c:formatCode>
                <c:ptCount val="1"/>
                <c:pt idx="0">
                  <c:v>22</c:v>
                </c:pt>
              </c:numCache>
            </c:numRef>
          </c:xVal>
          <c:yVal>
            <c:numRef>
              <c:f>'Final graph with object detecio'!$F$4</c:f>
              <c:numCache>
                <c:formatCode>[$ZAR]\ #,##0</c:formatCode>
                <c:ptCount val="1"/>
                <c:pt idx="0">
                  <c:v>153534.51467441366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8B8-4661-8ACB-AA458063427A}"/>
            </c:ext>
          </c:extLst>
        </c:ser>
        <c:ser>
          <c:idx val="4"/>
          <c:order val="4"/>
          <c:tx>
            <c:v>4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'Final graph with object detecio'!$B$5</c:f>
              <c:numCache>
                <c:formatCode>General</c:formatCode>
                <c:ptCount val="1"/>
                <c:pt idx="0">
                  <c:v>21</c:v>
                </c:pt>
              </c:numCache>
            </c:numRef>
          </c:xVal>
          <c:yVal>
            <c:numRef>
              <c:f>'Final graph with object detecio'!$F$5</c:f>
              <c:numCache>
                <c:formatCode>[$ZAR]\ #,##0</c:formatCode>
                <c:ptCount val="1"/>
                <c:pt idx="0">
                  <c:v>152336.09030862525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8B8-4661-8ACB-AA458063427A}"/>
            </c:ext>
          </c:extLst>
        </c:ser>
        <c:ser>
          <c:idx val="5"/>
          <c:order val="5"/>
          <c:tx>
            <c:v>5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'Final graph with object detecio'!$B$7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'Final graph with object detecio'!$F$6</c:f>
              <c:numCache>
                <c:formatCode>[$ZAR]\ #,##0</c:formatCode>
                <c:ptCount val="1"/>
                <c:pt idx="0">
                  <c:v>149901.33800774696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8B8-4661-8ACB-AA458063427A}"/>
            </c:ext>
          </c:extLst>
        </c:ser>
        <c:ser>
          <c:idx val="6"/>
          <c:order val="6"/>
          <c:tx>
            <c:v>6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'Final graph with object detecio'!$B$7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'Final graph with object detecio'!$F$7</c:f>
              <c:numCache>
                <c:formatCode>[$ZAR]\ #,##0</c:formatCode>
                <c:ptCount val="1"/>
                <c:pt idx="0">
                  <c:v>149108.87800774697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8B8-4661-8ACB-AA458063427A}"/>
            </c:ext>
          </c:extLst>
        </c:ser>
        <c:ser>
          <c:idx val="7"/>
          <c:order val="7"/>
          <c:tx>
            <c:v>Willingness-To-Pay (WTP)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'Final graph with object detecio'!$K$22:$K$23</c:f>
              <c:numCache>
                <c:formatCode>General</c:formatCode>
                <c:ptCount val="2"/>
                <c:pt idx="0">
                  <c:v>0</c:v>
                </c:pt>
                <c:pt idx="1">
                  <c:v>30</c:v>
                </c:pt>
              </c:numCache>
            </c:numRef>
          </c:xVal>
          <c:yVal>
            <c:numRef>
              <c:f>'Final graph with object detecio'!$L$22:$L$23</c:f>
              <c:numCache>
                <c:formatCode>General</c:formatCode>
                <c:ptCount val="2"/>
                <c:pt idx="0">
                  <c:v>157122</c:v>
                </c:pt>
                <c:pt idx="1">
                  <c:v>157122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8B8-4661-8ACB-AA4580634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955183"/>
        <c:axId val="863948943"/>
      </c:scatterChart>
      <c:valAx>
        <c:axId val="863955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Complexity</a:t>
                </a:r>
                <a:r>
                  <a:rPr lang="en-US" baseline="0"/>
                  <a:t> level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948943"/>
        <c:crosses val="autoZero"/>
        <c:crossBetween val="midCat"/>
      </c:valAx>
      <c:valAx>
        <c:axId val="86394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Design cost (ZAR)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9551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77992</xdr:colOff>
      <xdr:row>2</xdr:row>
      <xdr:rowOff>87798</xdr:rowOff>
    </xdr:from>
    <xdr:to>
      <xdr:col>18</xdr:col>
      <xdr:colOff>317728</xdr:colOff>
      <xdr:row>26</xdr:row>
      <xdr:rowOff>84648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D93C8D0-59D8-F1F2-9EDE-862CFF01D6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0.13416</cdr:x>
      <cdr:y>0.52636</cdr:y>
    </cdr:from>
    <cdr:to>
      <cdr:x>0.73046</cdr:x>
      <cdr:y>0.8594</cdr:y>
    </cdr:to>
    <cdr:sp macro="" textlink="">
      <cdr:nvSpPr>
        <cdr:cNvPr id="3" name="Freeform: Shape 2">
          <a:extLst xmlns:a="http://schemas.openxmlformats.org/drawingml/2006/main">
            <a:ext uri="{FF2B5EF4-FFF2-40B4-BE49-F238E27FC236}">
              <a16:creationId xmlns:a16="http://schemas.microsoft.com/office/drawing/2014/main" id="{608E2962-3616-2B2E-400E-6C498822602A}"/>
            </a:ext>
          </a:extLst>
        </cdr:cNvPr>
        <cdr:cNvSpPr/>
      </cdr:nvSpPr>
      <cdr:spPr>
        <a:xfrm xmlns:a="http://schemas.openxmlformats.org/drawingml/2006/main">
          <a:off x="768364" y="2294491"/>
          <a:ext cx="3415114" cy="1451724"/>
        </a:xfrm>
        <a:custGeom xmlns:a="http://schemas.openxmlformats.org/drawingml/2006/main">
          <a:avLst/>
          <a:gdLst>
            <a:gd name="connsiteX0" fmla="*/ 14654 w 3407020"/>
            <a:gd name="connsiteY0" fmla="*/ 21981 h 1436077"/>
            <a:gd name="connsiteX1" fmla="*/ 0 w 3407020"/>
            <a:gd name="connsiteY1" fmla="*/ 1436077 h 1436077"/>
            <a:gd name="connsiteX2" fmla="*/ 571500 w 3407020"/>
            <a:gd name="connsiteY2" fmla="*/ 1377462 h 1436077"/>
            <a:gd name="connsiteX3" fmla="*/ 1377462 w 3407020"/>
            <a:gd name="connsiteY3" fmla="*/ 1223596 h 1436077"/>
            <a:gd name="connsiteX4" fmla="*/ 2190750 w 3407020"/>
            <a:gd name="connsiteY4" fmla="*/ 952500 h 1436077"/>
            <a:gd name="connsiteX5" fmla="*/ 2703635 w 3407020"/>
            <a:gd name="connsiteY5" fmla="*/ 666750 h 1436077"/>
            <a:gd name="connsiteX6" fmla="*/ 2996712 w 3407020"/>
            <a:gd name="connsiteY6" fmla="*/ 432288 h 1436077"/>
            <a:gd name="connsiteX7" fmla="*/ 3253154 w 3407020"/>
            <a:gd name="connsiteY7" fmla="*/ 175846 h 1436077"/>
            <a:gd name="connsiteX8" fmla="*/ 3407020 w 3407020"/>
            <a:gd name="connsiteY8" fmla="*/ 0 h 1436077"/>
            <a:gd name="connsiteX9" fmla="*/ 14654 w 3407020"/>
            <a:gd name="connsiteY9" fmla="*/ 21981 h 143607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3407020" h="1436077">
              <a:moveTo>
                <a:pt x="14654" y="21981"/>
              </a:moveTo>
              <a:lnTo>
                <a:pt x="0" y="1436077"/>
              </a:lnTo>
              <a:lnTo>
                <a:pt x="571500" y="1377462"/>
              </a:lnTo>
              <a:lnTo>
                <a:pt x="1377462" y="1223596"/>
              </a:lnTo>
              <a:lnTo>
                <a:pt x="2190750" y="952500"/>
              </a:lnTo>
              <a:lnTo>
                <a:pt x="2703635" y="666750"/>
              </a:lnTo>
              <a:lnTo>
                <a:pt x="2996712" y="432288"/>
              </a:lnTo>
              <a:lnTo>
                <a:pt x="3253154" y="175846"/>
              </a:lnTo>
              <a:lnTo>
                <a:pt x="3407020" y="0"/>
              </a:lnTo>
              <a:lnTo>
                <a:pt x="14654" y="21981"/>
              </a:lnTo>
              <a:close/>
            </a:path>
          </a:pathLst>
        </a:custGeom>
        <a:solidFill xmlns:a="http://schemas.openxmlformats.org/drawingml/2006/main">
          <a:schemeClr val="dk1"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466808</xdr:colOff>
      <xdr:row>3</xdr:row>
      <xdr:rowOff>30978</xdr:rowOff>
    </xdr:from>
    <xdr:to>
      <xdr:col>22</xdr:col>
      <xdr:colOff>162008</xdr:colOff>
      <xdr:row>18</xdr:row>
      <xdr:rowOff>30977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56028F-640F-7DE8-BD01-2927D7E2D2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39757</xdr:colOff>
      <xdr:row>7</xdr:row>
      <xdr:rowOff>119269</xdr:rowOff>
    </xdr:from>
    <xdr:to>
      <xdr:col>19</xdr:col>
      <xdr:colOff>331304</xdr:colOff>
      <xdr:row>14</xdr:row>
      <xdr:rowOff>145773</xdr:rowOff>
    </xdr:to>
    <xdr:sp macro="" textlink="">
      <xdr:nvSpPr>
        <xdr:cNvPr id="7" name="Freeform: Shape 6">
          <a:extLst>
            <a:ext uri="{FF2B5EF4-FFF2-40B4-BE49-F238E27FC236}">
              <a16:creationId xmlns:a16="http://schemas.microsoft.com/office/drawing/2014/main" id="{35BB461A-BC74-DF17-5339-34033E5679BE}"/>
            </a:ext>
          </a:extLst>
        </xdr:cNvPr>
        <xdr:cNvSpPr/>
      </xdr:nvSpPr>
      <xdr:spPr>
        <a:xfrm>
          <a:off x="10184296" y="1417982"/>
          <a:ext cx="2120347" cy="1325217"/>
        </a:xfrm>
        <a:custGeom>
          <a:avLst/>
          <a:gdLst>
            <a:gd name="connsiteX0" fmla="*/ 14654 w 3407020"/>
            <a:gd name="connsiteY0" fmla="*/ 21981 h 1436077"/>
            <a:gd name="connsiteX1" fmla="*/ 0 w 3407020"/>
            <a:gd name="connsiteY1" fmla="*/ 1436077 h 1436077"/>
            <a:gd name="connsiteX2" fmla="*/ 571500 w 3407020"/>
            <a:gd name="connsiteY2" fmla="*/ 1377462 h 1436077"/>
            <a:gd name="connsiteX3" fmla="*/ 1377462 w 3407020"/>
            <a:gd name="connsiteY3" fmla="*/ 1223596 h 1436077"/>
            <a:gd name="connsiteX4" fmla="*/ 2190750 w 3407020"/>
            <a:gd name="connsiteY4" fmla="*/ 952500 h 1436077"/>
            <a:gd name="connsiteX5" fmla="*/ 2703635 w 3407020"/>
            <a:gd name="connsiteY5" fmla="*/ 666750 h 1436077"/>
            <a:gd name="connsiteX6" fmla="*/ 2996712 w 3407020"/>
            <a:gd name="connsiteY6" fmla="*/ 432288 h 1436077"/>
            <a:gd name="connsiteX7" fmla="*/ 3253154 w 3407020"/>
            <a:gd name="connsiteY7" fmla="*/ 175846 h 1436077"/>
            <a:gd name="connsiteX8" fmla="*/ 3407020 w 3407020"/>
            <a:gd name="connsiteY8" fmla="*/ 0 h 1436077"/>
            <a:gd name="connsiteX9" fmla="*/ 14654 w 3407020"/>
            <a:gd name="connsiteY9" fmla="*/ 21981 h 143607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3407020" h="1436077">
              <a:moveTo>
                <a:pt x="14654" y="21981"/>
              </a:moveTo>
              <a:lnTo>
                <a:pt x="0" y="1436077"/>
              </a:lnTo>
              <a:lnTo>
                <a:pt x="571500" y="1377462"/>
              </a:lnTo>
              <a:lnTo>
                <a:pt x="1377462" y="1223596"/>
              </a:lnTo>
              <a:lnTo>
                <a:pt x="2190750" y="952500"/>
              </a:lnTo>
              <a:lnTo>
                <a:pt x="2703635" y="666750"/>
              </a:lnTo>
              <a:lnTo>
                <a:pt x="2996712" y="432288"/>
              </a:lnTo>
              <a:lnTo>
                <a:pt x="3253154" y="175846"/>
              </a:lnTo>
              <a:lnTo>
                <a:pt x="3407020" y="0"/>
              </a:lnTo>
              <a:lnTo>
                <a:pt x="14654" y="21981"/>
              </a:lnTo>
              <a:close/>
            </a:path>
          </a:pathLst>
        </a:custGeom>
        <a:solidFill>
          <a:schemeClr val="dk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21cd02a070d0f250/Documents/Universiteit/Student%20Year%202024/Masters%20Data/Phase%202/2.4%20Perfromance%20requirements%20validation/Book1.xlsx" TargetMode="External"/><Relationship Id="rId1" Type="http://schemas.openxmlformats.org/officeDocument/2006/relationships/externalLinkPath" Target="/Users/botha/iCloudDrive/Botha%20Universiteit/Student%20Year%202024/Student%20Year%202024/Masters%20Data/Phase%202/2.4%20Perfromance%20requirements%20validation/Boo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"/>
      <sheetName val="SSDS"/>
      <sheetName val="Ground Station Control"/>
      <sheetName val="Object Detection Softwre"/>
      <sheetName val="Object Avoidance "/>
      <sheetName val="Geotagging Software"/>
      <sheetName val="Navigation Software"/>
      <sheetName val="Path PlanningFlight"/>
      <sheetName val="GIS"/>
      <sheetName val="API"/>
      <sheetName val="UI INterface"/>
      <sheetName val="Chassis"/>
      <sheetName val="Chassis Kit Cost"/>
      <sheetName val="Wheels"/>
      <sheetName val="Motors"/>
      <sheetName val="Motor Controller"/>
      <sheetName val="Suspension"/>
      <sheetName val="Batterry"/>
      <sheetName val="NavigationSenor"/>
      <sheetName val="IMU Sensor"/>
      <sheetName val="LiDAR Sensor"/>
      <sheetName val="Ultrasonic Sensors"/>
      <sheetName val="Control System"/>
      <sheetName val="Flight controller"/>
      <sheetName val="Wireless Communication Module"/>
      <sheetName val="Bluetooth Module"/>
      <sheetName val="RTK GPS Module"/>
    </sheetNames>
    <sheetDataSet>
      <sheetData sheetId="0">
        <row r="3">
          <cell r="D3">
            <v>25530</v>
          </cell>
        </row>
      </sheetData>
      <sheetData sheetId="1">
        <row r="20">
          <cell r="C20">
            <v>10545.847904082839</v>
          </cell>
        </row>
        <row r="21">
          <cell r="C21">
            <v>9828.2653617330488</v>
          </cell>
        </row>
        <row r="22">
          <cell r="C22">
            <v>10018.910757425037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M3">
            <v>7325.34</v>
          </cell>
          <cell r="N3">
            <v>6246.62</v>
          </cell>
        </row>
        <row r="4">
          <cell r="M4">
            <v>9983.2649999999994</v>
          </cell>
          <cell r="N4">
            <v>9320.4649999999983</v>
          </cell>
        </row>
        <row r="6">
          <cell r="M6">
            <v>12191.555</v>
          </cell>
          <cell r="N6">
            <v>11555.695</v>
          </cell>
        </row>
        <row r="9">
          <cell r="K9">
            <v>1.6652090220529774</v>
          </cell>
        </row>
      </sheetData>
      <sheetData sheetId="13"/>
      <sheetData sheetId="14">
        <row r="4">
          <cell r="B4">
            <v>1287.95</v>
          </cell>
        </row>
        <row r="5">
          <cell r="B5">
            <v>837.28</v>
          </cell>
        </row>
        <row r="6">
          <cell r="B6">
            <v>1391.47</v>
          </cell>
        </row>
      </sheetData>
      <sheetData sheetId="15"/>
      <sheetData sheetId="16"/>
      <sheetData sheetId="17">
        <row r="2">
          <cell r="B2">
            <v>995</v>
          </cell>
        </row>
        <row r="4">
          <cell r="B4">
            <v>2995</v>
          </cell>
        </row>
        <row r="5">
          <cell r="B5">
            <v>2495</v>
          </cell>
        </row>
        <row r="7">
          <cell r="B7">
            <v>1261</v>
          </cell>
        </row>
      </sheetData>
      <sheetData sheetId="18">
        <row r="2">
          <cell r="B2">
            <v>750</v>
          </cell>
        </row>
        <row r="5">
          <cell r="B5">
            <v>600</v>
          </cell>
        </row>
        <row r="8">
          <cell r="B8">
            <v>750</v>
          </cell>
        </row>
        <row r="9">
          <cell r="B9">
            <v>900</v>
          </cell>
        </row>
      </sheetData>
      <sheetData sheetId="19">
        <row r="2">
          <cell r="B2">
            <v>156.9</v>
          </cell>
        </row>
        <row r="5">
          <cell r="B5">
            <v>299.8</v>
          </cell>
        </row>
        <row r="6">
          <cell r="B6">
            <v>308.86</v>
          </cell>
        </row>
      </sheetData>
      <sheetData sheetId="20">
        <row r="2">
          <cell r="B2">
            <v>1572.5</v>
          </cell>
        </row>
        <row r="3">
          <cell r="B3">
            <v>1135.97</v>
          </cell>
        </row>
        <row r="5">
          <cell r="B5">
            <v>1814.67</v>
          </cell>
        </row>
        <row r="8">
          <cell r="B8">
            <v>1317.93</v>
          </cell>
        </row>
      </sheetData>
      <sheetData sheetId="21">
        <row r="7">
          <cell r="V7">
            <v>49.67</v>
          </cell>
        </row>
        <row r="9">
          <cell r="V9">
            <v>68.37</v>
          </cell>
        </row>
        <row r="10">
          <cell r="V10">
            <v>75.89</v>
          </cell>
        </row>
      </sheetData>
      <sheetData sheetId="22">
        <row r="4">
          <cell r="W4">
            <v>150</v>
          </cell>
        </row>
        <row r="5">
          <cell r="W5">
            <v>250</v>
          </cell>
        </row>
        <row r="10">
          <cell r="W10">
            <v>1500</v>
          </cell>
        </row>
        <row r="11">
          <cell r="W11">
            <v>1008.15</v>
          </cell>
        </row>
      </sheetData>
      <sheetData sheetId="23">
        <row r="2">
          <cell r="B2">
            <v>1648</v>
          </cell>
        </row>
        <row r="3">
          <cell r="B3">
            <v>699.95</v>
          </cell>
        </row>
      </sheetData>
      <sheetData sheetId="24">
        <row r="2">
          <cell r="C2">
            <v>50</v>
          </cell>
        </row>
        <row r="4">
          <cell r="C4">
            <v>100</v>
          </cell>
        </row>
        <row r="9">
          <cell r="C9">
            <v>60</v>
          </cell>
        </row>
        <row r="10">
          <cell r="C10">
            <v>50</v>
          </cell>
        </row>
      </sheetData>
      <sheetData sheetId="25">
        <row r="2">
          <cell r="C2">
            <v>80</v>
          </cell>
        </row>
        <row r="3">
          <cell r="C3">
            <v>70</v>
          </cell>
        </row>
        <row r="4">
          <cell r="C4">
            <v>100</v>
          </cell>
        </row>
        <row r="7">
          <cell r="C7">
            <v>120</v>
          </cell>
        </row>
        <row r="9">
          <cell r="C9">
            <v>60</v>
          </cell>
        </row>
        <row r="10">
          <cell r="C10">
            <v>70</v>
          </cell>
        </row>
      </sheetData>
      <sheetData sheetId="26">
        <row r="2">
          <cell r="C2">
            <v>3000</v>
          </cell>
        </row>
        <row r="6">
          <cell r="C6">
            <v>2500</v>
          </cell>
        </row>
        <row r="8">
          <cell r="C8">
            <v>3000</v>
          </cell>
        </row>
        <row r="11">
          <cell r="C11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24B9A-7FBE-477C-8A9F-D04FA1248DBF}">
  <dimension ref="A1:D13"/>
  <sheetViews>
    <sheetView workbookViewId="0">
      <selection activeCell="C21" sqref="C21"/>
    </sheetView>
  </sheetViews>
  <sheetFormatPr defaultRowHeight="14.4" x14ac:dyDescent="0.3"/>
  <cols>
    <col min="1" max="1" width="20.77734375" bestFit="1" customWidth="1"/>
    <col min="2" max="2" width="41.109375" customWidth="1"/>
    <col min="3" max="3" width="35.6640625" bestFit="1" customWidth="1"/>
    <col min="4" max="4" width="46.88671875" bestFit="1" customWidth="1"/>
    <col min="5" max="5" width="6" bestFit="1" customWidth="1"/>
    <col min="6" max="6" width="18.77734375" bestFit="1" customWidth="1"/>
    <col min="7" max="7" width="6" bestFit="1" customWidth="1"/>
  </cols>
  <sheetData>
    <row r="1" spans="1:4" ht="15" thickBot="1" x14ac:dyDescent="0.35">
      <c r="A1" s="8" t="s">
        <v>13</v>
      </c>
      <c r="B1" s="64" t="s">
        <v>1</v>
      </c>
      <c r="C1" s="9" t="s">
        <v>32</v>
      </c>
      <c r="D1" s="65" t="s">
        <v>2</v>
      </c>
    </row>
    <row r="2" spans="1:4" x14ac:dyDescent="0.3">
      <c r="A2" s="3" t="s">
        <v>3</v>
      </c>
      <c r="B2" s="5" t="s">
        <v>31</v>
      </c>
      <c r="C2" s="31" t="s">
        <v>31</v>
      </c>
      <c r="D2" s="66" t="s">
        <v>72</v>
      </c>
    </row>
    <row r="3" spans="1:4" x14ac:dyDescent="0.3">
      <c r="A3" s="3" t="s">
        <v>4</v>
      </c>
      <c r="B3" s="5" t="s">
        <v>33</v>
      </c>
      <c r="C3" s="31" t="s">
        <v>29</v>
      </c>
      <c r="D3" s="66" t="s">
        <v>30</v>
      </c>
    </row>
    <row r="4" spans="1:4" x14ac:dyDescent="0.3">
      <c r="A4" s="3" t="s">
        <v>5</v>
      </c>
      <c r="B4" s="5" t="s">
        <v>34</v>
      </c>
      <c r="C4" s="31" t="s">
        <v>35</v>
      </c>
      <c r="D4" s="66" t="s">
        <v>35</v>
      </c>
    </row>
    <row r="5" spans="1:4" x14ac:dyDescent="0.3">
      <c r="A5" s="3" t="s">
        <v>6</v>
      </c>
      <c r="B5" s="5" t="s">
        <v>36</v>
      </c>
      <c r="C5" s="31" t="s">
        <v>35</v>
      </c>
      <c r="D5" s="66" t="s">
        <v>35</v>
      </c>
    </row>
    <row r="6" spans="1:4" x14ac:dyDescent="0.3">
      <c r="A6" s="3" t="s">
        <v>7</v>
      </c>
      <c r="B6" s="5" t="s">
        <v>37</v>
      </c>
      <c r="C6" s="31" t="s">
        <v>38</v>
      </c>
      <c r="D6" s="66" t="s">
        <v>38</v>
      </c>
    </row>
    <row r="7" spans="1:4" x14ac:dyDescent="0.3">
      <c r="A7" s="3" t="s">
        <v>8</v>
      </c>
      <c r="B7" s="5" t="s">
        <v>39</v>
      </c>
      <c r="C7" s="31" t="s">
        <v>40</v>
      </c>
      <c r="D7" s="66" t="s">
        <v>46</v>
      </c>
    </row>
    <row r="8" spans="1:4" x14ac:dyDescent="0.3">
      <c r="A8" s="3" t="s">
        <v>9</v>
      </c>
      <c r="B8" s="5" t="s">
        <v>42</v>
      </c>
      <c r="C8" s="31" t="s">
        <v>41</v>
      </c>
      <c r="D8" s="66" t="s">
        <v>41</v>
      </c>
    </row>
    <row r="9" spans="1:4" x14ac:dyDescent="0.3">
      <c r="A9" s="3" t="s">
        <v>10</v>
      </c>
      <c r="B9" s="5" t="s">
        <v>43</v>
      </c>
      <c r="C9" s="31" t="s">
        <v>38</v>
      </c>
      <c r="D9" s="66" t="s">
        <v>37</v>
      </c>
    </row>
    <row r="10" spans="1:4" x14ac:dyDescent="0.3">
      <c r="A10" s="3" t="s">
        <v>11</v>
      </c>
      <c r="B10" s="5" t="s">
        <v>44</v>
      </c>
      <c r="C10" s="31" t="s">
        <v>35</v>
      </c>
      <c r="D10" s="66" t="s">
        <v>35</v>
      </c>
    </row>
    <row r="11" spans="1:4" ht="15" thickBot="1" x14ac:dyDescent="0.35">
      <c r="A11" s="3" t="s">
        <v>12</v>
      </c>
      <c r="B11" s="5" t="s">
        <v>45</v>
      </c>
      <c r="C11" s="31" t="s">
        <v>29</v>
      </c>
      <c r="D11" s="66" t="s">
        <v>30</v>
      </c>
    </row>
    <row r="12" spans="1:4" x14ac:dyDescent="0.3">
      <c r="A12" s="61" t="s">
        <v>73</v>
      </c>
      <c r="B12" s="62" t="s">
        <v>74</v>
      </c>
      <c r="C12" s="68" t="s">
        <v>77</v>
      </c>
      <c r="D12" s="67" t="s">
        <v>76</v>
      </c>
    </row>
    <row r="13" spans="1:4" ht="15" thickBot="1" x14ac:dyDescent="0.35">
      <c r="A13" s="4" t="s">
        <v>75</v>
      </c>
      <c r="B13" s="63" t="s">
        <v>78</v>
      </c>
      <c r="C13" s="4"/>
      <c r="D1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19605-A4A0-45A3-A336-07EAF0737074}">
  <dimension ref="A1:D22"/>
  <sheetViews>
    <sheetView zoomScale="90" workbookViewId="0">
      <selection activeCell="B45" sqref="B45"/>
    </sheetView>
  </sheetViews>
  <sheetFormatPr defaultRowHeight="14.4" x14ac:dyDescent="0.3"/>
  <cols>
    <col min="1" max="1" width="30" bestFit="1" customWidth="1"/>
    <col min="2" max="2" width="25.5546875" bestFit="1" customWidth="1"/>
    <col min="3" max="3" width="16.33203125" bestFit="1" customWidth="1"/>
  </cols>
  <sheetData>
    <row r="1" spans="1:4" ht="15" thickBot="1" x14ac:dyDescent="0.35">
      <c r="A1" s="10" t="s">
        <v>0</v>
      </c>
      <c r="B1" s="1"/>
      <c r="C1" s="2" t="s">
        <v>1</v>
      </c>
    </row>
    <row r="2" spans="1:4" ht="15" thickBot="1" x14ac:dyDescent="0.35">
      <c r="A2" s="11" t="s">
        <v>14</v>
      </c>
      <c r="B2" s="7"/>
      <c r="C2" s="6" t="s">
        <v>49</v>
      </c>
    </row>
    <row r="3" spans="1:4" x14ac:dyDescent="0.3">
      <c r="A3" s="13" t="s">
        <v>54</v>
      </c>
      <c r="B3" s="15"/>
      <c r="C3" s="25">
        <f>AVERAGE([1]SSDS!$C$20:$C$22)</f>
        <v>10131.008007746976</v>
      </c>
      <c r="D3">
        <v>2</v>
      </c>
    </row>
    <row r="4" spans="1:4" x14ac:dyDescent="0.3">
      <c r="A4" s="13" t="s">
        <v>58</v>
      </c>
      <c r="B4" s="21"/>
      <c r="C4" s="22">
        <f>AVERAGE(1750,3750,2798)</f>
        <v>2766</v>
      </c>
      <c r="D4">
        <v>1</v>
      </c>
    </row>
    <row r="5" spans="1:4" x14ac:dyDescent="0.3">
      <c r="A5" s="13" t="s">
        <v>48</v>
      </c>
      <c r="B5" s="16" t="s">
        <v>50</v>
      </c>
      <c r="C5" s="22">
        <f>AVERAGE(3500,4750,5750)</f>
        <v>4666.666666666667</v>
      </c>
      <c r="D5">
        <v>4</v>
      </c>
    </row>
    <row r="6" spans="1:4" x14ac:dyDescent="0.3">
      <c r="A6" s="13" t="s">
        <v>15</v>
      </c>
      <c r="B6" s="16" t="s">
        <v>50</v>
      </c>
      <c r="C6" s="22">
        <f>AVERAGE(2250,3000,3750)</f>
        <v>3000</v>
      </c>
      <c r="D6">
        <v>4</v>
      </c>
    </row>
    <row r="7" spans="1:4" x14ac:dyDescent="0.3">
      <c r="A7" s="13" t="s">
        <v>16</v>
      </c>
      <c r="B7" s="3" t="s">
        <v>51</v>
      </c>
      <c r="C7" s="22">
        <f>800*4</f>
        <v>3200</v>
      </c>
      <c r="D7">
        <v>1</v>
      </c>
    </row>
    <row r="8" spans="1:4" x14ac:dyDescent="0.3">
      <c r="A8" s="13" t="s">
        <v>17</v>
      </c>
      <c r="B8" s="3" t="s">
        <v>52</v>
      </c>
      <c r="C8" s="22">
        <f>18.99*2*18.5</f>
        <v>702.63</v>
      </c>
      <c r="D8">
        <v>1</v>
      </c>
    </row>
    <row r="9" spans="1:4" x14ac:dyDescent="0.3">
      <c r="A9" s="13" t="s">
        <v>18</v>
      </c>
      <c r="B9" s="3" t="s">
        <v>53</v>
      </c>
      <c r="C9" s="22">
        <f>AVERAGE([1]Motors!$B$4,[1]Motors!$B$5,[1]Motors!$B$6)*4</f>
        <v>4688.9333333333334</v>
      </c>
      <c r="D9">
        <v>1</v>
      </c>
    </row>
    <row r="10" spans="1:4" x14ac:dyDescent="0.3">
      <c r="A10" s="13" t="s">
        <v>20</v>
      </c>
      <c r="B10" s="3"/>
      <c r="C10" s="22">
        <f>AVERAGE([1]NavigationSenor!$B$2,[1]NavigationSenor!$B$5,[1]NavigationSenor!$B$8,[1]NavigationSenor!$B$9)</f>
        <v>750</v>
      </c>
      <c r="D10">
        <v>1</v>
      </c>
    </row>
    <row r="11" spans="1:4" x14ac:dyDescent="0.3">
      <c r="A11" s="13" t="s">
        <v>21</v>
      </c>
      <c r="B11" s="3"/>
      <c r="C11" s="22">
        <f>AVERAGE('[1]IMU Sensor'!$B$2,'[1]IMU Sensor'!$B$5,'[1]IMU Sensor'!$B$6)</f>
        <v>255.1866666666667</v>
      </c>
      <c r="D11">
        <v>1</v>
      </c>
    </row>
    <row r="12" spans="1:4" x14ac:dyDescent="0.3">
      <c r="A12" s="13" t="s">
        <v>22</v>
      </c>
      <c r="B12" s="3"/>
      <c r="C12" s="22">
        <f>AVERAGE('[1]LiDAR Sensor'!$B$2,'[1]LiDAR Sensor'!$B$3,'[1]LiDAR Sensor'!$B$5,'[1]LiDAR Sensor'!$B$8)</f>
        <v>1460.2675000000002</v>
      </c>
      <c r="D12">
        <v>1</v>
      </c>
    </row>
    <row r="13" spans="1:4" x14ac:dyDescent="0.3">
      <c r="A13" s="13" t="s">
        <v>23</v>
      </c>
      <c r="B13" s="3"/>
      <c r="C13" s="22">
        <f>AVERAGE('[1]Ultrasonic Sensors'!$V$7,'[1]Ultrasonic Sensors'!$V$9,'[1]Ultrasonic Sensors'!$V$10)</f>
        <v>64.643333333333331</v>
      </c>
      <c r="D13">
        <v>1</v>
      </c>
    </row>
    <row r="14" spans="1:4" x14ac:dyDescent="0.3">
      <c r="A14" s="13" t="s">
        <v>24</v>
      </c>
      <c r="B14" s="3"/>
      <c r="C14" s="22">
        <f>AVERAGE('[1]Control System'!$W$4,'[1]Control System'!$W$5,'[1]Control System'!$W$10,'[1]Control System'!$W$11)</f>
        <v>727.03750000000002</v>
      </c>
      <c r="D14">
        <v>1</v>
      </c>
    </row>
    <row r="15" spans="1:4" x14ac:dyDescent="0.3">
      <c r="A15" s="13" t="s">
        <v>47</v>
      </c>
      <c r="B15" s="3"/>
      <c r="C15" s="22">
        <f>AVERAGE('[1]Flight controller'!$B$2:$B$3)</f>
        <v>1173.9749999999999</v>
      </c>
      <c r="D15">
        <v>1</v>
      </c>
    </row>
    <row r="16" spans="1:4" x14ac:dyDescent="0.3">
      <c r="A16" s="13" t="s">
        <v>25</v>
      </c>
      <c r="B16" s="3"/>
      <c r="C16" s="22">
        <f>AVERAGE('[1]Wireless Communication Module'!$C$10,'[1]Wireless Communication Module'!$C$9,'[1]Wireless Communication Module'!$C$4,'[1]Wireless Communication Module'!$C$2)</f>
        <v>65</v>
      </c>
      <c r="D16">
        <v>1</v>
      </c>
    </row>
    <row r="17" spans="1:4" x14ac:dyDescent="0.3">
      <c r="A17" s="13" t="s">
        <v>26</v>
      </c>
      <c r="B17" s="3"/>
      <c r="C17" s="22">
        <f>AVERAGE('[1]Bluetooth Module'!$C$10,'[1]Bluetooth Module'!$C$9,'[1]Bluetooth Module'!$C$7,'[1]Bluetooth Module'!$C$4,'[1]Bluetooth Module'!$C$3,'[1]Bluetooth Module'!$C$2)</f>
        <v>83.333333333333329</v>
      </c>
      <c r="D17">
        <v>1</v>
      </c>
    </row>
    <row r="18" spans="1:4" ht="16.2" customHeight="1" x14ac:dyDescent="0.3">
      <c r="A18" s="13" t="s">
        <v>27</v>
      </c>
      <c r="B18" s="3"/>
      <c r="C18" s="22">
        <f>AVERAGE('[1]RTK GPS Module'!$C$11,'[1]RTK GPS Module'!$C$8,'[1]RTK GPS Module'!$C$6,'[1]RTK GPS Module'!$C$2)</f>
        <v>2625</v>
      </c>
      <c r="D18">
        <v>1</v>
      </c>
    </row>
    <row r="19" spans="1:4" ht="15" thickBot="1" x14ac:dyDescent="0.35">
      <c r="A19" s="18" t="s">
        <v>19</v>
      </c>
      <c r="B19" s="17"/>
      <c r="C19" s="22">
        <f>AVERAGE([1]Batterry!$B$2,[1]Batterry!$B$4,[1]Batterry!$B$5,[1]Batterry!$B$7)</f>
        <v>1936.5</v>
      </c>
      <c r="D19">
        <v>1</v>
      </c>
    </row>
    <row r="20" spans="1:4" ht="15" thickBot="1" x14ac:dyDescent="0.35">
      <c r="C20" s="49" t="s">
        <v>66</v>
      </c>
      <c r="D20" s="50">
        <f>SUM(D3:D19)</f>
        <v>24</v>
      </c>
    </row>
    <row r="21" spans="1:4" ht="15" thickBot="1" x14ac:dyDescent="0.35">
      <c r="C21" s="23"/>
    </row>
    <row r="22" spans="1:4" ht="15" thickBot="1" x14ac:dyDescent="0.35">
      <c r="A22" s="19" t="s">
        <v>28</v>
      </c>
      <c r="B22" s="20"/>
      <c r="C22" s="24">
        <f>SUM(C3:C19)</f>
        <v>38296.181341080315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A948F-2656-44ED-B1FD-7BAACA48FBB4}">
  <dimension ref="A1:D23"/>
  <sheetViews>
    <sheetView workbookViewId="0">
      <selection sqref="A1:D22"/>
    </sheetView>
  </sheetViews>
  <sheetFormatPr defaultRowHeight="14.4" x14ac:dyDescent="0.3"/>
  <cols>
    <col min="1" max="1" width="30" bestFit="1" customWidth="1"/>
    <col min="2" max="2" width="25.5546875" bestFit="1" customWidth="1"/>
    <col min="3" max="3" width="16.33203125" bestFit="1" customWidth="1"/>
  </cols>
  <sheetData>
    <row r="1" spans="1:4" ht="15" thickBot="1" x14ac:dyDescent="0.35">
      <c r="A1" s="10" t="s">
        <v>62</v>
      </c>
      <c r="B1" s="1"/>
      <c r="C1" s="2" t="s">
        <v>1</v>
      </c>
    </row>
    <row r="2" spans="1:4" ht="15" thickBot="1" x14ac:dyDescent="0.35">
      <c r="A2" s="11" t="s">
        <v>14</v>
      </c>
      <c r="B2" s="7"/>
      <c r="C2" s="6" t="s">
        <v>49</v>
      </c>
    </row>
    <row r="3" spans="1:4" x14ac:dyDescent="0.3">
      <c r="A3" s="13" t="s">
        <v>54</v>
      </c>
      <c r="B3" s="15"/>
      <c r="C3" s="25">
        <f>AVERAGE([1]SSDS!$C$20:$C$22)</f>
        <v>10131.008007746976</v>
      </c>
      <c r="D3">
        <v>2</v>
      </c>
    </row>
    <row r="4" spans="1:4" x14ac:dyDescent="0.3">
      <c r="A4" s="13" t="s">
        <v>58</v>
      </c>
      <c r="B4" s="21"/>
      <c r="C4" s="22">
        <f>AVERAGE(1750,3750,2798)</f>
        <v>2766</v>
      </c>
      <c r="D4">
        <v>1</v>
      </c>
    </row>
    <row r="5" spans="1:4" x14ac:dyDescent="0.3">
      <c r="A5" s="13" t="s">
        <v>48</v>
      </c>
      <c r="B5" s="16" t="s">
        <v>50</v>
      </c>
      <c r="C5" s="22">
        <f>AVERAGE(3500,4750,5750)</f>
        <v>4666.666666666667</v>
      </c>
      <c r="D5">
        <v>4</v>
      </c>
    </row>
    <row r="6" spans="1:4" x14ac:dyDescent="0.3">
      <c r="A6" s="13" t="s">
        <v>15</v>
      </c>
      <c r="B6" s="16" t="s">
        <v>55</v>
      </c>
      <c r="C6" s="22">
        <f>3000/'[1]Chassis Kit Cost'!$K$9</f>
        <v>1801.5756342116174</v>
      </c>
      <c r="D6">
        <v>3</v>
      </c>
    </row>
    <row r="7" spans="1:4" x14ac:dyDescent="0.3">
      <c r="A7" s="13" t="s">
        <v>16</v>
      </c>
      <c r="B7" s="3" t="s">
        <v>51</v>
      </c>
      <c r="C7" s="22">
        <f>800*4</f>
        <v>3200</v>
      </c>
      <c r="D7">
        <v>1</v>
      </c>
    </row>
    <row r="8" spans="1:4" x14ac:dyDescent="0.3">
      <c r="A8" s="13" t="s">
        <v>17</v>
      </c>
      <c r="B8" s="3" t="s">
        <v>52</v>
      </c>
      <c r="C8" s="22">
        <f>18.99*2*18.5</f>
        <v>702.63</v>
      </c>
      <c r="D8">
        <v>1</v>
      </c>
    </row>
    <row r="9" spans="1:4" x14ac:dyDescent="0.3">
      <c r="A9" s="13" t="s">
        <v>18</v>
      </c>
      <c r="B9" s="3" t="s">
        <v>53</v>
      </c>
      <c r="C9" s="22">
        <f>AVERAGE([1]Motors!$B$4,[1]Motors!$B$5,[1]Motors!$B$6)*4</f>
        <v>4688.9333333333334</v>
      </c>
      <c r="D9">
        <v>1</v>
      </c>
    </row>
    <row r="10" spans="1:4" x14ac:dyDescent="0.3">
      <c r="A10" s="13" t="s">
        <v>20</v>
      </c>
      <c r="B10" s="3"/>
      <c r="C10" s="22">
        <f>AVERAGE([1]NavigationSenor!$B$2,[1]NavigationSenor!$B$5,[1]NavigationSenor!$B$8,[1]NavigationSenor!$B$9)</f>
        <v>750</v>
      </c>
      <c r="D10">
        <v>1</v>
      </c>
    </row>
    <row r="11" spans="1:4" x14ac:dyDescent="0.3">
      <c r="A11" s="13" t="s">
        <v>21</v>
      </c>
      <c r="B11" s="3"/>
      <c r="C11" s="22">
        <f>AVERAGE('[1]IMU Sensor'!$B$2,'[1]IMU Sensor'!$B$5,'[1]IMU Sensor'!$B$6)</f>
        <v>255.1866666666667</v>
      </c>
      <c r="D11">
        <v>1</v>
      </c>
    </row>
    <row r="12" spans="1:4" x14ac:dyDescent="0.3">
      <c r="A12" s="13" t="s">
        <v>22</v>
      </c>
      <c r="B12" s="3"/>
      <c r="C12" s="22">
        <f>AVERAGE('[1]LiDAR Sensor'!$B$2,'[1]LiDAR Sensor'!$B$3,'[1]LiDAR Sensor'!$B$5,'[1]LiDAR Sensor'!$B$8)</f>
        <v>1460.2675000000002</v>
      </c>
      <c r="D12">
        <v>1</v>
      </c>
    </row>
    <row r="13" spans="1:4" x14ac:dyDescent="0.3">
      <c r="A13" s="13" t="s">
        <v>23</v>
      </c>
      <c r="B13" s="3"/>
      <c r="C13" s="22">
        <f>AVERAGE('[1]Ultrasonic Sensors'!$V$7,'[1]Ultrasonic Sensors'!$V$9,'[1]Ultrasonic Sensors'!$V$10)</f>
        <v>64.643333333333331</v>
      </c>
      <c r="D13">
        <v>1</v>
      </c>
    </row>
    <row r="14" spans="1:4" x14ac:dyDescent="0.3">
      <c r="A14" s="13" t="s">
        <v>24</v>
      </c>
      <c r="B14" s="3"/>
      <c r="C14" s="22">
        <f>AVERAGE('[1]Control System'!$W$4,'[1]Control System'!$W$5,'[1]Control System'!$W$10,'[1]Control System'!$W$11)</f>
        <v>727.03750000000002</v>
      </c>
      <c r="D14">
        <v>1</v>
      </c>
    </row>
    <row r="15" spans="1:4" x14ac:dyDescent="0.3">
      <c r="A15" s="13" t="s">
        <v>47</v>
      </c>
      <c r="B15" s="3"/>
      <c r="C15" s="22">
        <f>AVERAGE('[1]Flight controller'!$B$2:$B$3)</f>
        <v>1173.9749999999999</v>
      </c>
      <c r="D15">
        <v>1</v>
      </c>
    </row>
    <row r="16" spans="1:4" x14ac:dyDescent="0.3">
      <c r="A16" s="13" t="s">
        <v>25</v>
      </c>
      <c r="B16" s="3"/>
      <c r="C16" s="22">
        <f>AVERAGE('[1]Wireless Communication Module'!$C$10,'[1]Wireless Communication Module'!$C$9,'[1]Wireless Communication Module'!$C$4,'[1]Wireless Communication Module'!$C$2)</f>
        <v>65</v>
      </c>
      <c r="D16">
        <v>1</v>
      </c>
    </row>
    <row r="17" spans="1:4" x14ac:dyDescent="0.3">
      <c r="A17" s="13" t="s">
        <v>26</v>
      </c>
      <c r="B17" s="3"/>
      <c r="C17" s="22">
        <f>AVERAGE('[1]Bluetooth Module'!$C$10,'[1]Bluetooth Module'!$C$9,'[1]Bluetooth Module'!$C$7,'[1]Bluetooth Module'!$C$4,'[1]Bluetooth Module'!$C$3,'[1]Bluetooth Module'!$C$2)</f>
        <v>83.333333333333329</v>
      </c>
      <c r="D17">
        <v>1</v>
      </c>
    </row>
    <row r="18" spans="1:4" x14ac:dyDescent="0.3">
      <c r="A18" s="13" t="s">
        <v>27</v>
      </c>
      <c r="B18" s="3"/>
      <c r="C18" s="22">
        <f>AVERAGE('[1]RTK GPS Module'!$C$11,'[1]RTK GPS Module'!$C$8,'[1]RTK GPS Module'!$C$6,'[1]RTK GPS Module'!$C$2)</f>
        <v>2625</v>
      </c>
      <c r="D18">
        <v>1</v>
      </c>
    </row>
    <row r="19" spans="1:4" ht="15" thickBot="1" x14ac:dyDescent="0.35">
      <c r="A19" s="18" t="s">
        <v>19</v>
      </c>
      <c r="B19" s="17"/>
      <c r="C19" s="22">
        <f>AVERAGE([1]Batterry!$B$2,[1]Batterry!$B$4,[1]Batterry!$B$5,[1]Batterry!$B$7)</f>
        <v>1936.5</v>
      </c>
      <c r="D19">
        <v>1</v>
      </c>
    </row>
    <row r="20" spans="1:4" ht="15" thickBot="1" x14ac:dyDescent="0.35">
      <c r="C20" s="49" t="s">
        <v>66</v>
      </c>
      <c r="D20" s="50">
        <f>SUM(D3:D19)</f>
        <v>23</v>
      </c>
    </row>
    <row r="21" spans="1:4" ht="15" thickBot="1" x14ac:dyDescent="0.35">
      <c r="C21" s="23"/>
    </row>
    <row r="22" spans="1:4" ht="15" thickBot="1" x14ac:dyDescent="0.35">
      <c r="A22" s="19" t="s">
        <v>28</v>
      </c>
      <c r="B22" s="20"/>
      <c r="C22" s="24">
        <f>SUM(C3:C19)</f>
        <v>37097.75697529193</v>
      </c>
    </row>
    <row r="23" spans="1:4" ht="15" thickBot="1" x14ac:dyDescent="0.35">
      <c r="A23" s="12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159B5-A01C-4A0D-B736-7257E6A78865}">
  <dimension ref="A1:D23"/>
  <sheetViews>
    <sheetView workbookViewId="0">
      <selection activeCell="D22" sqref="A1:D22"/>
    </sheetView>
  </sheetViews>
  <sheetFormatPr defaultRowHeight="14.4" x14ac:dyDescent="0.3"/>
  <cols>
    <col min="1" max="1" width="30" bestFit="1" customWidth="1"/>
    <col min="2" max="2" width="25.5546875" bestFit="1" customWidth="1"/>
    <col min="3" max="3" width="16.33203125" bestFit="1" customWidth="1"/>
  </cols>
  <sheetData>
    <row r="1" spans="1:4" ht="15" thickBot="1" x14ac:dyDescent="0.35">
      <c r="A1" s="10" t="s">
        <v>0</v>
      </c>
      <c r="B1" s="1"/>
      <c r="C1" s="2" t="s">
        <v>2</v>
      </c>
    </row>
    <row r="2" spans="1:4" ht="15" thickBot="1" x14ac:dyDescent="0.35">
      <c r="A2" s="11" t="s">
        <v>14</v>
      </c>
      <c r="B2" s="7"/>
      <c r="C2" s="6" t="s">
        <v>49</v>
      </c>
    </row>
    <row r="3" spans="1:4" x14ac:dyDescent="0.3">
      <c r="A3" s="13" t="s">
        <v>54</v>
      </c>
      <c r="B3" s="15"/>
      <c r="C3" s="25">
        <f>AVERAGE([1]SSDS!$C$20:$C$22)</f>
        <v>10131.008007746976</v>
      </c>
      <c r="D3">
        <v>2</v>
      </c>
    </row>
    <row r="4" spans="1:4" x14ac:dyDescent="0.3">
      <c r="A4" s="13" t="s">
        <v>58</v>
      </c>
      <c r="B4" s="21"/>
      <c r="C4" s="22">
        <f>AVERAGE(1750,3750,2798)</f>
        <v>2766</v>
      </c>
      <c r="D4">
        <v>1</v>
      </c>
    </row>
    <row r="5" spans="1:4" x14ac:dyDescent="0.3">
      <c r="A5" s="13" t="s">
        <v>48</v>
      </c>
      <c r="B5" s="16" t="s">
        <v>56</v>
      </c>
      <c r="C5" s="22">
        <f>AVERAGE(1150,900,2250,3000,2150,1800)</f>
        <v>1875</v>
      </c>
      <c r="D5">
        <v>2</v>
      </c>
    </row>
    <row r="6" spans="1:4" x14ac:dyDescent="0.3">
      <c r="A6" s="13" t="s">
        <v>15</v>
      </c>
      <c r="B6" s="16" t="s">
        <v>50</v>
      </c>
      <c r="C6" s="22">
        <f>AVERAGE(2250,3000,3750)</f>
        <v>3000</v>
      </c>
      <c r="D6">
        <v>4</v>
      </c>
    </row>
    <row r="7" spans="1:4" x14ac:dyDescent="0.3">
      <c r="A7" s="13" t="s">
        <v>16</v>
      </c>
      <c r="B7" s="3" t="s">
        <v>51</v>
      </c>
      <c r="C7" s="22">
        <f>800*4</f>
        <v>3200</v>
      </c>
      <c r="D7">
        <v>1</v>
      </c>
    </row>
    <row r="8" spans="1:4" x14ac:dyDescent="0.3">
      <c r="A8" s="13" t="s">
        <v>17</v>
      </c>
      <c r="B8" s="3" t="s">
        <v>52</v>
      </c>
      <c r="C8" s="22">
        <f>18.99*2*18.5</f>
        <v>702.63</v>
      </c>
      <c r="D8">
        <v>1</v>
      </c>
    </row>
    <row r="9" spans="1:4" x14ac:dyDescent="0.3">
      <c r="A9" s="13" t="s">
        <v>18</v>
      </c>
      <c r="B9" s="3" t="s">
        <v>53</v>
      </c>
      <c r="C9" s="22">
        <f>AVERAGE([1]Motors!$B$4,[1]Motors!$B$5,[1]Motors!$B$6)*4</f>
        <v>4688.9333333333334</v>
      </c>
      <c r="D9">
        <v>1</v>
      </c>
    </row>
    <row r="10" spans="1:4" x14ac:dyDescent="0.3">
      <c r="A10" s="13" t="s">
        <v>20</v>
      </c>
      <c r="B10" s="3"/>
      <c r="C10" s="22">
        <f>AVERAGE([1]NavigationSenor!$B$2,[1]NavigationSenor!$B$5,[1]NavigationSenor!$B$8,[1]NavigationSenor!$B$9)</f>
        <v>750</v>
      </c>
      <c r="D10">
        <v>1</v>
      </c>
    </row>
    <row r="11" spans="1:4" x14ac:dyDescent="0.3">
      <c r="A11" s="13" t="s">
        <v>21</v>
      </c>
      <c r="B11" s="3"/>
      <c r="C11" s="22">
        <f>AVERAGE('[1]IMU Sensor'!$B$2,'[1]IMU Sensor'!$B$5,'[1]IMU Sensor'!$B$6)</f>
        <v>255.1866666666667</v>
      </c>
      <c r="D11">
        <v>1</v>
      </c>
    </row>
    <row r="12" spans="1:4" x14ac:dyDescent="0.3">
      <c r="A12" s="13" t="s">
        <v>22</v>
      </c>
      <c r="B12" s="3"/>
      <c r="C12" s="22">
        <f>AVERAGE('[1]LiDAR Sensor'!$B$2,'[1]LiDAR Sensor'!$B$3,'[1]LiDAR Sensor'!$B$5,'[1]LiDAR Sensor'!$B$8)</f>
        <v>1460.2675000000002</v>
      </c>
      <c r="D12">
        <v>1</v>
      </c>
    </row>
    <row r="13" spans="1:4" x14ac:dyDescent="0.3">
      <c r="A13" s="13" t="s">
        <v>23</v>
      </c>
      <c r="B13" s="3"/>
      <c r="C13" s="22">
        <f>AVERAGE('[1]Ultrasonic Sensors'!$V$7,'[1]Ultrasonic Sensors'!$V$9,'[1]Ultrasonic Sensors'!$V$10)</f>
        <v>64.643333333333331</v>
      </c>
      <c r="D13">
        <v>1</v>
      </c>
    </row>
    <row r="14" spans="1:4" x14ac:dyDescent="0.3">
      <c r="A14" s="13" t="s">
        <v>24</v>
      </c>
      <c r="B14" s="3"/>
      <c r="C14" s="22">
        <f>AVERAGE('[1]Control System'!$W$4,'[1]Control System'!$W$5,'[1]Control System'!$W$10,'[1]Control System'!$W$11)</f>
        <v>727.03750000000002</v>
      </c>
      <c r="D14">
        <v>1</v>
      </c>
    </row>
    <row r="15" spans="1:4" x14ac:dyDescent="0.3">
      <c r="A15" s="13" t="s">
        <v>47</v>
      </c>
      <c r="B15" s="3"/>
      <c r="C15" s="22">
        <f>AVERAGE('[1]Flight controller'!$B$2:$B$3)</f>
        <v>1173.9749999999999</v>
      </c>
      <c r="D15">
        <v>1</v>
      </c>
    </row>
    <row r="16" spans="1:4" x14ac:dyDescent="0.3">
      <c r="A16" s="13" t="s">
        <v>25</v>
      </c>
      <c r="B16" s="3"/>
      <c r="C16" s="22">
        <f>AVERAGE('[1]Wireless Communication Module'!$C$10,'[1]Wireless Communication Module'!$C$9,'[1]Wireless Communication Module'!$C$4,'[1]Wireless Communication Module'!$C$2)</f>
        <v>65</v>
      </c>
      <c r="D16">
        <v>1</v>
      </c>
    </row>
    <row r="17" spans="1:4" x14ac:dyDescent="0.3">
      <c r="A17" s="13" t="s">
        <v>26</v>
      </c>
      <c r="B17" s="3"/>
      <c r="C17" s="22">
        <f>AVERAGE('[1]Bluetooth Module'!$C$10,'[1]Bluetooth Module'!$C$9,'[1]Bluetooth Module'!$C$7,'[1]Bluetooth Module'!$C$4,'[1]Bluetooth Module'!$C$3,'[1]Bluetooth Module'!$C$2)</f>
        <v>83.333333333333329</v>
      </c>
      <c r="D17">
        <v>1</v>
      </c>
    </row>
    <row r="18" spans="1:4" x14ac:dyDescent="0.3">
      <c r="A18" s="13" t="s">
        <v>27</v>
      </c>
      <c r="B18" s="3"/>
      <c r="C18" s="22">
        <f>AVERAGE('[1]RTK GPS Module'!$C$11,'[1]RTK GPS Module'!$C$8,'[1]RTK GPS Module'!$C$6,'[1]RTK GPS Module'!$C$2)</f>
        <v>2625</v>
      </c>
      <c r="D18">
        <v>1</v>
      </c>
    </row>
    <row r="19" spans="1:4" ht="15" thickBot="1" x14ac:dyDescent="0.35">
      <c r="A19" s="18" t="s">
        <v>19</v>
      </c>
      <c r="B19" s="17"/>
      <c r="C19" s="22">
        <f>AVERAGE([1]Batterry!$B$2,[1]Batterry!$B$4,[1]Batterry!$B$5,[1]Batterry!$B$7)</f>
        <v>1936.5</v>
      </c>
      <c r="D19">
        <v>1</v>
      </c>
    </row>
    <row r="20" spans="1:4" ht="15" thickBot="1" x14ac:dyDescent="0.35">
      <c r="C20" s="49" t="s">
        <v>66</v>
      </c>
      <c r="D20" s="50">
        <f>SUM(D3:D19)</f>
        <v>22</v>
      </c>
    </row>
    <row r="21" spans="1:4" ht="15" thickBot="1" x14ac:dyDescent="0.35">
      <c r="C21" s="23"/>
    </row>
    <row r="22" spans="1:4" ht="15" thickBot="1" x14ac:dyDescent="0.35">
      <c r="A22" s="19" t="s">
        <v>28</v>
      </c>
      <c r="B22" s="20"/>
      <c r="C22" s="24">
        <f>SUM(C3:C19)</f>
        <v>35504.514674413644</v>
      </c>
    </row>
    <row r="23" spans="1:4" ht="15" thickBot="1" x14ac:dyDescent="0.35">
      <c r="A23" s="12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1DFF7-D42E-466B-A4E2-763F3A092469}">
  <dimension ref="A1:D23"/>
  <sheetViews>
    <sheetView workbookViewId="0">
      <selection activeCell="D22" sqref="A1:D22"/>
    </sheetView>
  </sheetViews>
  <sheetFormatPr defaultRowHeight="14.4" x14ac:dyDescent="0.3"/>
  <cols>
    <col min="1" max="1" width="30" bestFit="1" customWidth="1"/>
    <col min="2" max="2" width="25.5546875" bestFit="1" customWidth="1"/>
    <col min="3" max="3" width="16.33203125" bestFit="1" customWidth="1"/>
  </cols>
  <sheetData>
    <row r="1" spans="1:4" ht="15" thickBot="1" x14ac:dyDescent="0.35">
      <c r="A1" s="10" t="s">
        <v>0</v>
      </c>
      <c r="B1" s="1"/>
      <c r="C1" s="2" t="s">
        <v>61</v>
      </c>
    </row>
    <row r="2" spans="1:4" ht="15" thickBot="1" x14ac:dyDescent="0.35">
      <c r="A2" s="11" t="s">
        <v>14</v>
      </c>
      <c r="B2" s="7"/>
      <c r="C2" s="6" t="s">
        <v>49</v>
      </c>
    </row>
    <row r="3" spans="1:4" x14ac:dyDescent="0.3">
      <c r="A3" s="13" t="s">
        <v>54</v>
      </c>
      <c r="B3" s="15"/>
      <c r="C3" s="25">
        <f>AVERAGE([1]SSDS!$C$20:$C$22)</f>
        <v>10131.008007746976</v>
      </c>
      <c r="D3">
        <v>2</v>
      </c>
    </row>
    <row r="4" spans="1:4" x14ac:dyDescent="0.3">
      <c r="A4" s="13" t="s">
        <v>58</v>
      </c>
      <c r="B4" s="21"/>
      <c r="C4" s="22">
        <f>AVERAGE(1750,3750,2798)</f>
        <v>2766</v>
      </c>
      <c r="D4">
        <v>1</v>
      </c>
    </row>
    <row r="5" spans="1:4" x14ac:dyDescent="0.3">
      <c r="A5" s="13" t="s">
        <v>48</v>
      </c>
      <c r="B5" s="16" t="s">
        <v>56</v>
      </c>
      <c r="C5" s="22">
        <f>'3'!C5</f>
        <v>1875</v>
      </c>
      <c r="D5">
        <v>2</v>
      </c>
    </row>
    <row r="6" spans="1:4" x14ac:dyDescent="0.3">
      <c r="A6" s="13" t="s">
        <v>15</v>
      </c>
      <c r="B6" s="16" t="s">
        <v>55</v>
      </c>
      <c r="C6" s="22">
        <f>'2'!C6</f>
        <v>1801.5756342116174</v>
      </c>
      <c r="D6">
        <v>3</v>
      </c>
    </row>
    <row r="7" spans="1:4" x14ac:dyDescent="0.3">
      <c r="A7" s="13" t="s">
        <v>16</v>
      </c>
      <c r="B7" s="3" t="s">
        <v>51</v>
      </c>
      <c r="C7" s="22">
        <f>800*4</f>
        <v>3200</v>
      </c>
      <c r="D7">
        <v>1</v>
      </c>
    </row>
    <row r="8" spans="1:4" x14ac:dyDescent="0.3">
      <c r="A8" s="13" t="s">
        <v>17</v>
      </c>
      <c r="B8" s="3" t="s">
        <v>52</v>
      </c>
      <c r="C8" s="22">
        <f>18.99*2*18.5</f>
        <v>702.63</v>
      </c>
      <c r="D8">
        <v>1</v>
      </c>
    </row>
    <row r="9" spans="1:4" x14ac:dyDescent="0.3">
      <c r="A9" s="13" t="s">
        <v>18</v>
      </c>
      <c r="B9" s="3" t="s">
        <v>53</v>
      </c>
      <c r="C9" s="22">
        <f>AVERAGE([1]Motors!$B$4,[1]Motors!$B$5,[1]Motors!$B$6)*4</f>
        <v>4688.9333333333334</v>
      </c>
      <c r="D9">
        <v>1</v>
      </c>
    </row>
    <row r="10" spans="1:4" x14ac:dyDescent="0.3">
      <c r="A10" s="13" t="s">
        <v>20</v>
      </c>
      <c r="B10" s="3"/>
      <c r="C10" s="22">
        <f>AVERAGE([1]NavigationSenor!$B$2,[1]NavigationSenor!$B$5,[1]NavigationSenor!$B$8,[1]NavigationSenor!$B$9)</f>
        <v>750</v>
      </c>
      <c r="D10">
        <v>1</v>
      </c>
    </row>
    <row r="11" spans="1:4" x14ac:dyDescent="0.3">
      <c r="A11" s="13" t="s">
        <v>21</v>
      </c>
      <c r="B11" s="3"/>
      <c r="C11" s="22">
        <f>AVERAGE('[1]IMU Sensor'!$B$2,'[1]IMU Sensor'!$B$5,'[1]IMU Sensor'!$B$6)</f>
        <v>255.1866666666667</v>
      </c>
      <c r="D11">
        <v>1</v>
      </c>
    </row>
    <row r="12" spans="1:4" x14ac:dyDescent="0.3">
      <c r="A12" s="13" t="s">
        <v>22</v>
      </c>
      <c r="B12" s="3"/>
      <c r="C12" s="22">
        <f>AVERAGE('[1]LiDAR Sensor'!$B$2,'[1]LiDAR Sensor'!$B$3,'[1]LiDAR Sensor'!$B$5,'[1]LiDAR Sensor'!$B$8)</f>
        <v>1460.2675000000002</v>
      </c>
      <c r="D12">
        <v>1</v>
      </c>
    </row>
    <row r="13" spans="1:4" x14ac:dyDescent="0.3">
      <c r="A13" s="13" t="s">
        <v>23</v>
      </c>
      <c r="B13" s="3"/>
      <c r="C13" s="22">
        <f>AVERAGE('[1]Ultrasonic Sensors'!$V$7,'[1]Ultrasonic Sensors'!$V$9,'[1]Ultrasonic Sensors'!$V$10)</f>
        <v>64.643333333333331</v>
      </c>
      <c r="D13">
        <v>1</v>
      </c>
    </row>
    <row r="14" spans="1:4" x14ac:dyDescent="0.3">
      <c r="A14" s="13" t="s">
        <v>24</v>
      </c>
      <c r="B14" s="3"/>
      <c r="C14" s="22">
        <f>AVERAGE('[1]Control System'!$W$4,'[1]Control System'!$W$5,'[1]Control System'!$W$10,'[1]Control System'!$W$11)</f>
        <v>727.03750000000002</v>
      </c>
      <c r="D14">
        <v>1</v>
      </c>
    </row>
    <row r="15" spans="1:4" x14ac:dyDescent="0.3">
      <c r="A15" s="13" t="s">
        <v>47</v>
      </c>
      <c r="B15" s="3"/>
      <c r="C15" s="22">
        <f>AVERAGE('[1]Flight controller'!$B$2:$B$3)</f>
        <v>1173.9749999999999</v>
      </c>
      <c r="D15">
        <v>1</v>
      </c>
    </row>
    <row r="16" spans="1:4" x14ac:dyDescent="0.3">
      <c r="A16" s="13" t="s">
        <v>25</v>
      </c>
      <c r="B16" s="3"/>
      <c r="C16" s="22">
        <f>AVERAGE('[1]Wireless Communication Module'!$C$10,'[1]Wireless Communication Module'!$C$9,'[1]Wireless Communication Module'!$C$4,'[1]Wireless Communication Module'!$C$2)</f>
        <v>65</v>
      </c>
      <c r="D16">
        <v>1</v>
      </c>
    </row>
    <row r="17" spans="1:4" x14ac:dyDescent="0.3">
      <c r="A17" s="13" t="s">
        <v>26</v>
      </c>
      <c r="B17" s="3"/>
      <c r="C17" s="22">
        <f>AVERAGE('[1]Bluetooth Module'!$C$10,'[1]Bluetooth Module'!$C$9,'[1]Bluetooth Module'!$C$7,'[1]Bluetooth Module'!$C$4,'[1]Bluetooth Module'!$C$3,'[1]Bluetooth Module'!$C$2)</f>
        <v>83.333333333333329</v>
      </c>
      <c r="D17">
        <v>1</v>
      </c>
    </row>
    <row r="18" spans="1:4" x14ac:dyDescent="0.3">
      <c r="A18" s="13" t="s">
        <v>27</v>
      </c>
      <c r="B18" s="3"/>
      <c r="C18" s="22">
        <f>AVERAGE('[1]RTK GPS Module'!$C$11,'[1]RTK GPS Module'!$C$8,'[1]RTK GPS Module'!$C$6,'[1]RTK GPS Module'!$C$2)</f>
        <v>2625</v>
      </c>
      <c r="D18">
        <v>1</v>
      </c>
    </row>
    <row r="19" spans="1:4" ht="15" thickBot="1" x14ac:dyDescent="0.35">
      <c r="A19" s="18" t="s">
        <v>19</v>
      </c>
      <c r="B19" s="17"/>
      <c r="C19" s="22">
        <f>AVERAGE([1]Batterry!$B$2,[1]Batterry!$B$4,[1]Batterry!$B$5,[1]Batterry!$B$7)</f>
        <v>1936.5</v>
      </c>
      <c r="D19">
        <v>1</v>
      </c>
    </row>
    <row r="20" spans="1:4" ht="15" thickBot="1" x14ac:dyDescent="0.35">
      <c r="C20" s="49" t="s">
        <v>66</v>
      </c>
      <c r="D20" s="50">
        <f>SUM(D1:D19)</f>
        <v>21</v>
      </c>
    </row>
    <row r="21" spans="1:4" ht="15" thickBot="1" x14ac:dyDescent="0.35">
      <c r="C21" s="23"/>
    </row>
    <row r="22" spans="1:4" ht="15" thickBot="1" x14ac:dyDescent="0.35">
      <c r="A22" s="19" t="s">
        <v>28</v>
      </c>
      <c r="B22" s="20"/>
      <c r="C22" s="24">
        <f>SUM(C3:C19)</f>
        <v>34306.090308625266</v>
      </c>
    </row>
    <row r="23" spans="1:4" ht="15" thickBot="1" x14ac:dyDescent="0.35">
      <c r="A23" s="12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42441-F109-4649-A9BA-768A670538C2}">
  <dimension ref="A1:D24"/>
  <sheetViews>
    <sheetView workbookViewId="0">
      <selection activeCell="D24" sqref="A1:D24"/>
    </sheetView>
  </sheetViews>
  <sheetFormatPr defaultRowHeight="14.4" x14ac:dyDescent="0.3"/>
  <cols>
    <col min="1" max="1" width="30" bestFit="1" customWidth="1"/>
    <col min="2" max="2" width="25.5546875" bestFit="1" customWidth="1"/>
    <col min="3" max="3" width="16.33203125" bestFit="1" customWidth="1"/>
    <col min="4" max="4" width="11.6640625" bestFit="1" customWidth="1"/>
  </cols>
  <sheetData>
    <row r="1" spans="1:4" ht="15" thickBot="1" x14ac:dyDescent="0.35">
      <c r="A1" s="10" t="s">
        <v>0</v>
      </c>
      <c r="B1" s="1"/>
      <c r="C1" s="38" t="s">
        <v>60</v>
      </c>
      <c r="D1" s="15" t="s">
        <v>65</v>
      </c>
    </row>
    <row r="2" spans="1:4" ht="15" thickBot="1" x14ac:dyDescent="0.35">
      <c r="A2" s="11" t="s">
        <v>14</v>
      </c>
      <c r="B2" s="7"/>
      <c r="C2" s="39" t="s">
        <v>49</v>
      </c>
      <c r="D2" s="48"/>
    </row>
    <row r="3" spans="1:4" x14ac:dyDescent="0.3">
      <c r="A3" s="13" t="s">
        <v>54</v>
      </c>
      <c r="B3" s="15"/>
      <c r="C3" s="40">
        <f>AVERAGE([1]SSDS!$C$20:$C$22)</f>
        <v>10131.008007746976</v>
      </c>
      <c r="D3" s="47">
        <v>2</v>
      </c>
    </row>
    <row r="4" spans="1:4" x14ac:dyDescent="0.3">
      <c r="A4" s="13" t="s">
        <v>58</v>
      </c>
      <c r="B4" s="21"/>
      <c r="C4" s="41">
        <f>AVERAGE(1750,3750,2798)</f>
        <v>2766</v>
      </c>
      <c r="D4" s="46">
        <v>1</v>
      </c>
    </row>
    <row r="5" spans="1:4" ht="15" thickBot="1" x14ac:dyDescent="0.35">
      <c r="B5" s="21"/>
      <c r="C5" s="41"/>
      <c r="D5" s="46"/>
    </row>
    <row r="6" spans="1:4" x14ac:dyDescent="0.3">
      <c r="A6" s="28" t="s">
        <v>63</v>
      </c>
      <c r="B6" s="27" t="s">
        <v>57</v>
      </c>
      <c r="C6" s="42"/>
      <c r="D6" s="46"/>
    </row>
    <row r="7" spans="1:4" x14ac:dyDescent="0.3">
      <c r="A7" s="30" t="s">
        <v>15</v>
      </c>
      <c r="B7" s="16" t="s">
        <v>64</v>
      </c>
      <c r="C7" s="43"/>
      <c r="D7" s="46">
        <v>4</v>
      </c>
    </row>
    <row r="8" spans="1:4" x14ac:dyDescent="0.3">
      <c r="A8" s="30" t="s">
        <v>16</v>
      </c>
      <c r="B8" s="31"/>
      <c r="C8" s="43"/>
      <c r="D8" s="46"/>
    </row>
    <row r="9" spans="1:4" x14ac:dyDescent="0.3">
      <c r="A9" s="30" t="s">
        <v>17</v>
      </c>
      <c r="B9" s="31"/>
      <c r="C9" s="43"/>
      <c r="D9" s="46"/>
    </row>
    <row r="10" spans="1:4" ht="15" thickBot="1" x14ac:dyDescent="0.35">
      <c r="A10" s="33" t="s">
        <v>18</v>
      </c>
      <c r="B10" s="34"/>
      <c r="C10" s="44"/>
      <c r="D10" s="46"/>
    </row>
    <row r="11" spans="1:4" x14ac:dyDescent="0.3">
      <c r="A11" s="26" t="s">
        <v>28</v>
      </c>
      <c r="B11" s="3"/>
      <c r="C11" s="41">
        <f>AVERAGE('[1]Chassis Kit Cost'!$M$3,'[1]Chassis Kit Cost'!$M$4,'[1]Chassis Kit Cost'!$M$6)</f>
        <v>9833.3866666666672</v>
      </c>
      <c r="D11" s="46"/>
    </row>
    <row r="12" spans="1:4" x14ac:dyDescent="0.3">
      <c r="A12" s="13" t="s">
        <v>20</v>
      </c>
      <c r="B12" s="3"/>
      <c r="C12" s="41">
        <f>AVERAGE([1]NavigationSenor!$B$2,[1]NavigationSenor!$B$5,[1]NavigationSenor!$B$8,[1]NavigationSenor!$B$9)</f>
        <v>750</v>
      </c>
      <c r="D12" s="46">
        <v>1</v>
      </c>
    </row>
    <row r="13" spans="1:4" x14ac:dyDescent="0.3">
      <c r="A13" s="13" t="s">
        <v>21</v>
      </c>
      <c r="B13" s="3"/>
      <c r="C13" s="41">
        <f>AVERAGE('[1]IMU Sensor'!$B$2,'[1]IMU Sensor'!$B$5,'[1]IMU Sensor'!$B$6)</f>
        <v>255.1866666666667</v>
      </c>
      <c r="D13" s="46">
        <v>1</v>
      </c>
    </row>
    <row r="14" spans="1:4" x14ac:dyDescent="0.3">
      <c r="A14" s="13" t="s">
        <v>22</v>
      </c>
      <c r="B14" s="3"/>
      <c r="C14" s="41">
        <f>AVERAGE('[1]LiDAR Sensor'!$B$2,'[1]LiDAR Sensor'!$B$3,'[1]LiDAR Sensor'!$B$5,'[1]LiDAR Sensor'!$B$8)</f>
        <v>1460.2675000000002</v>
      </c>
      <c r="D14" s="46">
        <v>1</v>
      </c>
    </row>
    <row r="15" spans="1:4" x14ac:dyDescent="0.3">
      <c r="A15" s="13" t="s">
        <v>23</v>
      </c>
      <c r="B15" s="3"/>
      <c r="C15" s="41">
        <f>AVERAGE('[1]Ultrasonic Sensors'!$V$7,'[1]Ultrasonic Sensors'!$V$9,'[1]Ultrasonic Sensors'!$V$10)</f>
        <v>64.643333333333331</v>
      </c>
      <c r="D15" s="46">
        <v>1</v>
      </c>
    </row>
    <row r="16" spans="1:4" x14ac:dyDescent="0.3">
      <c r="A16" s="13" t="s">
        <v>24</v>
      </c>
      <c r="B16" s="3"/>
      <c r="C16" s="41">
        <f>AVERAGE('[1]Control System'!$W$4,'[1]Control System'!$W$5,'[1]Control System'!$W$10,'[1]Control System'!$W$11)</f>
        <v>727.03750000000002</v>
      </c>
      <c r="D16" s="46">
        <v>1</v>
      </c>
    </row>
    <row r="17" spans="1:4" x14ac:dyDescent="0.3">
      <c r="A17" s="13" t="s">
        <v>47</v>
      </c>
      <c r="B17" s="3"/>
      <c r="C17" s="41">
        <f>AVERAGE('[1]Flight controller'!$B$2:$B$3)</f>
        <v>1173.9749999999999</v>
      </c>
      <c r="D17" s="46">
        <v>1</v>
      </c>
    </row>
    <row r="18" spans="1:4" x14ac:dyDescent="0.3">
      <c r="A18" s="13" t="s">
        <v>25</v>
      </c>
      <c r="B18" s="3"/>
      <c r="C18" s="41">
        <f>AVERAGE('[1]Wireless Communication Module'!$C$10,'[1]Wireless Communication Module'!$C$9,'[1]Wireless Communication Module'!$C$4,'[1]Wireless Communication Module'!$C$2)</f>
        <v>65</v>
      </c>
      <c r="D18" s="46">
        <v>1</v>
      </c>
    </row>
    <row r="19" spans="1:4" x14ac:dyDescent="0.3">
      <c r="A19" s="13" t="s">
        <v>26</v>
      </c>
      <c r="B19" s="3"/>
      <c r="C19" s="41">
        <f>AVERAGE('[1]Bluetooth Module'!$C$10,'[1]Bluetooth Module'!$C$9,'[1]Bluetooth Module'!$C$7,'[1]Bluetooth Module'!$C$4,'[1]Bluetooth Module'!$C$3,'[1]Bluetooth Module'!$C$2)</f>
        <v>83.333333333333329</v>
      </c>
      <c r="D19" s="46">
        <v>1</v>
      </c>
    </row>
    <row r="20" spans="1:4" x14ac:dyDescent="0.3">
      <c r="A20" s="13" t="s">
        <v>27</v>
      </c>
      <c r="B20" s="3"/>
      <c r="C20" s="41">
        <f>AVERAGE('[1]RTK GPS Module'!$C$11,'[1]RTK GPS Module'!$C$8,'[1]RTK GPS Module'!$C$6,'[1]RTK GPS Module'!$C$2)</f>
        <v>2625</v>
      </c>
      <c r="D20" s="46">
        <v>1</v>
      </c>
    </row>
    <row r="21" spans="1:4" ht="15" thickBot="1" x14ac:dyDescent="0.35">
      <c r="A21" s="18" t="s">
        <v>19</v>
      </c>
      <c r="B21" s="17"/>
      <c r="C21" s="45">
        <f>AVERAGE([1]Batterry!$B$2,[1]Batterry!$B$4,[1]Batterry!$B$5,[1]Batterry!$B$7)</f>
        <v>1936.5</v>
      </c>
      <c r="D21" s="12">
        <v>1</v>
      </c>
    </row>
    <row r="22" spans="1:4" ht="15" thickBot="1" x14ac:dyDescent="0.35">
      <c r="C22" s="49" t="s">
        <v>66</v>
      </c>
      <c r="D22" s="50">
        <f>SUM(D3:D21)</f>
        <v>17</v>
      </c>
    </row>
    <row r="23" spans="1:4" ht="15" thickBot="1" x14ac:dyDescent="0.35">
      <c r="C23" s="23"/>
    </row>
    <row r="24" spans="1:4" ht="15" thickBot="1" x14ac:dyDescent="0.35">
      <c r="A24" s="19" t="s">
        <v>28</v>
      </c>
      <c r="B24" s="20"/>
      <c r="C24" s="24">
        <f>SUM(C3:C21)</f>
        <v>31871.338007746974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A837D-FBEE-48F4-81D5-746924B18E40}">
  <dimension ref="A1:D25"/>
  <sheetViews>
    <sheetView workbookViewId="0">
      <selection sqref="A1:D24"/>
    </sheetView>
  </sheetViews>
  <sheetFormatPr defaultRowHeight="14.4" x14ac:dyDescent="0.3"/>
  <cols>
    <col min="1" max="1" width="30" bestFit="1" customWidth="1"/>
    <col min="2" max="2" width="25.5546875" bestFit="1" customWidth="1"/>
    <col min="3" max="3" width="16.33203125" customWidth="1"/>
    <col min="4" max="4" width="10" bestFit="1" customWidth="1"/>
  </cols>
  <sheetData>
    <row r="1" spans="1:4" ht="15" thickBot="1" x14ac:dyDescent="0.35">
      <c r="A1" s="10" t="s">
        <v>0</v>
      </c>
      <c r="B1" s="1"/>
      <c r="C1" s="2" t="s">
        <v>59</v>
      </c>
    </row>
    <row r="2" spans="1:4" ht="15" thickBot="1" x14ac:dyDescent="0.35">
      <c r="A2" s="11" t="s">
        <v>14</v>
      </c>
      <c r="B2" s="7"/>
      <c r="C2" s="6" t="s">
        <v>49</v>
      </c>
    </row>
    <row r="3" spans="1:4" x14ac:dyDescent="0.3">
      <c r="A3" s="13" t="s">
        <v>54</v>
      </c>
      <c r="B3" s="15"/>
      <c r="C3" s="25">
        <f>AVERAGE([1]SSDS!$C$20:$C$22)</f>
        <v>10131.008007746976</v>
      </c>
      <c r="D3">
        <v>2</v>
      </c>
    </row>
    <row r="4" spans="1:4" x14ac:dyDescent="0.3">
      <c r="A4" s="13" t="s">
        <v>58</v>
      </c>
      <c r="B4" s="21"/>
      <c r="C4" s="22">
        <f>AVERAGE(1750,3750,2798)</f>
        <v>2766</v>
      </c>
      <c r="D4">
        <v>1</v>
      </c>
    </row>
    <row r="5" spans="1:4" ht="15" thickBot="1" x14ac:dyDescent="0.35">
      <c r="A5" s="14"/>
      <c r="B5" s="21"/>
      <c r="C5" s="22"/>
    </row>
    <row r="6" spans="1:4" x14ac:dyDescent="0.3">
      <c r="A6" s="28" t="s">
        <v>48</v>
      </c>
      <c r="B6" s="36" t="s">
        <v>57</v>
      </c>
      <c r="C6" s="29"/>
    </row>
    <row r="7" spans="1:4" x14ac:dyDescent="0.3">
      <c r="A7" s="30" t="s">
        <v>15</v>
      </c>
      <c r="B7" s="37" t="s">
        <v>55</v>
      </c>
      <c r="C7" s="32"/>
      <c r="D7">
        <v>3</v>
      </c>
    </row>
    <row r="8" spans="1:4" x14ac:dyDescent="0.3">
      <c r="A8" s="30" t="s">
        <v>16</v>
      </c>
      <c r="B8" s="31"/>
      <c r="C8" s="32"/>
    </row>
    <row r="9" spans="1:4" x14ac:dyDescent="0.3">
      <c r="A9" s="30" t="s">
        <v>17</v>
      </c>
      <c r="B9" s="31"/>
      <c r="C9" s="32"/>
    </row>
    <row r="10" spans="1:4" ht="15" thickBot="1" x14ac:dyDescent="0.35">
      <c r="A10" s="33" t="s">
        <v>18</v>
      </c>
      <c r="B10" s="34"/>
      <c r="C10" s="35"/>
    </row>
    <row r="11" spans="1:4" x14ac:dyDescent="0.3">
      <c r="A11" s="26" t="s">
        <v>28</v>
      </c>
      <c r="B11" s="3"/>
      <c r="C11" s="22">
        <f>AVERAGE('[1]Chassis Kit Cost'!$N$3,'[1]Chassis Kit Cost'!$N$4,'[1]Chassis Kit Cost'!$N$6)</f>
        <v>9040.9266666666663</v>
      </c>
      <c r="D11" s="23"/>
    </row>
    <row r="12" spans="1:4" x14ac:dyDescent="0.3">
      <c r="A12" s="13" t="s">
        <v>20</v>
      </c>
      <c r="B12" s="3"/>
      <c r="C12" s="22">
        <f>AVERAGE([1]NavigationSenor!$B$2,[1]NavigationSenor!$B$5,[1]NavigationSenor!$B$8,[1]NavigationSenor!$B$9)</f>
        <v>750</v>
      </c>
      <c r="D12">
        <v>1</v>
      </c>
    </row>
    <row r="13" spans="1:4" x14ac:dyDescent="0.3">
      <c r="A13" s="13" t="s">
        <v>21</v>
      </c>
      <c r="B13" s="3"/>
      <c r="C13" s="22">
        <f>AVERAGE('[1]IMU Sensor'!$B$2,'[1]IMU Sensor'!$B$5,'[1]IMU Sensor'!$B$6)</f>
        <v>255.1866666666667</v>
      </c>
      <c r="D13">
        <v>1</v>
      </c>
    </row>
    <row r="14" spans="1:4" x14ac:dyDescent="0.3">
      <c r="A14" s="13" t="s">
        <v>22</v>
      </c>
      <c r="B14" s="3"/>
      <c r="C14" s="22">
        <f>AVERAGE('[1]LiDAR Sensor'!$B$2,'[1]LiDAR Sensor'!$B$3,'[1]LiDAR Sensor'!$B$5,'[1]LiDAR Sensor'!$B$8)</f>
        <v>1460.2675000000002</v>
      </c>
      <c r="D14">
        <v>1</v>
      </c>
    </row>
    <row r="15" spans="1:4" x14ac:dyDescent="0.3">
      <c r="A15" s="13" t="s">
        <v>23</v>
      </c>
      <c r="B15" s="3"/>
      <c r="C15" s="22">
        <f>AVERAGE('[1]Ultrasonic Sensors'!$V$7,'[1]Ultrasonic Sensors'!$V$9,'[1]Ultrasonic Sensors'!$V$10)</f>
        <v>64.643333333333331</v>
      </c>
      <c r="D15">
        <v>1</v>
      </c>
    </row>
    <row r="16" spans="1:4" x14ac:dyDescent="0.3">
      <c r="A16" s="13" t="s">
        <v>24</v>
      </c>
      <c r="B16" s="3"/>
      <c r="C16" s="22">
        <f>AVERAGE('[1]Control System'!$W$4,'[1]Control System'!$W$5,'[1]Control System'!$W$10,'[1]Control System'!$W$11)</f>
        <v>727.03750000000002</v>
      </c>
      <c r="D16">
        <v>1</v>
      </c>
    </row>
    <row r="17" spans="1:4" x14ac:dyDescent="0.3">
      <c r="A17" s="13" t="s">
        <v>47</v>
      </c>
      <c r="B17" s="3"/>
      <c r="C17" s="22">
        <f>AVERAGE('[1]Flight controller'!$B$2:$B$3)</f>
        <v>1173.9749999999999</v>
      </c>
      <c r="D17">
        <v>1</v>
      </c>
    </row>
    <row r="18" spans="1:4" x14ac:dyDescent="0.3">
      <c r="A18" s="13" t="s">
        <v>25</v>
      </c>
      <c r="B18" s="3"/>
      <c r="C18" s="22">
        <f>AVERAGE('[1]Wireless Communication Module'!$C$10,'[1]Wireless Communication Module'!$C$9,'[1]Wireless Communication Module'!$C$4,'[1]Wireless Communication Module'!$C$2)</f>
        <v>65</v>
      </c>
      <c r="D18">
        <v>1</v>
      </c>
    </row>
    <row r="19" spans="1:4" x14ac:dyDescent="0.3">
      <c r="A19" s="13" t="s">
        <v>26</v>
      </c>
      <c r="B19" s="3"/>
      <c r="C19" s="22">
        <f>AVERAGE('[1]Bluetooth Module'!$C$10,'[1]Bluetooth Module'!$C$9,'[1]Bluetooth Module'!$C$7,'[1]Bluetooth Module'!$C$4,'[1]Bluetooth Module'!$C$3,'[1]Bluetooth Module'!$C$2)</f>
        <v>83.333333333333329</v>
      </c>
      <c r="D19">
        <v>1</v>
      </c>
    </row>
    <row r="20" spans="1:4" x14ac:dyDescent="0.3">
      <c r="A20" s="13" t="s">
        <v>27</v>
      </c>
      <c r="B20" s="3"/>
      <c r="C20" s="22">
        <f>AVERAGE('[1]RTK GPS Module'!$C$11,'[1]RTK GPS Module'!$C$8,'[1]RTK GPS Module'!$C$6,'[1]RTK GPS Module'!$C$2)</f>
        <v>2625</v>
      </c>
      <c r="D20">
        <v>1</v>
      </c>
    </row>
    <row r="21" spans="1:4" ht="15" thickBot="1" x14ac:dyDescent="0.35">
      <c r="A21" s="18" t="s">
        <v>19</v>
      </c>
      <c r="B21" s="17"/>
      <c r="C21" s="22">
        <f>AVERAGE([1]Batterry!$B$2,[1]Batterry!$B$4,[1]Batterry!$B$5,[1]Batterry!$B$7)</f>
        <v>1936.5</v>
      </c>
      <c r="D21">
        <v>1</v>
      </c>
    </row>
    <row r="22" spans="1:4" ht="15" thickBot="1" x14ac:dyDescent="0.35">
      <c r="C22" s="49" t="s">
        <v>66</v>
      </c>
      <c r="D22" s="50">
        <f>SUM(D1:D21)</f>
        <v>16</v>
      </c>
    </row>
    <row r="23" spans="1:4" ht="15" thickBot="1" x14ac:dyDescent="0.35">
      <c r="C23" s="23"/>
    </row>
    <row r="24" spans="1:4" ht="15" thickBot="1" x14ac:dyDescent="0.35">
      <c r="A24" s="19" t="s">
        <v>28</v>
      </c>
      <c r="B24" s="20"/>
      <c r="C24" s="24">
        <f>SUM(C3:C21)</f>
        <v>31078.878007746975</v>
      </c>
    </row>
    <row r="25" spans="1:4" ht="15" thickBot="1" x14ac:dyDescent="0.35">
      <c r="A25" s="12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25FD1-A5B1-4DE1-B7A7-034D91819A6F}">
  <dimension ref="A1:U33"/>
  <sheetViews>
    <sheetView tabSelected="1" topLeftCell="A7" zoomScale="85" zoomScaleNormal="85" workbookViewId="0">
      <selection activeCell="G1" sqref="G1:I32"/>
    </sheetView>
  </sheetViews>
  <sheetFormatPr defaultRowHeight="14.4" x14ac:dyDescent="0.3"/>
  <cols>
    <col min="1" max="3" width="15.109375" customWidth="1"/>
    <col min="4" max="4" width="10.5546875" bestFit="1" customWidth="1"/>
    <col min="5" max="5" width="14.5546875" bestFit="1" customWidth="1"/>
    <col min="6" max="6" width="11.5546875" bestFit="1" customWidth="1"/>
    <col min="7" max="7" width="10.5546875" bestFit="1" customWidth="1"/>
  </cols>
  <sheetData>
    <row r="1" spans="1:21" x14ac:dyDescent="0.3">
      <c r="A1" s="52" t="s">
        <v>67</v>
      </c>
      <c r="B1" s="54" t="s">
        <v>66</v>
      </c>
      <c r="C1" s="53" t="s">
        <v>68</v>
      </c>
      <c r="D1" s="56" t="s">
        <v>3</v>
      </c>
      <c r="E1" s="56" t="s">
        <v>69</v>
      </c>
      <c r="F1" s="56" t="s">
        <v>70</v>
      </c>
    </row>
    <row r="2" spans="1:21" x14ac:dyDescent="0.3">
      <c r="A2" s="55">
        <v>1</v>
      </c>
      <c r="B2" s="57">
        <f>'1'!D20</f>
        <v>24</v>
      </c>
      <c r="C2" s="58">
        <f>'1'!C22</f>
        <v>38296.181341080315</v>
      </c>
      <c r="D2" s="59">
        <f>[1]Database!$D$3</f>
        <v>25530</v>
      </c>
      <c r="E2" s="59">
        <f>3000*18.5</f>
        <v>55500</v>
      </c>
      <c r="F2" s="60">
        <f>SUM(C2:E2)</f>
        <v>119326.18134108032</v>
      </c>
    </row>
    <row r="3" spans="1:21" x14ac:dyDescent="0.3">
      <c r="A3" s="55">
        <v>2</v>
      </c>
      <c r="B3" s="57">
        <f>'2'!D20</f>
        <v>23</v>
      </c>
      <c r="C3" s="58">
        <f>'2'!C22</f>
        <v>37097.75697529193</v>
      </c>
      <c r="D3" s="59">
        <f>[1]Database!$D$3</f>
        <v>25530</v>
      </c>
      <c r="E3" s="59">
        <f t="shared" ref="E3:E7" si="0">3000*18.5</f>
        <v>55500</v>
      </c>
      <c r="F3" s="60">
        <f t="shared" ref="F3:F7" si="1">SUM(C3:E3)</f>
        <v>118127.75697529194</v>
      </c>
      <c r="G3">
        <v>1</v>
      </c>
      <c r="H3">
        <f>EXP(G3*0.11)*10000</f>
        <v>11162.780704588713</v>
      </c>
    </row>
    <row r="4" spans="1:21" x14ac:dyDescent="0.3">
      <c r="A4" s="55">
        <v>3</v>
      </c>
      <c r="B4" s="57">
        <f>'3'!D20</f>
        <v>22</v>
      </c>
      <c r="C4" s="58">
        <f>'3'!C22</f>
        <v>35504.514674413644</v>
      </c>
      <c r="D4" s="59">
        <f>[1]Database!$D$3</f>
        <v>25530</v>
      </c>
      <c r="E4" s="59">
        <f t="shared" si="0"/>
        <v>55500</v>
      </c>
      <c r="F4" s="60">
        <f t="shared" si="1"/>
        <v>116534.51467441364</v>
      </c>
      <c r="G4">
        <v>2</v>
      </c>
      <c r="H4">
        <f t="shared" ref="H4:H33" si="2">EXP(G4*0.11)*10000</f>
        <v>12460.767305873807</v>
      </c>
    </row>
    <row r="5" spans="1:21" x14ac:dyDescent="0.3">
      <c r="A5" s="55">
        <v>4</v>
      </c>
      <c r="B5" s="57">
        <f>'4'!D20</f>
        <v>21</v>
      </c>
      <c r="C5" s="58">
        <f>'4'!C22</f>
        <v>34306.090308625266</v>
      </c>
      <c r="D5" s="59">
        <f>[1]Database!$D$3</f>
        <v>25530</v>
      </c>
      <c r="E5" s="59">
        <f t="shared" si="0"/>
        <v>55500</v>
      </c>
      <c r="F5" s="60">
        <f t="shared" si="1"/>
        <v>115336.09030862527</v>
      </c>
      <c r="G5">
        <v>3</v>
      </c>
      <c r="H5">
        <f t="shared" si="2"/>
        <v>13909.681284637803</v>
      </c>
      <c r="U5">
        <v>0</v>
      </c>
    </row>
    <row r="6" spans="1:21" x14ac:dyDescent="0.3">
      <c r="A6" s="55">
        <v>5</v>
      </c>
      <c r="B6" s="57">
        <f>'5'!D22</f>
        <v>17</v>
      </c>
      <c r="C6" s="58">
        <f>'5'!C24</f>
        <v>31871.338007746974</v>
      </c>
      <c r="D6" s="59">
        <f>[1]Database!$D$3</f>
        <v>25530</v>
      </c>
      <c r="E6" s="59">
        <f t="shared" si="0"/>
        <v>55500</v>
      </c>
      <c r="F6" s="60">
        <f t="shared" si="1"/>
        <v>112901.33800774698</v>
      </c>
      <c r="G6">
        <f>G5+1</f>
        <v>4</v>
      </c>
      <c r="H6">
        <f t="shared" si="2"/>
        <v>15527.07218511336</v>
      </c>
      <c r="U6">
        <f>U5+10000</f>
        <v>10000</v>
      </c>
    </row>
    <row r="7" spans="1:21" x14ac:dyDescent="0.3">
      <c r="A7" s="55">
        <v>6</v>
      </c>
      <c r="B7" s="57">
        <f>'6'!D22</f>
        <v>16</v>
      </c>
      <c r="C7" s="58">
        <f>'6'!C24</f>
        <v>31078.878007746975</v>
      </c>
      <c r="D7" s="59">
        <f>[1]Database!$D$3</f>
        <v>25530</v>
      </c>
      <c r="E7" s="59">
        <f t="shared" si="0"/>
        <v>55500</v>
      </c>
      <c r="F7" s="60">
        <f t="shared" si="1"/>
        <v>112108.87800774697</v>
      </c>
      <c r="G7">
        <f t="shared" ref="G7:G33" si="3">G6+1</f>
        <v>5</v>
      </c>
      <c r="H7">
        <f t="shared" si="2"/>
        <v>17332.530178673951</v>
      </c>
      <c r="U7">
        <f t="shared" ref="U7:U30" si="4">U6+10000</f>
        <v>20000</v>
      </c>
    </row>
    <row r="8" spans="1:21" x14ac:dyDescent="0.3">
      <c r="E8" s="51" t="s">
        <v>71</v>
      </c>
      <c r="G8">
        <f t="shared" si="3"/>
        <v>6</v>
      </c>
      <c r="H8">
        <f t="shared" si="2"/>
        <v>19347.923344020317</v>
      </c>
      <c r="U8">
        <f t="shared" si="4"/>
        <v>30000</v>
      </c>
    </row>
    <row r="9" spans="1:21" x14ac:dyDescent="0.3">
      <c r="G9">
        <f t="shared" si="3"/>
        <v>7</v>
      </c>
      <c r="H9">
        <f t="shared" si="2"/>
        <v>21597.662537849152</v>
      </c>
      <c r="U9">
        <f t="shared" si="4"/>
        <v>40000</v>
      </c>
    </row>
    <row r="10" spans="1:21" x14ac:dyDescent="0.3">
      <c r="G10">
        <f t="shared" si="3"/>
        <v>8</v>
      </c>
      <c r="H10">
        <f t="shared" si="2"/>
        <v>24108.997064172097</v>
      </c>
      <c r="U10">
        <f t="shared" si="4"/>
        <v>50000</v>
      </c>
    </row>
    <row r="11" spans="1:21" x14ac:dyDescent="0.3">
      <c r="G11">
        <f t="shared" si="3"/>
        <v>9</v>
      </c>
      <c r="H11">
        <f t="shared" si="2"/>
        <v>26912.344723492621</v>
      </c>
      <c r="U11">
        <f t="shared" si="4"/>
        <v>60000</v>
      </c>
    </row>
    <row r="12" spans="1:21" x14ac:dyDescent="0.3">
      <c r="G12">
        <f t="shared" si="3"/>
        <v>10</v>
      </c>
      <c r="H12">
        <f t="shared" si="2"/>
        <v>30041.660239464334</v>
      </c>
      <c r="U12">
        <f t="shared" si="4"/>
        <v>70000</v>
      </c>
    </row>
    <row r="13" spans="1:21" x14ac:dyDescent="0.3">
      <c r="G13">
        <f t="shared" si="3"/>
        <v>11</v>
      </c>
      <c r="H13">
        <f t="shared" si="2"/>
        <v>33534.846525490233</v>
      </c>
      <c r="U13">
        <f t="shared" si="4"/>
        <v>80000</v>
      </c>
    </row>
    <row r="14" spans="1:21" x14ac:dyDescent="0.3">
      <c r="G14">
        <f t="shared" si="3"/>
        <v>12</v>
      </c>
      <c r="H14">
        <f t="shared" si="2"/>
        <v>37434.213772608629</v>
      </c>
      <c r="U14">
        <f t="shared" si="4"/>
        <v>90000</v>
      </c>
    </row>
    <row r="15" spans="1:21" x14ac:dyDescent="0.3">
      <c r="G15">
        <f t="shared" si="3"/>
        <v>13</v>
      </c>
      <c r="H15">
        <f t="shared" si="2"/>
        <v>41786.99191923246</v>
      </c>
      <c r="U15">
        <f t="shared" si="4"/>
        <v>100000</v>
      </c>
    </row>
    <row r="16" spans="1:21" x14ac:dyDescent="0.3">
      <c r="G16">
        <f t="shared" si="3"/>
        <v>14</v>
      </c>
      <c r="H16">
        <f t="shared" si="2"/>
        <v>46645.902709881258</v>
      </c>
      <c r="U16">
        <f t="shared" si="4"/>
        <v>110000</v>
      </c>
    </row>
    <row r="17" spans="7:21" x14ac:dyDescent="0.3">
      <c r="G17">
        <f t="shared" si="3"/>
        <v>15</v>
      </c>
      <c r="H17">
        <f t="shared" si="2"/>
        <v>52069.798271798485</v>
      </c>
      <c r="U17">
        <f t="shared" si="4"/>
        <v>120000</v>
      </c>
    </row>
    <row r="18" spans="7:21" x14ac:dyDescent="0.3">
      <c r="G18">
        <f t="shared" si="3"/>
        <v>16</v>
      </c>
      <c r="H18">
        <f t="shared" si="2"/>
        <v>58124.373944025887</v>
      </c>
      <c r="U18">
        <f t="shared" si="4"/>
        <v>130000</v>
      </c>
    </row>
    <row r="19" spans="7:21" x14ac:dyDescent="0.3">
      <c r="G19">
        <f t="shared" si="3"/>
        <v>17</v>
      </c>
      <c r="H19">
        <f t="shared" si="2"/>
        <v>64882.963992867124</v>
      </c>
      <c r="U19">
        <f t="shared" si="4"/>
        <v>140000</v>
      </c>
    </row>
    <row r="20" spans="7:21" x14ac:dyDescent="0.3">
      <c r="G20">
        <f t="shared" si="3"/>
        <v>18</v>
      </c>
      <c r="H20">
        <f t="shared" si="2"/>
        <v>72427.429851610126</v>
      </c>
      <c r="U20">
        <f t="shared" si="4"/>
        <v>150000</v>
      </c>
    </row>
    <row r="21" spans="7:21" x14ac:dyDescent="0.3">
      <c r="G21">
        <f t="shared" si="3"/>
        <v>19</v>
      </c>
      <c r="H21">
        <f t="shared" si="2"/>
        <v>80849.151643050587</v>
      </c>
      <c r="U21">
        <f t="shared" si="4"/>
        <v>160000</v>
      </c>
    </row>
    <row r="22" spans="7:21" x14ac:dyDescent="0.3">
      <c r="G22">
        <f t="shared" si="3"/>
        <v>20</v>
      </c>
      <c r="H22">
        <f t="shared" si="2"/>
        <v>90250.134994341221</v>
      </c>
      <c r="U22">
        <f t="shared" si="4"/>
        <v>170000</v>
      </c>
    </row>
    <row r="23" spans="7:21" x14ac:dyDescent="0.3">
      <c r="G23">
        <f t="shared" si="3"/>
        <v>21</v>
      </c>
      <c r="H23">
        <f t="shared" si="2"/>
        <v>100744.24655013587</v>
      </c>
      <c r="U23">
        <f t="shared" si="4"/>
        <v>180000</v>
      </c>
    </row>
    <row r="24" spans="7:21" x14ac:dyDescent="0.3">
      <c r="G24">
        <f t="shared" si="3"/>
        <v>22</v>
      </c>
      <c r="H24">
        <f t="shared" si="2"/>
        <v>112458.59314881844</v>
      </c>
      <c r="U24">
        <f t="shared" si="4"/>
        <v>190000</v>
      </c>
    </row>
    <row r="25" spans="7:21" x14ac:dyDescent="0.3">
      <c r="G25">
        <f t="shared" si="3"/>
        <v>23</v>
      </c>
      <c r="H25">
        <f t="shared" si="2"/>
        <v>125535.06136668229</v>
      </c>
      <c r="U25">
        <f t="shared" si="4"/>
        <v>200000</v>
      </c>
    </row>
    <row r="26" spans="7:21" x14ac:dyDescent="0.3">
      <c r="G26">
        <f t="shared" si="3"/>
        <v>24</v>
      </c>
      <c r="H26">
        <f t="shared" si="2"/>
        <v>140132.03607733615</v>
      </c>
      <c r="U26">
        <f t="shared" si="4"/>
        <v>210000</v>
      </c>
    </row>
    <row r="27" spans="7:21" x14ac:dyDescent="0.3">
      <c r="G27">
        <f t="shared" si="3"/>
        <v>25</v>
      </c>
      <c r="H27">
        <f t="shared" si="2"/>
        <v>156426.3188418817</v>
      </c>
      <c r="U27">
        <f t="shared" si="4"/>
        <v>220000</v>
      </c>
    </row>
    <row r="28" spans="7:21" x14ac:dyDescent="0.3">
      <c r="G28">
        <f t="shared" si="3"/>
        <v>26</v>
      </c>
      <c r="H28">
        <f t="shared" si="2"/>
        <v>174615.2693657999</v>
      </c>
      <c r="U28">
        <f t="shared" si="4"/>
        <v>230000</v>
      </c>
    </row>
    <row r="29" spans="7:21" x14ac:dyDescent="0.3">
      <c r="G29">
        <f>G28+1</f>
        <v>27</v>
      </c>
      <c r="H29">
        <f t="shared" si="2"/>
        <v>194919.19596031122</v>
      </c>
      <c r="U29">
        <f t="shared" si="4"/>
        <v>240000</v>
      </c>
    </row>
    <row r="30" spans="7:21" x14ac:dyDescent="0.3">
      <c r="G30">
        <f t="shared" si="3"/>
        <v>28</v>
      </c>
      <c r="H30">
        <f t="shared" si="2"/>
        <v>217584.02396197082</v>
      </c>
      <c r="K30">
        <v>0</v>
      </c>
      <c r="L30">
        <v>157122</v>
      </c>
      <c r="U30">
        <f t="shared" si="4"/>
        <v>250000</v>
      </c>
    </row>
    <row r="31" spans="7:21" x14ac:dyDescent="0.3">
      <c r="G31">
        <f t="shared" si="3"/>
        <v>29</v>
      </c>
      <c r="H31">
        <f t="shared" si="2"/>
        <v>242884.27443094554</v>
      </c>
      <c r="K31">
        <v>30</v>
      </c>
      <c r="L31">
        <v>157122</v>
      </c>
    </row>
    <row r="32" spans="7:21" x14ac:dyDescent="0.3">
      <c r="G32">
        <f t="shared" si="3"/>
        <v>30</v>
      </c>
      <c r="H32">
        <f t="shared" si="2"/>
        <v>271126.38920657884</v>
      </c>
    </row>
    <row r="33" spans="7:8" x14ac:dyDescent="0.3">
      <c r="G33">
        <f t="shared" si="3"/>
        <v>31</v>
      </c>
      <c r="H33">
        <f t="shared" si="2"/>
        <v>302652.44259400084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13A9B-7735-4018-8207-B1A15C1414BC}">
  <dimension ref="A1:N37"/>
  <sheetViews>
    <sheetView zoomScale="85" zoomScaleNormal="115" workbookViewId="0">
      <selection activeCell="C2" sqref="C2"/>
    </sheetView>
  </sheetViews>
  <sheetFormatPr defaultRowHeight="14.4" x14ac:dyDescent="0.3"/>
  <cols>
    <col min="3" max="3" width="10" bestFit="1" customWidth="1"/>
    <col min="6" max="6" width="11.44140625" bestFit="1" customWidth="1"/>
    <col min="10" max="10" width="11.33203125" bestFit="1" customWidth="1"/>
  </cols>
  <sheetData>
    <row r="1" spans="1:14" x14ac:dyDescent="0.3">
      <c r="A1" s="52" t="s">
        <v>67</v>
      </c>
      <c r="B1" s="54" t="s">
        <v>66</v>
      </c>
      <c r="C1" s="53" t="s">
        <v>68</v>
      </c>
      <c r="D1" s="56" t="s">
        <v>3</v>
      </c>
      <c r="E1" s="56" t="s">
        <v>69</v>
      </c>
      <c r="F1" s="56" t="s">
        <v>70</v>
      </c>
      <c r="I1" s="54" t="s">
        <v>66</v>
      </c>
      <c r="J1" s="56" t="s">
        <v>70</v>
      </c>
    </row>
    <row r="2" spans="1:14" x14ac:dyDescent="0.3">
      <c r="A2" s="55">
        <v>1</v>
      </c>
      <c r="B2" s="57">
        <f>'1'!D20</f>
        <v>24</v>
      </c>
      <c r="C2" s="58">
        <f>'1'!C22</f>
        <v>38296.181341080315</v>
      </c>
      <c r="D2" s="59">
        <f>[1]Database!$D$3</f>
        <v>25530</v>
      </c>
      <c r="E2" s="59">
        <f>5000*18.5</f>
        <v>92500</v>
      </c>
      <c r="F2" s="60">
        <f>SUM(C2:E2)</f>
        <v>156326.18134108032</v>
      </c>
      <c r="I2" s="57">
        <v>24</v>
      </c>
      <c r="J2" s="60">
        <v>156326.18134108032</v>
      </c>
    </row>
    <row r="3" spans="1:14" x14ac:dyDescent="0.3">
      <c r="A3" s="55">
        <v>2</v>
      </c>
      <c r="B3" s="57">
        <f>'2'!D20</f>
        <v>23</v>
      </c>
      <c r="C3" s="58">
        <f>'2'!C22</f>
        <v>37097.75697529193</v>
      </c>
      <c r="D3" s="59">
        <f>[1]Database!$D$3</f>
        <v>25530</v>
      </c>
      <c r="E3" s="59">
        <f t="shared" ref="E3:E7" si="0">5000*18.5</f>
        <v>92500</v>
      </c>
      <c r="F3" s="60">
        <f t="shared" ref="F3:F7" si="1">SUM(C3:E3)</f>
        <v>155127.75697529194</v>
      </c>
      <c r="I3" s="57">
        <v>23</v>
      </c>
      <c r="J3" s="60">
        <v>155127.75697529194</v>
      </c>
    </row>
    <row r="4" spans="1:14" x14ac:dyDescent="0.3">
      <c r="A4" s="55">
        <v>3</v>
      </c>
      <c r="B4" s="57">
        <f>'3'!D20</f>
        <v>22</v>
      </c>
      <c r="C4" s="58">
        <f>'3'!C22</f>
        <v>35504.514674413644</v>
      </c>
      <c r="D4" s="59">
        <f>[1]Database!$D$3</f>
        <v>25530</v>
      </c>
      <c r="E4" s="59">
        <f t="shared" si="0"/>
        <v>92500</v>
      </c>
      <c r="F4" s="60">
        <f t="shared" si="1"/>
        <v>153534.51467441366</v>
      </c>
      <c r="I4" s="57">
        <v>22</v>
      </c>
      <c r="J4" s="60">
        <v>153534.51467441366</v>
      </c>
    </row>
    <row r="5" spans="1:14" x14ac:dyDescent="0.3">
      <c r="A5" s="55">
        <v>4</v>
      </c>
      <c r="B5" s="57">
        <f>'4'!D20</f>
        <v>21</v>
      </c>
      <c r="C5" s="58">
        <f>'4'!C22</f>
        <v>34306.090308625266</v>
      </c>
      <c r="D5" s="59">
        <f>[1]Database!$D$3</f>
        <v>25530</v>
      </c>
      <c r="E5" s="59">
        <f t="shared" si="0"/>
        <v>92500</v>
      </c>
      <c r="F5" s="60">
        <f t="shared" si="1"/>
        <v>152336.09030862525</v>
      </c>
      <c r="I5" s="57">
        <v>21</v>
      </c>
      <c r="J5" s="60">
        <v>152336.09030862525</v>
      </c>
    </row>
    <row r="6" spans="1:14" x14ac:dyDescent="0.3">
      <c r="A6" s="55">
        <v>5</v>
      </c>
      <c r="B6" s="57">
        <f>'5'!D22</f>
        <v>17</v>
      </c>
      <c r="C6" s="58">
        <f>'5'!C24</f>
        <v>31871.338007746974</v>
      </c>
      <c r="D6" s="59">
        <f>[1]Database!$D$3</f>
        <v>25530</v>
      </c>
      <c r="E6" s="59">
        <f t="shared" si="0"/>
        <v>92500</v>
      </c>
      <c r="F6" s="60">
        <f t="shared" si="1"/>
        <v>149901.33800774696</v>
      </c>
      <c r="I6" s="57">
        <v>17</v>
      </c>
      <c r="J6" s="60">
        <v>149901.33800774696</v>
      </c>
    </row>
    <row r="7" spans="1:14" x14ac:dyDescent="0.3">
      <c r="A7" s="55">
        <v>6</v>
      </c>
      <c r="B7" s="57">
        <f>'6'!D22</f>
        <v>16</v>
      </c>
      <c r="C7" s="58">
        <f>'6'!C24</f>
        <v>31078.878007746975</v>
      </c>
      <c r="D7" s="59">
        <f>[1]Database!$D$3</f>
        <v>25530</v>
      </c>
      <c r="E7" s="59">
        <f t="shared" si="0"/>
        <v>92500</v>
      </c>
      <c r="F7" s="60">
        <f t="shared" si="1"/>
        <v>149108.87800774697</v>
      </c>
      <c r="I7" s="57">
        <v>16</v>
      </c>
      <c r="J7" s="60">
        <v>149108.87800774697</v>
      </c>
      <c r="M7">
        <v>1</v>
      </c>
      <c r="N7">
        <f>EXP(M7*0.115)*10000</f>
        <v>11218.734375719383</v>
      </c>
    </row>
    <row r="8" spans="1:14" x14ac:dyDescent="0.3">
      <c r="M8">
        <v>2</v>
      </c>
      <c r="N8">
        <f t="shared" ref="N8:N37" si="2">EXP(M8*0.115)*10000</f>
        <v>12586.000099294779</v>
      </c>
    </row>
    <row r="9" spans="1:14" x14ac:dyDescent="0.3">
      <c r="M9">
        <v>3</v>
      </c>
      <c r="N9">
        <f t="shared" si="2"/>
        <v>14119.899196676592</v>
      </c>
    </row>
    <row r="10" spans="1:14" x14ac:dyDescent="0.3">
      <c r="M10">
        <f>M9+1</f>
        <v>4</v>
      </c>
      <c r="N10">
        <f t="shared" si="2"/>
        <v>15840.739849944819</v>
      </c>
    </row>
    <row r="11" spans="1:14" x14ac:dyDescent="0.3">
      <c r="M11">
        <f t="shared" ref="M11:M37" si="3">M10+1</f>
        <v>5</v>
      </c>
      <c r="N11">
        <f t="shared" si="2"/>
        <v>17771.305269140386</v>
      </c>
    </row>
    <row r="12" spans="1:14" x14ac:dyDescent="0.3">
      <c r="M12">
        <f t="shared" si="3"/>
        <v>6</v>
      </c>
      <c r="N12">
        <f t="shared" si="2"/>
        <v>19937.155332430826</v>
      </c>
    </row>
    <row r="13" spans="1:14" x14ac:dyDescent="0.3">
      <c r="M13">
        <f t="shared" si="3"/>
        <v>7</v>
      </c>
      <c r="N13">
        <f t="shared" si="2"/>
        <v>22366.96498819987</v>
      </c>
    </row>
    <row r="14" spans="1:14" x14ac:dyDescent="0.3">
      <c r="M14">
        <f t="shared" si="3"/>
        <v>8</v>
      </c>
      <c r="N14">
        <f t="shared" si="2"/>
        <v>25092.90389936298</v>
      </c>
    </row>
    <row r="15" spans="1:14" x14ac:dyDescent="0.3">
      <c r="M15">
        <f t="shared" si="3"/>
        <v>9</v>
      </c>
      <c r="N15">
        <f t="shared" si="2"/>
        <v>28151.062356240644</v>
      </c>
    </row>
    <row r="16" spans="1:14" x14ac:dyDescent="0.3">
      <c r="M16">
        <f t="shared" si="3"/>
        <v>10</v>
      </c>
      <c r="N16">
        <f t="shared" si="2"/>
        <v>31581.929096897682</v>
      </c>
    </row>
    <row r="17" spans="11:14" x14ac:dyDescent="0.3">
      <c r="M17">
        <f t="shared" si="3"/>
        <v>11</v>
      </c>
      <c r="N17">
        <f t="shared" si="2"/>
        <v>35430.927361089824</v>
      </c>
    </row>
    <row r="18" spans="11:14" x14ac:dyDescent="0.3">
      <c r="M18">
        <f t="shared" si="3"/>
        <v>12</v>
      </c>
      <c r="N18">
        <f t="shared" si="2"/>
        <v>39749.016274947484</v>
      </c>
    </row>
    <row r="19" spans="11:14" x14ac:dyDescent="0.3">
      <c r="M19">
        <f t="shared" si="3"/>
        <v>13</v>
      </c>
      <c r="N19">
        <f t="shared" si="2"/>
        <v>44593.365528478258</v>
      </c>
    </row>
    <row r="20" spans="11:14" x14ac:dyDescent="0.3">
      <c r="M20">
        <f t="shared" si="3"/>
        <v>14</v>
      </c>
      <c r="N20">
        <f t="shared" si="2"/>
        <v>50028.112278335881</v>
      </c>
    </row>
    <row r="21" spans="11:14" x14ac:dyDescent="0.3">
      <c r="M21">
        <f t="shared" si="3"/>
        <v>15</v>
      </c>
      <c r="N21">
        <f t="shared" si="2"/>
        <v>56125.210296931575</v>
      </c>
    </row>
    <row r="22" spans="11:14" x14ac:dyDescent="0.3">
      <c r="K22">
        <v>0</v>
      </c>
      <c r="L22">
        <v>157122</v>
      </c>
      <c r="M22">
        <f t="shared" si="3"/>
        <v>16</v>
      </c>
      <c r="N22">
        <f t="shared" si="2"/>
        <v>62965.38261026657</v>
      </c>
    </row>
    <row r="23" spans="11:14" x14ac:dyDescent="0.3">
      <c r="K23">
        <v>30</v>
      </c>
      <c r="L23">
        <v>157122</v>
      </c>
      <c r="M23">
        <f t="shared" si="3"/>
        <v>17</v>
      </c>
      <c r="N23">
        <f t="shared" si="2"/>
        <v>70639.19023701211</v>
      </c>
    </row>
    <row r="24" spans="11:14" x14ac:dyDescent="0.3">
      <c r="M24">
        <f t="shared" si="3"/>
        <v>18</v>
      </c>
      <c r="N24">
        <f t="shared" si="2"/>
        <v>79248.231178494898</v>
      </c>
    </row>
    <row r="25" spans="11:14" x14ac:dyDescent="0.3">
      <c r="M25">
        <f t="shared" si="3"/>
        <v>19</v>
      </c>
      <c r="N25">
        <f t="shared" si="2"/>
        <v>88906.485533713712</v>
      </c>
    </row>
    <row r="26" spans="11:14" x14ac:dyDescent="0.3">
      <c r="M26">
        <f t="shared" si="3"/>
        <v>20</v>
      </c>
      <c r="N26">
        <f t="shared" si="2"/>
        <v>99741.82454814724</v>
      </c>
    </row>
    <row r="27" spans="11:14" x14ac:dyDescent="0.3">
      <c r="M27">
        <f t="shared" si="3"/>
        <v>21</v>
      </c>
      <c r="N27">
        <f t="shared" si="2"/>
        <v>111897.70357552705</v>
      </c>
    </row>
    <row r="28" spans="11:14" x14ac:dyDescent="0.3">
      <c r="M28">
        <f t="shared" si="3"/>
        <v>22</v>
      </c>
      <c r="N28">
        <f t="shared" si="2"/>
        <v>125535.06136668235</v>
      </c>
    </row>
    <row r="29" spans="11:14" x14ac:dyDescent="0.3">
      <c r="M29">
        <f t="shared" si="3"/>
        <v>23</v>
      </c>
      <c r="N29">
        <f t="shared" si="2"/>
        <v>140834.45083124412</v>
      </c>
    </row>
    <row r="30" spans="11:14" x14ac:dyDescent="0.3">
      <c r="M30">
        <f t="shared" si="3"/>
        <v>24</v>
      </c>
      <c r="N30">
        <f t="shared" si="2"/>
        <v>157998.42948260403</v>
      </c>
    </row>
    <row r="31" spans="11:14" x14ac:dyDescent="0.3">
      <c r="M31">
        <f t="shared" si="3"/>
        <v>25</v>
      </c>
      <c r="N31">
        <f t="shared" si="2"/>
        <v>177254.24121461643</v>
      </c>
    </row>
    <row r="32" spans="11:14" x14ac:dyDescent="0.3">
      <c r="M32">
        <f t="shared" si="3"/>
        <v>26</v>
      </c>
      <c r="N32">
        <f t="shared" si="2"/>
        <v>198856.8249156473</v>
      </c>
    </row>
    <row r="33" spans="13:14" x14ac:dyDescent="0.3">
      <c r="M33">
        <f>M32+1</f>
        <v>27</v>
      </c>
      <c r="N33">
        <f t="shared" si="2"/>
        <v>223092.18975275831</v>
      </c>
    </row>
    <row r="34" spans="13:14" x14ac:dyDescent="0.3">
      <c r="M34">
        <f t="shared" si="3"/>
        <v>28</v>
      </c>
      <c r="N34">
        <f t="shared" si="2"/>
        <v>250281.20181337817</v>
      </c>
    </row>
    <row r="35" spans="13:14" x14ac:dyDescent="0.3">
      <c r="M35">
        <f t="shared" si="3"/>
        <v>29</v>
      </c>
      <c r="N35">
        <f t="shared" si="2"/>
        <v>280783.83223801054</v>
      </c>
    </row>
    <row r="36" spans="13:14" x14ac:dyDescent="0.3">
      <c r="M36">
        <f t="shared" si="3"/>
        <v>30</v>
      </c>
      <c r="N36">
        <f t="shared" si="2"/>
        <v>315003.92308747937</v>
      </c>
    </row>
    <row r="37" spans="13:14" x14ac:dyDescent="0.3">
      <c r="M37">
        <f t="shared" si="3"/>
        <v>31</v>
      </c>
      <c r="N37">
        <f t="shared" si="2"/>
        <v>353394.53404279688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Software</vt:lpstr>
      <vt:lpstr>1</vt:lpstr>
      <vt:lpstr>2</vt:lpstr>
      <vt:lpstr>3</vt:lpstr>
      <vt:lpstr>4</vt:lpstr>
      <vt:lpstr>5</vt:lpstr>
      <vt:lpstr>6</vt:lpstr>
      <vt:lpstr>Final Graph</vt:lpstr>
      <vt:lpstr>Final graph with object detecio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Botha Smit</dc:creator>
  <cp:lastModifiedBy>Botha Smit</cp:lastModifiedBy>
  <dcterms:created xsi:type="dcterms:W3CDTF">2024-08-20T07:56:22Z</dcterms:created>
  <dcterms:modified xsi:type="dcterms:W3CDTF">2025-03-26T10:11:48Z</dcterms:modified>
</cp:coreProperties>
</file>