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3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4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5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6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17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8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9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0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1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2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3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4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botha\iCloudDrive\Botha Universiteit\Student Year 2024\Student Year 2024\Graaduation\Data Set\"/>
    </mc:Choice>
  </mc:AlternateContent>
  <xr:revisionPtr revIDLastSave="0" documentId="8_{9F961F95-7CC2-41B6-AD42-B0DBEB25FA1B}" xr6:coauthVersionLast="47" xr6:coauthVersionMax="47" xr10:uidLastSave="{00000000-0000-0000-0000-000000000000}"/>
  <bookViews>
    <workbookView xWindow="-108" yWindow="-108" windowWidth="23256" windowHeight="12456" firstSheet="1" activeTab="1" xr2:uid="{EF23E83C-0A62-43D0-B901-2D2F683678FA}"/>
  </bookViews>
  <sheets>
    <sheet name="Database" sheetId="1" r:id="rId1"/>
    <sheet name="SSDS" sheetId="27" r:id="rId2"/>
    <sheet name="Ground Station Control" sheetId="21" r:id="rId3"/>
    <sheet name="Object Detection Softwre" sheetId="2" r:id="rId4"/>
    <sheet name="Object Avoidance " sheetId="3" r:id="rId5"/>
    <sheet name="Geotagging Software" sheetId="4" r:id="rId6"/>
    <sheet name="Navigation Software" sheetId="5" r:id="rId7"/>
    <sheet name="Path PlanningFlight" sheetId="6" r:id="rId8"/>
    <sheet name="GIS" sheetId="7" r:id="rId9"/>
    <sheet name="API" sheetId="8" r:id="rId10"/>
    <sheet name="UI INterface" sheetId="9" r:id="rId11"/>
    <sheet name="Chassis" sheetId="10" r:id="rId12"/>
    <sheet name="Chassis Kit Cost" sheetId="11" r:id="rId13"/>
    <sheet name="Wheels" sheetId="12" r:id="rId14"/>
    <sheet name="Motors" sheetId="13" r:id="rId15"/>
    <sheet name="Motor Controller" sheetId="25" r:id="rId16"/>
    <sheet name="Suspension" sheetId="14" r:id="rId17"/>
    <sheet name="Batterry" sheetId="15" r:id="rId18"/>
    <sheet name="NavigationSenor" sheetId="16" r:id="rId19"/>
    <sheet name="IMU Sensor" sheetId="17" r:id="rId20"/>
    <sheet name="LiDAR Sensor" sheetId="18" r:id="rId21"/>
    <sheet name="Ultrasonic Sensors" sheetId="19" r:id="rId22"/>
    <sheet name="Control System" sheetId="20" r:id="rId23"/>
    <sheet name="Flight controller" sheetId="26" r:id="rId24"/>
    <sheet name="Wireless Communication Module" sheetId="22" r:id="rId25"/>
    <sheet name="Bluetooth Module" sheetId="23" r:id="rId26"/>
    <sheet name="RTK GPS Module" sheetId="24" r:id="rId2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" i="11" l="1"/>
  <c r="B7" i="27"/>
  <c r="C4" i="27"/>
  <c r="C5" i="27"/>
  <c r="C6" i="27"/>
  <c r="C3" i="27"/>
  <c r="F8" i="27"/>
  <c r="G4" i="27"/>
  <c r="G8" i="27" s="1"/>
  <c r="F10" i="27" s="1"/>
  <c r="G5" i="27"/>
  <c r="G6" i="27"/>
  <c r="G7" i="27"/>
  <c r="G3" i="27"/>
  <c r="I12" i="27"/>
  <c r="J12" i="27"/>
  <c r="K4" i="27"/>
  <c r="K5" i="27"/>
  <c r="K6" i="27"/>
  <c r="K7" i="27"/>
  <c r="K8" i="27"/>
  <c r="K9" i="27"/>
  <c r="K10" i="27"/>
  <c r="K3" i="27"/>
  <c r="C2" i="11"/>
  <c r="L2" i="11"/>
  <c r="C3" i="11"/>
  <c r="N3" i="11" s="1"/>
  <c r="C4" i="11"/>
  <c r="N4" i="11" s="1"/>
  <c r="C5" i="11"/>
  <c r="L5" i="11"/>
  <c r="C6" i="11"/>
  <c r="L6" i="11"/>
  <c r="N5" i="11"/>
  <c r="N2" i="11"/>
  <c r="AL4" i="10"/>
  <c r="AL5" i="10"/>
  <c r="AL9" i="10"/>
  <c r="AL10" i="10"/>
  <c r="AL3" i="10"/>
  <c r="AK4" i="10"/>
  <c r="AK5" i="10"/>
  <c r="AK9" i="10"/>
  <c r="AK10" i="10"/>
  <c r="AK3" i="10"/>
  <c r="AJ3" i="10"/>
  <c r="AJ10" i="10"/>
  <c r="AJ9" i="10"/>
  <c r="AA11" i="10"/>
  <c r="AB11" i="10"/>
  <c r="AA10" i="10"/>
  <c r="AA9" i="10"/>
  <c r="AA8" i="10"/>
  <c r="AA6" i="10"/>
  <c r="AA5" i="10"/>
  <c r="AA4" i="10"/>
  <c r="AA3" i="10"/>
  <c r="C5" i="9"/>
  <c r="C4" i="9"/>
  <c r="C7" i="8"/>
  <c r="C6" i="6"/>
  <c r="C5" i="6"/>
  <c r="C4" i="6"/>
  <c r="C5" i="5"/>
  <c r="C6" i="4"/>
  <c r="C5" i="4"/>
  <c r="D6" i="3"/>
  <c r="D3" i="3"/>
  <c r="B3" i="3"/>
  <c r="B6" i="3"/>
  <c r="C6" i="21"/>
  <c r="D7" i="1"/>
  <c r="D6" i="1"/>
  <c r="D5" i="1"/>
  <c r="D4" i="1"/>
  <c r="D3" i="1"/>
  <c r="B2" i="18"/>
  <c r="B3" i="17"/>
  <c r="B5" i="12"/>
  <c r="B4" i="12"/>
  <c r="B3" i="12"/>
  <c r="B2" i="12"/>
  <c r="B4" i="10"/>
  <c r="B5" i="10"/>
  <c r="B3" i="10"/>
  <c r="B2" i="10"/>
  <c r="B1" i="10"/>
  <c r="C6" i="7"/>
  <c r="C5" i="7"/>
  <c r="C4" i="7"/>
  <c r="C7" i="27" l="1"/>
  <c r="B9" i="27" s="1"/>
  <c r="K12" i="27"/>
  <c r="I13" i="27" s="1"/>
  <c r="C23" i="27" s="1"/>
  <c r="N6" i="11"/>
  <c r="M5" i="11"/>
  <c r="M3" i="11"/>
  <c r="M6" i="11"/>
  <c r="M4" i="11"/>
  <c r="M2" i="11"/>
  <c r="C21" i="27" l="1"/>
  <c r="C22" i="27"/>
</calcChain>
</file>

<file path=xl/sharedStrings.xml><?xml version="1.0" encoding="utf-8"?>
<sst xmlns="http://schemas.openxmlformats.org/spreadsheetml/2006/main" count="497" uniqueCount="314">
  <si>
    <t>Software</t>
  </si>
  <si>
    <t>Cost (1-5)</t>
  </si>
  <si>
    <t>Accessibility (1-5)</t>
  </si>
  <si>
    <t>DFRobot 4WD All-Terrain</t>
  </si>
  <si>
    <t>SuperDroid HD2-S Robotic Tank Tread</t>
  </si>
  <si>
    <t>Trossen Robotics Heavy Duty Rover</t>
  </si>
  <si>
    <t>Actobotics A-0001 4WD Wheeled</t>
  </si>
  <si>
    <t>ServoCity Rover Chassis Kit</t>
  </si>
  <si>
    <t>Total Cost</t>
  </si>
  <si>
    <t>Accessibility</t>
  </si>
  <si>
    <t>YOLO</t>
  </si>
  <si>
    <t>TensorFlow Object Detection</t>
  </si>
  <si>
    <t>OpenCV</t>
  </si>
  <si>
    <t>DJI SDK</t>
  </si>
  <si>
    <t>AirSim (Microsoft)</t>
  </si>
  <si>
    <t>NVIDIA DeepStream SDK</t>
  </si>
  <si>
    <t>Total Accessibility</t>
  </si>
  <si>
    <t>DJI Guidance</t>
  </si>
  <si>
    <t>Auterion Skynode</t>
  </si>
  <si>
    <t>QGIS with GPS Tools Plugin</t>
  </si>
  <si>
    <t>GeoSetter</t>
  </si>
  <si>
    <t>GPS Photo Tagger</t>
  </si>
  <si>
    <t>ArcGIS</t>
  </si>
  <si>
    <t>Mappt</t>
  </si>
  <si>
    <t>PX4 Autopilot</t>
  </si>
  <si>
    <t>ArduPilot</t>
  </si>
  <si>
    <t>DJI A3/N3 Flight Controller</t>
  </si>
  <si>
    <t>UGCS (Universal Ground Control Software)</t>
  </si>
  <si>
    <t>Auterion Enterprise PX4</t>
  </si>
  <si>
    <t>PX4 Autopilot with QGroundControl</t>
  </si>
  <si>
    <t>ArduPilot with Mission Planner</t>
  </si>
  <si>
    <t>DJI Ground Station Pro</t>
  </si>
  <si>
    <t>QGIS</t>
  </si>
  <si>
    <t>ArcGIS Online</t>
  </si>
  <si>
    <t>Google Earth Engine</t>
  </si>
  <si>
    <t>Mapbox</t>
  </si>
  <si>
    <t>GRASS GIS</t>
  </si>
  <si>
    <t>API</t>
  </si>
  <si>
    <t>MAVLink</t>
  </si>
  <si>
    <t>DroneKit</t>
  </si>
  <si>
    <t>QGroundControl API</t>
  </si>
  <si>
    <t>Auterion SDK</t>
  </si>
  <si>
    <t>Mapbox API</t>
  </si>
  <si>
    <t>QGroundControl</t>
  </si>
  <si>
    <t>Mission Planner</t>
  </si>
  <si>
    <t>UGCS</t>
  </si>
  <si>
    <t>Wheel Option</t>
  </si>
  <si>
    <t>Pololu Dagu Wild Thumper Wheels</t>
  </si>
  <si>
    <t>RobotShop Heavy Duty Off-Road Wheels</t>
  </si>
  <si>
    <t>Banebots High-Traction Wheels</t>
  </si>
  <si>
    <t>SuperDroid Robots Heavy Duty Wheels</t>
  </si>
  <si>
    <t>Motor Series</t>
  </si>
  <si>
    <t>uspension System</t>
  </si>
  <si>
    <t>Cost (ZAR)</t>
  </si>
  <si>
    <t>Independent Suspension</t>
  </si>
  <si>
    <t>Torsion Bar Suspension</t>
  </si>
  <si>
    <t>Spring Suspension</t>
  </si>
  <si>
    <t>Air Suspension</t>
  </si>
  <si>
    <t>Rubberized Suspension</t>
  </si>
  <si>
    <t>Battery Type</t>
  </si>
  <si>
    <t>GPS Module</t>
  </si>
  <si>
    <t>Garmin GPS 18x LVC</t>
  </si>
  <si>
    <t>Drotek XL GPS Module</t>
  </si>
  <si>
    <t>SparkFun GPS-RTK2 Board</t>
  </si>
  <si>
    <t>IMU Sensor</t>
  </si>
  <si>
    <t>MPU-9250</t>
  </si>
  <si>
    <t>Bosch BNO055</t>
  </si>
  <si>
    <t>LIDAR Sensor</t>
  </si>
  <si>
    <t>RPLIDAR A1M8</t>
  </si>
  <si>
    <t>Ultrasonic Sensor</t>
  </si>
  <si>
    <t>HC-SR04</t>
  </si>
  <si>
    <t>Onboard Computer</t>
  </si>
  <si>
    <t>Raspberry Pi 4</t>
  </si>
  <si>
    <t>NVIDIA Jetson Nano</t>
  </si>
  <si>
    <t>Intel NUC</t>
  </si>
  <si>
    <t>Arduino Mega 2560</t>
  </si>
  <si>
    <t>Arduino Uno</t>
  </si>
  <si>
    <t>Rasberry Pi Pico</t>
  </si>
  <si>
    <t>ESP32</t>
  </si>
  <si>
    <t>Teensy 4.1</t>
  </si>
  <si>
    <t>Raspberry Pi Pico</t>
  </si>
  <si>
    <t>STM32F103C8T6 (Blue Pill)</t>
  </si>
  <si>
    <t xml:space="preserve">Rasberry Pi 4 </t>
  </si>
  <si>
    <t>Database</t>
  </si>
  <si>
    <t>PostgreSQL</t>
  </si>
  <si>
    <t>MySQL</t>
  </si>
  <si>
    <t>SQLite</t>
  </si>
  <si>
    <t>MongoDB</t>
  </si>
  <si>
    <t>MariaDB</t>
  </si>
  <si>
    <t>UgCS</t>
  </si>
  <si>
    <t>APM Planner 2</t>
  </si>
  <si>
    <t>MAVProxy</t>
  </si>
  <si>
    <t xml:space="preserve">DJI SDK </t>
  </si>
  <si>
    <t>Cost Range (ZAR)</t>
  </si>
  <si>
    <t>u-blox NEO-M8N</t>
  </si>
  <si>
    <t>High</t>
  </si>
  <si>
    <t>500 - 1,000</t>
  </si>
  <si>
    <t>1,000 - 2,000</t>
  </si>
  <si>
    <t>1,500 - 2,500</t>
  </si>
  <si>
    <t>Beitian BN-880</t>
  </si>
  <si>
    <t>400 - 800</t>
  </si>
  <si>
    <t>3,000 - 5,000</t>
  </si>
  <si>
    <t>Adafruit Ultimate GPS</t>
  </si>
  <si>
    <t>700 - 1,200</t>
  </si>
  <si>
    <t>SkyTraq Venus838FLPx</t>
  </si>
  <si>
    <t>Quectel L86 Compact GNSS</t>
  </si>
  <si>
    <t>600 - 1,200</t>
  </si>
  <si>
    <t>Accessibility (1-20)</t>
  </si>
  <si>
    <t>Moderate</t>
  </si>
  <si>
    <t>LSM9DS1 (Adafruit)</t>
  </si>
  <si>
    <t>BN0086</t>
  </si>
  <si>
    <t>BN0085</t>
  </si>
  <si>
    <t>ICM-20948</t>
  </si>
  <si>
    <t>Range</t>
  </si>
  <si>
    <t>0.15-12m</t>
  </si>
  <si>
    <t>SFB000/B</t>
  </si>
  <si>
    <t>20cm-5000cm</t>
  </si>
  <si>
    <t>DFR0315</t>
  </si>
  <si>
    <t>6m</t>
  </si>
  <si>
    <t>SF30/c</t>
  </si>
  <si>
    <t>20cm-10000cm</t>
  </si>
  <si>
    <t>15-600cm</t>
  </si>
  <si>
    <t>12m</t>
  </si>
  <si>
    <t>Stock Availability</t>
  </si>
  <si>
    <t>Microcontroller</t>
  </si>
  <si>
    <t>Notes on Application and Popularity</t>
  </si>
  <si>
    <t>Popular for beginners and educational projects.</t>
  </si>
  <si>
    <t>Suitable for more complex projects requiring more I/O pins.</t>
  </si>
  <si>
    <t>Wi-Fi and Bluetooth integrated, popular in IoT applications.</t>
  </si>
  <si>
    <t>High performance, suitable for more demanding tasks.</t>
  </si>
  <si>
    <t>Affordable and versatile, suitable for various applications.</t>
  </si>
  <si>
    <t>Cost-effective for learning ARM Cortex-M3, limited by community support.</t>
  </si>
  <si>
    <t>Powerful for AI and machine learning applications.</t>
  </si>
  <si>
    <t>High performance for computing tasks, general-purpose use.</t>
  </si>
  <si>
    <t>Module</t>
  </si>
  <si>
    <t>NRF24L01+</t>
  </si>
  <si>
    <t>Popular for short-range wireless communication, low power consumption.</t>
  </si>
  <si>
    <t>HC-05 Bluetooth</t>
  </si>
  <si>
    <t>Common for Bluetooth communication in embedded systems.</t>
  </si>
  <si>
    <t>ESP8266</t>
  </si>
  <si>
    <t>Widely used for Wi-Fi enabled IoT projects, low cost.</t>
  </si>
  <si>
    <t>Enhanced version of ESP8266, includes Bluetooth and Wi-Fi.</t>
  </si>
  <si>
    <t>XBee Series 2</t>
  </si>
  <si>
    <t>Reliable for mesh networking, higher cost but robust.</t>
  </si>
  <si>
    <t>LoRa SX1278</t>
  </si>
  <si>
    <t>Ideal for long-range, low-power communication.</t>
  </si>
  <si>
    <t>RFM69</t>
  </si>
  <si>
    <t>Suitable for sub-GHz communication, low power, and reliable.</t>
  </si>
  <si>
    <t>HC-12</t>
  </si>
  <si>
    <t>Affordable and reliable for UART wireless communication.</t>
  </si>
  <si>
    <t>WiFi Module ESP8266-01</t>
  </si>
  <si>
    <t>Low-cost option for basic Wi-Fi connectivity.</t>
  </si>
  <si>
    <t>Zigbee CC2530</t>
  </si>
  <si>
    <t>Suitable for Zigbee mesh networks, moderate cost.</t>
  </si>
  <si>
    <t>HC-05</t>
  </si>
  <si>
    <t>Widely used for Bluetooth communication, supports both master and slave modes.</t>
  </si>
  <si>
    <t>HC-06</t>
  </si>
  <si>
    <t>Similar to HC-05 but supports only slave mode, making it slightly cheaper.</t>
  </si>
  <si>
    <t>Bluetooth 4.0 HM-10</t>
  </si>
  <si>
    <t>Bluetooth Low Energy (BLE) module, ideal for low-power applications.</t>
  </si>
  <si>
    <t>Adafruit Bluefruit LE</t>
  </si>
  <si>
    <t>Robust and reliable, with good community support, but higher cost.</t>
  </si>
  <si>
    <t>nRF52832</t>
  </si>
  <si>
    <t>Powerful Bluetooth 5.0 module, supports both classic Bluetooth and BLE.</t>
  </si>
  <si>
    <t>ESP32 (Bluetooth)</t>
  </si>
  <si>
    <t>Dual-mode (Wi-Fi + Bluetooth), popular in IoT projects for its versatility.</t>
  </si>
  <si>
    <t>RN42 Bluetooth Module</t>
  </si>
  <si>
    <t>Compact, low-power, suitable for embedded systems, but relatively expensive.</t>
  </si>
  <si>
    <t>JDY-08</t>
  </si>
  <si>
    <t>Affordable BLE module, simple to integrate, good for low-power designs.</t>
  </si>
  <si>
    <t>JY-MCU Bluetooth Module</t>
  </si>
  <si>
    <t>Low-cost, easy-to-use, suitable for simple wireless communication.</t>
  </si>
  <si>
    <t>BTM-222 Bluetooth Module</t>
  </si>
  <si>
    <t>Reliable and stable, often used in industrial applications, but slightly higher cost.</t>
  </si>
  <si>
    <t>u-blox ZED-F9P</t>
  </si>
  <si>
    <t>High-precision, dual-band GNSS receiver, popular for advanced applications.</t>
  </si>
  <si>
    <t>Here3 RTK GPS Module</t>
  </si>
  <si>
    <t>Ideal for drones and rovers, robust RTK capabilities.</t>
  </si>
  <si>
    <t>Emlid Reach M2</t>
  </si>
  <si>
    <t>Multi-band GNSS receiver, excellent for survey-grade applications.</t>
  </si>
  <si>
    <t>SparkFun GPS-RTK2</t>
  </si>
  <si>
    <t>Based on u-blox ZED-F9P, great for DIY RTK projects.</t>
  </si>
  <si>
    <t>Navspark NV08C-CSM</t>
  </si>
  <si>
    <t>Limited</t>
  </si>
  <si>
    <t>Affordable, compact, and supports multi-constellation GNSS.</t>
  </si>
  <si>
    <t>Drotek Sirius RTK GNSS</t>
  </si>
  <si>
    <t>Robust RTK module, designed for precision and reliability.</t>
  </si>
  <si>
    <t>Ardusimple SimpleRTK2B</t>
  </si>
  <si>
    <t>Easy-to-use RTK module, based on u-blox ZED-F9P, good documentation.</t>
  </si>
  <si>
    <t>Swift Navigation Piksi Multi</t>
  </si>
  <si>
    <t>High-end RTK system, exceptional accuracy but expensive.</t>
  </si>
  <si>
    <t>Trimble BX940</t>
  </si>
  <si>
    <t>Professional-grade, best for industrial applications, but very costly.</t>
  </si>
  <si>
    <t>Holybro Pixhawk 4 GPS Module</t>
  </si>
  <si>
    <t>Affordable, durable, and suitable for drones and robotics applications.</t>
  </si>
  <si>
    <t>Requires Intel RealSense hardware, mid-range GPU.  Moderate cost for RealSense hardware, free software.</t>
  </si>
  <si>
    <t>If you need a customizable, lightweight solution with advanced automation capabilities, MAVProxy might be better suited for your autonomous citrus monitoring rover, particularly if you are comfortable with command-line tools and scripting.</t>
  </si>
  <si>
    <t>Commercially available through UGCS.</t>
  </si>
  <si>
    <t>ROS</t>
  </si>
  <si>
    <t>Chassis</t>
  </si>
  <si>
    <t>Availability</t>
  </si>
  <si>
    <t>Bogie Runt Rover (with new wheels)</t>
  </si>
  <si>
    <t>Dagu Wild Thumper 6WD All-Terrain Chassis</t>
  </si>
  <si>
    <t>4WD Research Robot Chassis – Rough Terrain</t>
  </si>
  <si>
    <t>4WD Research Robot Chassis Kit</t>
  </si>
  <si>
    <t>5kg Load 4WD Robot Car 12V DC Motor Off-Road Wheel Chassis for Arduino Robot DIY</t>
  </si>
  <si>
    <t>Whipper Snapper Runt Rover</t>
  </si>
  <si>
    <t>BeeLine Chassis Kit V2</t>
  </si>
  <si>
    <t>HammerHead Chassis Kit</t>
  </si>
  <si>
    <t>Recon Chassis Kit</t>
  </si>
  <si>
    <t>Cost</t>
  </si>
  <si>
    <t>Clearance (mm)</t>
  </si>
  <si>
    <t>Dimensions(lxb)</t>
  </si>
  <si>
    <t>228.6x152.4</t>
  </si>
  <si>
    <t>420x300</t>
  </si>
  <si>
    <t xml:space="preserve">Weight </t>
  </si>
  <si>
    <t>2.7kg</t>
  </si>
  <si>
    <t>Max Load</t>
  </si>
  <si>
    <t>5kg</t>
  </si>
  <si>
    <t>304.8x254</t>
  </si>
  <si>
    <t>280x254</t>
  </si>
  <si>
    <t>280x90</t>
  </si>
  <si>
    <t>189x109.73</t>
  </si>
  <si>
    <t>432x384</t>
  </si>
  <si>
    <t>288x240</t>
  </si>
  <si>
    <t>337.6x220</t>
  </si>
  <si>
    <t>BUY Wheels</t>
  </si>
  <si>
    <t>Yes</t>
  </si>
  <si>
    <t>No</t>
  </si>
  <si>
    <t>Yes x4</t>
  </si>
  <si>
    <t>Max Heigh With wheels</t>
  </si>
  <si>
    <t>Yesx4</t>
  </si>
  <si>
    <t>3D Frame Cost</t>
  </si>
  <si>
    <t>Plastic Frame Cost</t>
  </si>
  <si>
    <t xml:space="preserve">Wheels Cost </t>
  </si>
  <si>
    <t>Total Cost 3D</t>
  </si>
  <si>
    <t>Total Cost Plastic</t>
  </si>
  <si>
    <t>PX4 Autopilot - Obstacle Avoidance</t>
  </si>
  <si>
    <t>OpenCV with Python/C++</t>
  </si>
  <si>
    <t>ROS - Navigation Stack</t>
  </si>
  <si>
    <t>ArduPilot Obstacle Avoidance</t>
  </si>
  <si>
    <t xml:space="preserve">ROS </t>
  </si>
  <si>
    <t>ROS API</t>
  </si>
  <si>
    <t>MOT-IG22CGM-12VDC</t>
  </si>
  <si>
    <t>Function</t>
  </si>
  <si>
    <t>Motor Type</t>
  </si>
  <si>
    <t>Torque</t>
  </si>
  <si>
    <t>Voltage</t>
  </si>
  <si>
    <t>Gearmotor</t>
  </si>
  <si>
    <t>Brushed</t>
  </si>
  <si>
    <t>12VDC</t>
  </si>
  <si>
    <t>54RPM</t>
  </si>
  <si>
    <t>RPM</t>
  </si>
  <si>
    <t>AMP</t>
  </si>
  <si>
    <t>Okdo Lidar Module with Bracket Development Kit for LiDAR_LD06 Raspberry Pi SBC</t>
  </si>
  <si>
    <t>?</t>
  </si>
  <si>
    <t>0cm-4m</t>
  </si>
  <si>
    <t>0.2m-15m</t>
  </si>
  <si>
    <t>CUSA-TR80-15-2000-TH</t>
  </si>
  <si>
    <t>0.2m-18m</t>
  </si>
  <si>
    <t>CUSP-TR80-18-2400-TH</t>
  </si>
  <si>
    <t>CUSP-TR80-15-2500-TH</t>
  </si>
  <si>
    <t>0.2-18</t>
  </si>
  <si>
    <t>0.2-15</t>
  </si>
  <si>
    <t xml:space="preserve">
CUSA-TR60-06-2000-W68</t>
  </si>
  <si>
    <t>0.3-6</t>
  </si>
  <si>
    <t>CUSA-TR80-065-2000-TH68</t>
  </si>
  <si>
    <t>0.3-6.5</t>
  </si>
  <si>
    <t xml:space="preserve">
UTR-1440K-TT-R</t>
  </si>
  <si>
    <t>CUSA-TR60-06-2000-WC68</t>
  </si>
  <si>
    <t xml:space="preserve">
CUSA-TR65-065-2200-WC68</t>
  </si>
  <si>
    <t>0.4-6.5</t>
  </si>
  <si>
    <t>Conroller</t>
  </si>
  <si>
    <t>Price</t>
  </si>
  <si>
    <t>Pixhawk PX4</t>
  </si>
  <si>
    <t>Ardupilot APM 2.6</t>
  </si>
  <si>
    <t>MOT-IG-32PGM-10KG</t>
  </si>
  <si>
    <t>RS PRO Brushed Geared DC Geared Motor, 19.8 W, 12 V dc, 1.2 Nm, 24 rpm, 6mm Shaft Diameter</t>
  </si>
  <si>
    <t>1200mNM</t>
  </si>
  <si>
    <t>RS PRO Brushed Geared DC Geared Motor, 41.3 W, 12 V dc, 1.8 Nm, 116 rpm, 8mm Shaft Diameter</t>
  </si>
  <si>
    <t>RS PRO Brushed Geared DC Geared Motor, 41.3 W, 12 V dc, 2 Nm, 55 rpm, 8mm Shaft Diameter</t>
  </si>
  <si>
    <t>GeeWiz 1210 12V / 10Ah (up to 40A Discharge) Lithium LifePO4 Battery - compatible with Gates / Alarms / CCTV / UPS (3 Year Warranty) - Same size as 7Ah Replacement battery</t>
  </si>
  <si>
    <t>Max Current</t>
  </si>
  <si>
    <t>REVOV 100Ah 12.8V 12V Lithium-ion (LiFePO4) Battery - FIRST LIFE / 1.280kWh</t>
  </si>
  <si>
    <t>Lalela Lithium LifePO4 Battery - 12V / 50Ah / 640Wh (2 Year Warranty)</t>
  </si>
  <si>
    <t>https://www.geewiz.co.za/2442-lithium-ion-batteries</t>
  </si>
  <si>
    <t>GeeWiz 12V 50Ah Lithium Ion LiFePO4 640Wh 4000 Cycle Battery (FIRST LIFE CELLS) - 2 Year Unlimited Cycles Warranty - 4000 Cycles (Same Runtime as a 100Ah Lead Acid)</t>
  </si>
  <si>
    <t>Securi-Prod 12V 20Ah LiFePO4 Lithium Li-ion Battery - 256WH</t>
  </si>
  <si>
    <t xml:space="preserve">20 continous up to 40 </t>
  </si>
  <si>
    <t>15(Max 35/3sec)</t>
  </si>
  <si>
    <t>Power Solutions 12.8v 7Ah 89.6 Wh High Draw Li-FEPO4 Battery</t>
  </si>
  <si>
    <t>70(Max 110/0.5s)</t>
  </si>
  <si>
    <t>25(max 50)</t>
  </si>
  <si>
    <t>Max 50</t>
  </si>
  <si>
    <t>Max 20</t>
  </si>
  <si>
    <t xml:space="preserve">1TB </t>
  </si>
  <si>
    <t>2TB</t>
  </si>
  <si>
    <t>4TB</t>
  </si>
  <si>
    <t>OPTION 1</t>
  </si>
  <si>
    <t xml:space="preserve">OPTION 2 </t>
  </si>
  <si>
    <t>Option 3</t>
  </si>
  <si>
    <t>3x1TB + 2Tb</t>
  </si>
  <si>
    <t>1TB + 2x2TB</t>
  </si>
  <si>
    <t>1TB + 4TB</t>
  </si>
  <si>
    <t>Accessibility (0-100)</t>
  </si>
  <si>
    <t>Brushless Motor</t>
  </si>
  <si>
    <t>Brushed Motor</t>
  </si>
  <si>
    <t>Servo Motor</t>
  </si>
  <si>
    <t xml:space="preserve">Amount </t>
  </si>
  <si>
    <t>Average cost of a 1TB SSD</t>
  </si>
  <si>
    <t>Average cost of a 2TB SSD</t>
  </si>
  <si>
    <t>Average cost of a 4 TB SSD</t>
  </si>
  <si>
    <t>Combination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</si>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</sst>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164" formatCode="[$ZAR]\ #,##0.00"/>
    <numFmt numFmtId="165" formatCode="&quot;$&quot;#,##0.00"/>
    <numFmt numFmtId="166" formatCode="_([$ZAR]\ * #,##0.00_);_([$ZAR]\ * \(#,##0.00\);_([$ZAR]\ * &quot;-&quot;??_);_(@_)"/>
    <numFmt numFmtId="167" formatCode="_([$ZAR]\ * #,##0_);_([$ZAR]\ * \(#,##0\);_([$ZAR]\ * &quot;-&quot;_);_(@_)"/>
  </numFmts>
  <fonts count="18" x14ac:knownFonts="1">
    <font>
      <sz val="11"/>
      <color theme="1"/>
      <name val="Aptos Narrow"/>
      <family val="2"/>
      <scheme val="minor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sz val="10"/>
      <color theme="1"/>
      <name val="Aptos"/>
      <family val="2"/>
    </font>
    <font>
      <sz val="11"/>
      <color theme="1"/>
      <name val="Calibri"/>
      <family val="2"/>
    </font>
    <font>
      <b/>
      <sz val="11"/>
      <color theme="1"/>
      <name val="Aptos Narrow"/>
      <family val="2"/>
      <scheme val="minor"/>
    </font>
    <font>
      <b/>
      <sz val="10"/>
      <color theme="1"/>
      <name val="Aptos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19"/>
      <color rgb="FF101518"/>
      <name val="Arial"/>
      <family val="2"/>
    </font>
    <font>
      <b/>
      <sz val="9"/>
      <color theme="1"/>
      <name val="Aptos"/>
      <family val="2"/>
    </font>
    <font>
      <b/>
      <sz val="12"/>
      <color theme="1"/>
      <name val="Calibri"/>
      <family val="2"/>
    </font>
    <font>
      <b/>
      <sz val="12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0"/>
      <color rgb="FF333E48"/>
      <name val="Arial"/>
      <family val="2"/>
    </font>
    <font>
      <sz val="9"/>
      <color rgb="FF333E48"/>
      <name val="Arial"/>
      <family val="2"/>
    </font>
    <font>
      <sz val="11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4" fillId="0" borderId="0" applyNumberFormat="0" applyFill="0" applyBorder="0" applyAlignment="0" applyProtection="0"/>
    <xf numFmtId="44" fontId="17" fillId="0" borderId="0" applyFont="0" applyFill="0" applyBorder="0" applyAlignment="0" applyProtection="0"/>
  </cellStyleXfs>
  <cellXfs count="172">
    <xf numFmtId="0" fontId="0" fillId="0" borderId="0" xfId="0"/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6" fillId="0" borderId="3" xfId="0" applyFont="1" applyBorder="1" applyAlignment="1">
      <alignment vertical="center" wrapText="1"/>
    </xf>
    <xf numFmtId="4" fontId="9" fillId="0" borderId="0" xfId="0" applyNumberFormat="1" applyFont="1"/>
    <xf numFmtId="164" fontId="2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164" fontId="10" fillId="0" borderId="1" xfId="0" applyNumberFormat="1" applyFont="1" applyBorder="1" applyAlignment="1">
      <alignment vertical="center" wrapText="1"/>
    </xf>
    <xf numFmtId="164" fontId="8" fillId="0" borderId="1" xfId="0" applyNumberFormat="1" applyFont="1" applyBorder="1" applyAlignment="1">
      <alignment vertical="center" wrapText="1"/>
    </xf>
    <xf numFmtId="164" fontId="6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164" fontId="2" fillId="0" borderId="7" xfId="0" applyNumberFormat="1" applyFont="1" applyBorder="1" applyAlignment="1">
      <alignment vertical="center" wrapText="1"/>
    </xf>
    <xf numFmtId="0" fontId="3" fillId="0" borderId="0" xfId="0" applyFont="1" applyAlignment="1">
      <alignment vertical="center"/>
    </xf>
    <xf numFmtId="165" fontId="3" fillId="0" borderId="1" xfId="0" applyNumberFormat="1" applyFont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164" fontId="10" fillId="2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164" fontId="4" fillId="3" borderId="1" xfId="0" applyNumberFormat="1" applyFont="1" applyFill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164" fontId="10" fillId="4" borderId="1" xfId="0" applyNumberFormat="1" applyFont="1" applyFill="1" applyBorder="1" applyAlignment="1">
      <alignment vertical="center" wrapText="1"/>
    </xf>
    <xf numFmtId="0" fontId="0" fillId="2" borderId="1" xfId="0" applyFill="1" applyBorder="1"/>
    <xf numFmtId="0" fontId="6" fillId="4" borderId="1" xfId="0" applyFont="1" applyFill="1" applyBorder="1" applyAlignment="1">
      <alignment vertical="center" wrapText="1"/>
    </xf>
    <xf numFmtId="164" fontId="6" fillId="4" borderId="1" xfId="0" applyNumberFormat="1" applyFont="1" applyFill="1" applyBorder="1" applyAlignment="1">
      <alignment vertical="center" wrapText="1"/>
    </xf>
    <xf numFmtId="164" fontId="0" fillId="2" borderId="9" xfId="0" applyNumberFormat="1" applyFill="1" applyBorder="1"/>
    <xf numFmtId="0" fontId="0" fillId="0" borderId="7" xfId="0" applyBorder="1"/>
    <xf numFmtId="0" fontId="0" fillId="0" borderId="10" xfId="0" applyBorder="1"/>
    <xf numFmtId="0" fontId="5" fillId="0" borderId="1" xfId="0" applyFont="1" applyBorder="1"/>
    <xf numFmtId="0" fontId="0" fillId="0" borderId="19" xfId="0" applyBorder="1"/>
    <xf numFmtId="0" fontId="0" fillId="0" borderId="20" xfId="0" applyBorder="1"/>
    <xf numFmtId="164" fontId="0" fillId="0" borderId="19" xfId="0" applyNumberFormat="1" applyBorder="1"/>
    <xf numFmtId="164" fontId="0" fillId="0" borderId="20" xfId="0" applyNumberFormat="1" applyBorder="1"/>
    <xf numFmtId="0" fontId="8" fillId="0" borderId="21" xfId="0" applyFont="1" applyBorder="1" applyAlignment="1">
      <alignment vertical="center" wrapText="1"/>
    </xf>
    <xf numFmtId="0" fontId="8" fillId="0" borderId="22" xfId="0" applyFont="1" applyBorder="1" applyAlignment="1">
      <alignment vertical="center" wrapText="1"/>
    </xf>
    <xf numFmtId="1" fontId="8" fillId="0" borderId="19" xfId="0" applyNumberFormat="1" applyFont="1" applyBorder="1" applyAlignment="1">
      <alignment vertical="center" wrapText="1"/>
    </xf>
    <xf numFmtId="1" fontId="8" fillId="0" borderId="20" xfId="0" applyNumberFormat="1" applyFont="1" applyBorder="1" applyAlignment="1">
      <alignment vertical="center" wrapText="1"/>
    </xf>
    <xf numFmtId="0" fontId="8" fillId="2" borderId="21" xfId="0" applyFont="1" applyFill="1" applyBorder="1" applyAlignment="1">
      <alignment vertical="center" wrapText="1"/>
    </xf>
    <xf numFmtId="1" fontId="8" fillId="2" borderId="19" xfId="0" applyNumberFormat="1" applyFont="1" applyFill="1" applyBorder="1" applyAlignment="1">
      <alignment vertical="center" wrapText="1"/>
    </xf>
    <xf numFmtId="164" fontId="0" fillId="2" borderId="19" xfId="0" applyNumberFormat="1" applyFill="1" applyBorder="1"/>
    <xf numFmtId="0" fontId="0" fillId="2" borderId="19" xfId="0" applyFill="1" applyBorder="1"/>
    <xf numFmtId="0" fontId="12" fillId="0" borderId="1" xfId="0" applyFont="1" applyBorder="1"/>
    <xf numFmtId="0" fontId="13" fillId="0" borderId="1" xfId="0" applyFont="1" applyBorder="1"/>
    <xf numFmtId="0" fontId="0" fillId="2" borderId="7" xfId="0" applyFill="1" applyBorder="1"/>
    <xf numFmtId="0" fontId="0" fillId="2" borderId="0" xfId="0" applyFill="1"/>
    <xf numFmtId="166" fontId="0" fillId="0" borderId="7" xfId="0" applyNumberFormat="1" applyBorder="1"/>
    <xf numFmtId="166" fontId="0" fillId="2" borderId="7" xfId="0" applyNumberFormat="1" applyFill="1" applyBorder="1"/>
    <xf numFmtId="0" fontId="8" fillId="2" borderId="23" xfId="0" applyFont="1" applyFill="1" applyBorder="1" applyAlignment="1">
      <alignment vertical="center" wrapText="1"/>
    </xf>
    <xf numFmtId="1" fontId="8" fillId="2" borderId="24" xfId="0" applyNumberFormat="1" applyFont="1" applyFill="1" applyBorder="1" applyAlignment="1">
      <alignment vertical="center" wrapText="1"/>
    </xf>
    <xf numFmtId="164" fontId="0" fillId="2" borderId="24" xfId="0" applyNumberFormat="1" applyFill="1" applyBorder="1"/>
    <xf numFmtId="0" fontId="0" fillId="2" borderId="24" xfId="0" applyFill="1" applyBorder="1"/>
    <xf numFmtId="0" fontId="11" fillId="0" borderId="25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0" fillId="0" borderId="8" xfId="0" applyBorder="1"/>
    <xf numFmtId="0" fontId="0" fillId="0" borderId="26" xfId="0" applyBorder="1"/>
    <xf numFmtId="0" fontId="5" fillId="0" borderId="25" xfId="0" applyFont="1" applyBorder="1"/>
    <xf numFmtId="166" fontId="0" fillId="2" borderId="5" xfId="0" applyNumberFormat="1" applyFill="1" applyBorder="1"/>
    <xf numFmtId="166" fontId="0" fillId="0" borderId="5" xfId="0" applyNumberFormat="1" applyBorder="1"/>
    <xf numFmtId="0" fontId="5" fillId="0" borderId="11" xfId="0" applyFont="1" applyBorder="1"/>
    <xf numFmtId="0" fontId="0" fillId="2" borderId="14" xfId="0" applyFill="1" applyBorder="1"/>
    <xf numFmtId="0" fontId="0" fillId="0" borderId="14" xfId="0" applyBorder="1"/>
    <xf numFmtId="0" fontId="0" fillId="0" borderId="16" xfId="0" applyBorder="1"/>
    <xf numFmtId="164" fontId="5" fillId="2" borderId="2" xfId="0" applyNumberFormat="1" applyFont="1" applyFill="1" applyBorder="1"/>
    <xf numFmtId="164" fontId="5" fillId="2" borderId="15" xfId="0" applyNumberFormat="1" applyFont="1" applyFill="1" applyBorder="1"/>
    <xf numFmtId="164" fontId="5" fillId="5" borderId="2" xfId="0" applyNumberFormat="1" applyFont="1" applyFill="1" applyBorder="1"/>
    <xf numFmtId="164" fontId="5" fillId="5" borderId="15" xfId="0" applyNumberFormat="1" applyFont="1" applyFill="1" applyBorder="1"/>
    <xf numFmtId="0" fontId="5" fillId="4" borderId="12" xfId="0" applyFont="1" applyFill="1" applyBorder="1"/>
    <xf numFmtId="0" fontId="5" fillId="4" borderId="13" xfId="0" applyFont="1" applyFill="1" applyBorder="1"/>
    <xf numFmtId="164" fontId="0" fillId="4" borderId="2" xfId="0" applyNumberFormat="1" applyFill="1" applyBorder="1"/>
    <xf numFmtId="164" fontId="0" fillId="4" borderId="15" xfId="0" applyNumberFormat="1" applyFill="1" applyBorder="1"/>
    <xf numFmtId="164" fontId="0" fillId="4" borderId="17" xfId="0" applyNumberFormat="1" applyFill="1" applyBorder="1"/>
    <xf numFmtId="0" fontId="0" fillId="4" borderId="18" xfId="0" applyFill="1" applyBorder="1"/>
    <xf numFmtId="0" fontId="8" fillId="2" borderId="22" xfId="0" applyFont="1" applyFill="1" applyBorder="1" applyAlignment="1">
      <alignment vertical="center" wrapText="1"/>
    </xf>
    <xf numFmtId="1" fontId="8" fillId="2" borderId="20" xfId="0" applyNumberFormat="1" applyFont="1" applyFill="1" applyBorder="1" applyAlignment="1">
      <alignment vertical="center" wrapText="1"/>
    </xf>
    <xf numFmtId="164" fontId="0" fillId="2" borderId="20" xfId="0" applyNumberFormat="1" applyFill="1" applyBorder="1"/>
    <xf numFmtId="0" fontId="0" fillId="2" borderId="20" xfId="0" applyFill="1" applyBorder="1"/>
    <xf numFmtId="0" fontId="0" fillId="2" borderId="10" xfId="0" applyFill="1" applyBorder="1"/>
    <xf numFmtId="0" fontId="0" fillId="2" borderId="27" xfId="0" applyFill="1" applyBorder="1"/>
    <xf numFmtId="166" fontId="0" fillId="2" borderId="10" xfId="0" applyNumberFormat="1" applyFill="1" applyBorder="1"/>
    <xf numFmtId="166" fontId="0" fillId="2" borderId="26" xfId="0" applyNumberFormat="1" applyFill="1" applyBorder="1"/>
    <xf numFmtId="0" fontId="0" fillId="2" borderId="16" xfId="0" applyFill="1" applyBorder="1"/>
    <xf numFmtId="0" fontId="8" fillId="4" borderId="23" xfId="0" applyFont="1" applyFill="1" applyBorder="1" applyAlignment="1">
      <alignment vertical="center" wrapText="1"/>
    </xf>
    <xf numFmtId="1" fontId="8" fillId="4" borderId="24" xfId="0" applyNumberFormat="1" applyFont="1" applyFill="1" applyBorder="1" applyAlignment="1">
      <alignment vertical="center" wrapText="1"/>
    </xf>
    <xf numFmtId="164" fontId="0" fillId="4" borderId="24" xfId="0" applyNumberFormat="1" applyFill="1" applyBorder="1"/>
    <xf numFmtId="0" fontId="0" fillId="4" borderId="24" xfId="0" applyFill="1" applyBorder="1"/>
    <xf numFmtId="0" fontId="0" fillId="4" borderId="7" xfId="0" applyFill="1" applyBorder="1"/>
    <xf numFmtId="0" fontId="0" fillId="4" borderId="0" xfId="0" applyFill="1"/>
    <xf numFmtId="166" fontId="0" fillId="4" borderId="7" xfId="0" applyNumberFormat="1" applyFill="1" applyBorder="1"/>
    <xf numFmtId="166" fontId="0" fillId="4" borderId="5" xfId="0" applyNumberFormat="1" applyFill="1" applyBorder="1"/>
    <xf numFmtId="0" fontId="0" fillId="4" borderId="14" xfId="0" applyFill="1" applyBorder="1"/>
    <xf numFmtId="164" fontId="5" fillId="4" borderId="2" xfId="0" applyNumberFormat="1" applyFont="1" applyFill="1" applyBorder="1"/>
    <xf numFmtId="164" fontId="5" fillId="4" borderId="15" xfId="0" applyNumberFormat="1" applyFont="1" applyFill="1" applyBorder="1"/>
    <xf numFmtId="0" fontId="8" fillId="4" borderId="21" xfId="0" applyFont="1" applyFill="1" applyBorder="1" applyAlignment="1">
      <alignment vertical="center" wrapText="1"/>
    </xf>
    <xf numFmtId="1" fontId="8" fillId="4" borderId="19" xfId="0" applyNumberFormat="1" applyFont="1" applyFill="1" applyBorder="1" applyAlignment="1">
      <alignment vertical="center" wrapText="1"/>
    </xf>
    <xf numFmtId="164" fontId="0" fillId="4" borderId="19" xfId="0" applyNumberFormat="1" applyFill="1" applyBorder="1"/>
    <xf numFmtId="0" fontId="0" fillId="4" borderId="19" xfId="0" applyFill="1" applyBorder="1"/>
    <xf numFmtId="164" fontId="5" fillId="2" borderId="17" xfId="0" applyNumberFormat="1" applyFont="1" applyFill="1" applyBorder="1"/>
    <xf numFmtId="164" fontId="5" fillId="2" borderId="18" xfId="0" applyNumberFormat="1" applyFont="1" applyFill="1" applyBorder="1"/>
    <xf numFmtId="164" fontId="5" fillId="4" borderId="28" xfId="0" applyNumberFormat="1" applyFont="1" applyFill="1" applyBorder="1"/>
    <xf numFmtId="164" fontId="3" fillId="2" borderId="7" xfId="0" applyNumberFormat="1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0" fillId="0" borderId="2" xfId="0" applyBorder="1"/>
    <xf numFmtId="0" fontId="6" fillId="0" borderId="29" xfId="0" applyFont="1" applyBorder="1" applyAlignment="1">
      <alignment vertical="center" wrapText="1"/>
    </xf>
    <xf numFmtId="0" fontId="0" fillId="2" borderId="2" xfId="0" applyFill="1" applyBorder="1"/>
    <xf numFmtId="0" fontId="3" fillId="0" borderId="2" xfId="0" applyFont="1" applyBorder="1" applyAlignment="1">
      <alignment vertical="center" wrapText="1"/>
    </xf>
    <xf numFmtId="164" fontId="0" fillId="0" borderId="2" xfId="0" applyNumberFormat="1" applyBorder="1"/>
    <xf numFmtId="0" fontId="6" fillId="0" borderId="31" xfId="0" applyFont="1" applyBorder="1" applyAlignment="1">
      <alignment vertical="center" wrapText="1"/>
    </xf>
    <xf numFmtId="0" fontId="6" fillId="0" borderId="32" xfId="0" applyFont="1" applyBorder="1" applyAlignment="1">
      <alignment vertical="center" wrapText="1"/>
    </xf>
    <xf numFmtId="0" fontId="6" fillId="0" borderId="33" xfId="0" applyFont="1" applyBorder="1" applyAlignment="1">
      <alignment vertical="center" wrapText="1"/>
    </xf>
    <xf numFmtId="0" fontId="3" fillId="2" borderId="30" xfId="0" applyFont="1" applyFill="1" applyBorder="1" applyAlignment="1">
      <alignment vertical="center" wrapText="1"/>
    </xf>
    <xf numFmtId="164" fontId="3" fillId="2" borderId="30" xfId="0" applyNumberFormat="1" applyFont="1" applyFill="1" applyBorder="1" applyAlignment="1">
      <alignment vertical="center" wrapText="1"/>
    </xf>
    <xf numFmtId="0" fontId="0" fillId="2" borderId="30" xfId="0" applyFill="1" applyBorder="1"/>
    <xf numFmtId="0" fontId="3" fillId="2" borderId="2" xfId="0" applyFont="1" applyFill="1" applyBorder="1" applyAlignment="1">
      <alignment vertical="center" wrapText="1"/>
    </xf>
    <xf numFmtId="164" fontId="0" fillId="2" borderId="2" xfId="0" applyNumberFormat="1" applyFill="1" applyBorder="1"/>
    <xf numFmtId="164" fontId="3" fillId="2" borderId="2" xfId="0" applyNumberFormat="1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vertical="center" wrapText="1"/>
    </xf>
    <xf numFmtId="0" fontId="6" fillId="0" borderId="34" xfId="0" applyFont="1" applyBorder="1" applyAlignment="1">
      <alignment vertical="center" wrapText="1"/>
    </xf>
    <xf numFmtId="0" fontId="6" fillId="0" borderId="35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0" fillId="0" borderId="12" xfId="0" applyBorder="1"/>
    <xf numFmtId="0" fontId="0" fillId="0" borderId="13" xfId="0" applyBorder="1"/>
    <xf numFmtId="0" fontId="14" fillId="0" borderId="14" xfId="1" applyFill="1" applyBorder="1"/>
    <xf numFmtId="0" fontId="0" fillId="0" borderId="15" xfId="0" applyBorder="1"/>
    <xf numFmtId="0" fontId="3" fillId="2" borderId="14" xfId="0" applyFont="1" applyFill="1" applyBorder="1" applyAlignment="1">
      <alignment vertical="center" wrapText="1"/>
    </xf>
    <xf numFmtId="0" fontId="0" fillId="2" borderId="15" xfId="0" applyFill="1" applyBorder="1"/>
    <xf numFmtId="0" fontId="3" fillId="2" borderId="16" xfId="0" applyFont="1" applyFill="1" applyBorder="1" applyAlignment="1">
      <alignment vertical="center" wrapText="1"/>
    </xf>
    <xf numFmtId="0" fontId="3" fillId="2" borderId="17" xfId="0" applyFont="1" applyFill="1" applyBorder="1" applyAlignment="1">
      <alignment vertical="center" wrapText="1"/>
    </xf>
    <xf numFmtId="0" fontId="0" fillId="2" borderId="17" xfId="0" applyFill="1" applyBorder="1"/>
    <xf numFmtId="0" fontId="0" fillId="2" borderId="18" xfId="0" applyFill="1" applyBorder="1"/>
    <xf numFmtId="0" fontId="16" fillId="2" borderId="2" xfId="0" applyFont="1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0" fontId="15" fillId="2" borderId="2" xfId="0" applyFont="1" applyFill="1" applyBorder="1" applyAlignment="1">
      <alignment vertical="center" wrapText="1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36" xfId="0" applyBorder="1"/>
    <xf numFmtId="0" fontId="5" fillId="2" borderId="2" xfId="0" applyFont="1" applyFill="1" applyBorder="1"/>
    <xf numFmtId="0" fontId="0" fillId="0" borderId="0" xfId="0" applyAlignment="1">
      <alignment vertical="center" wrapText="1"/>
    </xf>
    <xf numFmtId="166" fontId="0" fillId="0" borderId="2" xfId="2" applyNumberFormat="1" applyFont="1" applyBorder="1" applyAlignment="1">
      <alignment vertical="center" wrapText="1"/>
    </xf>
    <xf numFmtId="49" fontId="6" fillId="2" borderId="1" xfId="0" applyNumberFormat="1" applyFont="1" applyFill="1" applyBorder="1" applyAlignment="1">
      <alignment vertical="center" wrapText="1"/>
    </xf>
    <xf numFmtId="49" fontId="6" fillId="0" borderId="1" xfId="0" applyNumberFormat="1" applyFont="1" applyBorder="1" applyAlignment="1">
      <alignment vertical="center" wrapText="1"/>
    </xf>
    <xf numFmtId="166" fontId="0" fillId="0" borderId="2" xfId="2" applyNumberFormat="1" applyFont="1" applyBorder="1"/>
    <xf numFmtId="167" fontId="0" fillId="2" borderId="2" xfId="2" applyNumberFormat="1" applyFont="1" applyFill="1" applyBorder="1"/>
    <xf numFmtId="167" fontId="5" fillId="0" borderId="0" xfId="2" applyNumberFormat="1" applyFont="1"/>
  </cellXfs>
  <cellStyles count="3">
    <cellStyle name="Currency" xfId="2" builtinId="4"/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Database</a:t>
            </a:r>
            <a:r>
              <a:rPr lang="en-US" baseline="0"/>
              <a:t> e</a:t>
            </a:r>
            <a:r>
              <a:rPr lang="en-US"/>
              <a:t>quipment accessibility versus cost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4.3643452470202002E-2"/>
                  <c:y val="-8.1160308734683911E-2"/>
                </c:manualLayout>
              </c:layout>
              <c:tx>
                <c:rich>
                  <a:bodyPr/>
                  <a:lstStyle/>
                  <a:p>
                    <a:fld id="{39647328-FAA0-45DD-9543-7A3B006B1F3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D16E-43CF-968B-4EE45750E6BE}"/>
                </c:ext>
              </c:extLst>
            </c:dLbl>
            <c:dLbl>
              <c:idx val="1"/>
              <c:layout>
                <c:manualLayout>
                  <c:x val="-0.16031194350789782"/>
                  <c:y val="-6.2601448102593965E-2"/>
                </c:manualLayout>
              </c:layout>
              <c:tx>
                <c:rich>
                  <a:bodyPr/>
                  <a:lstStyle/>
                  <a:p>
                    <a:fld id="{C24D020B-43F2-48B2-B832-F5246A91147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D16E-43CF-968B-4EE45750E6B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CFD688C1-498C-4E3D-B922-87C628BC01E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D16E-43CF-968B-4EE45750E6B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0791B29D-F80B-4338-860B-AFC3C41D3C0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D16E-43CF-968B-4EE45750E6BE}"/>
                </c:ext>
              </c:extLst>
            </c:dLbl>
            <c:dLbl>
              <c:idx val="4"/>
              <c:layout>
                <c:manualLayout>
                  <c:x val="-5.0922801685501212E-3"/>
                  <c:y val="-2.285151048301712E-3"/>
                </c:manualLayout>
              </c:layout>
              <c:tx>
                <c:rich>
                  <a:bodyPr/>
                  <a:lstStyle/>
                  <a:p>
                    <a:fld id="{7BA45E3B-3C05-41DB-92B9-3E1BE6A5C0E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D16E-43CF-968B-4EE45750E6B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0"/>
            <c:dispEq val="0"/>
          </c:trendline>
          <c:xVal>
            <c:numRef>
              <c:f>Database!$C$3:$C$7</c:f>
              <c:numCache>
                <c:formatCode>General</c:formatCode>
                <c:ptCount val="5"/>
                <c:pt idx="0">
                  <c:v>7</c:v>
                </c:pt>
                <c:pt idx="1">
                  <c:v>7</c:v>
                </c:pt>
                <c:pt idx="2">
                  <c:v>6</c:v>
                </c:pt>
                <c:pt idx="3">
                  <c:v>6</c:v>
                </c:pt>
                <c:pt idx="4">
                  <c:v>7</c:v>
                </c:pt>
              </c:numCache>
            </c:numRef>
          </c:xVal>
          <c:yVal>
            <c:numRef>
              <c:f>Database!$D$3:$D$7</c:f>
              <c:numCache>
                <c:formatCode>[$ZAR]\ #,##0.00</c:formatCode>
                <c:ptCount val="5"/>
                <c:pt idx="0">
                  <c:v>25530</c:v>
                </c:pt>
                <c:pt idx="1">
                  <c:v>25530</c:v>
                </c:pt>
                <c:pt idx="2">
                  <c:v>25530</c:v>
                </c:pt>
                <c:pt idx="3">
                  <c:v>277500</c:v>
                </c:pt>
                <c:pt idx="4">
                  <c:v>25530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Database!$B$3:$B$7</c15:f>
                <c15:dlblRangeCache>
                  <c:ptCount val="5"/>
                  <c:pt idx="0">
                    <c:v>PostgreSQL</c:v>
                  </c:pt>
                  <c:pt idx="1">
                    <c:v>MySQL</c:v>
                  </c:pt>
                  <c:pt idx="2">
                    <c:v>SQLite</c:v>
                  </c:pt>
                  <c:pt idx="3">
                    <c:v>MongoDB</c:v>
                  </c:pt>
                  <c:pt idx="4">
                    <c:v>MariaDB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D16E-43CF-968B-4EE45750E6BE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305651023"/>
        <c:axId val="1305651503"/>
      </c:scatterChart>
      <c:valAx>
        <c:axId val="13056510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Accessibility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5651503"/>
        <c:crosses val="autoZero"/>
        <c:crossBetween val="midCat"/>
      </c:valAx>
      <c:valAx>
        <c:axId val="1305651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Cost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$ZAR]\ 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56510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UI Interface equipment accessibility</a:t>
            </a:r>
            <a:r>
              <a:rPr lang="en-US" baseline="0"/>
              <a:t> vs cost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20F6BD45-0FF5-415D-A63B-7DC15E96A6F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F94C-4E42-BFEC-E8E177051E32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1779905E-4621-41C6-8FFF-B1841BB2F14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F94C-4E42-BFEC-E8E177051E32}"/>
                </c:ext>
              </c:extLst>
            </c:dLbl>
            <c:dLbl>
              <c:idx val="2"/>
              <c:layout>
                <c:manualLayout>
                  <c:x val="5.1734470691163605E-3"/>
                  <c:y val="3.247703412073491E-2"/>
                </c:manualLayout>
              </c:layout>
              <c:tx>
                <c:rich>
                  <a:bodyPr/>
                  <a:lstStyle/>
                  <a:p>
                    <a:fld id="{D5808EF4-4954-49CD-B7EC-48B7C69BEC3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F94C-4E42-BFEC-E8E177051E3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6592E608-7BB0-4D68-B828-7801B9A6047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F94C-4E42-BFEC-E8E177051E3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87C66CF6-C5F7-4462-A4C6-7E3D115945A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F94C-4E42-BFEC-E8E177051E3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'UI INterface'!$B$2:$B$6</c:f>
              <c:numCache>
                <c:formatCode>General</c:formatCode>
                <c:ptCount val="5"/>
                <c:pt idx="0">
                  <c:v>18</c:v>
                </c:pt>
                <c:pt idx="1">
                  <c:v>17</c:v>
                </c:pt>
                <c:pt idx="2">
                  <c:v>16</c:v>
                </c:pt>
                <c:pt idx="3">
                  <c:v>16</c:v>
                </c:pt>
                <c:pt idx="4">
                  <c:v>15</c:v>
                </c:pt>
              </c:numCache>
            </c:numRef>
          </c:xVal>
          <c:yVal>
            <c:numRef>
              <c:f>'UI INterface'!$C$2:$C$6</c:f>
              <c:numCache>
                <c:formatCode>[$ZAR]\ 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18481.5</c:v>
                </c:pt>
                <c:pt idx="3">
                  <c:v>5531.5</c:v>
                </c:pt>
                <c:pt idx="4">
                  <c:v>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'UI INterface'!$A$2:$A$6</c15:f>
                <c15:dlblRangeCache>
                  <c:ptCount val="5"/>
                  <c:pt idx="0">
                    <c:v>QGroundControl</c:v>
                  </c:pt>
                  <c:pt idx="1">
                    <c:v>Mission Planner</c:v>
                  </c:pt>
                  <c:pt idx="2">
                    <c:v>DJI Ground Station Pro</c:v>
                  </c:pt>
                  <c:pt idx="3">
                    <c:v>UGCS</c:v>
                  </c:pt>
                  <c:pt idx="4">
                    <c:v>APM Planner 2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F94C-4E42-BFEC-E8E177051E32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013040848"/>
        <c:axId val="1013041328"/>
      </c:scatterChart>
      <c:valAx>
        <c:axId val="1013040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Accessibility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3041328"/>
        <c:crosses val="autoZero"/>
        <c:crossBetween val="midCat"/>
      </c:valAx>
      <c:valAx>
        <c:axId val="1013041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Cost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$ZAR]\ 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3040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Chassis</a:t>
            </a:r>
            <a:r>
              <a:rPr lang="en-US" baseline="0"/>
              <a:t> equipment accessibility vs cost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2.5703705130286215E-3"/>
                  <c:y val="-4.3390929475993732E-3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F6D674D3-242C-4AEE-BB47-FAB5732A1984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3002406829947624"/>
                      <c:h val="2.9121740970395039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70FC-49F5-A096-B3574D37D499}"/>
                </c:ext>
              </c:extLst>
            </c:dLbl>
            <c:dLbl>
              <c:idx val="1"/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588D459B-220D-4CD8-BC3B-093802E79047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936075202082889"/>
                      <c:h val="6.1252046955785754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70FC-49F5-A096-B3574D37D499}"/>
                </c:ext>
              </c:extLst>
            </c:dLbl>
            <c:dLbl>
              <c:idx val="2"/>
              <c:layout>
                <c:manualLayout>
                  <c:x val="-9.8005812721382937E-2"/>
                  <c:y val="-8.174230436622569E-2"/>
                </c:manualLayout>
              </c:layout>
              <c:tx>
                <c:rich>
                  <a:bodyPr/>
                  <a:lstStyle/>
                  <a:p>
                    <a:fld id="{113C51E9-2B5B-49C9-9A12-F3BBF0E83B4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70FC-49F5-A096-B3574D37D499}"/>
                </c:ext>
              </c:extLst>
            </c:dLbl>
            <c:dLbl>
              <c:idx val="3"/>
              <c:layout>
                <c:manualLayout>
                  <c:x val="-3.1948775392812811E-3"/>
                  <c:y val="8.8068547719368732E-3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B1030AF9-1B7D-40EA-B32D-9FEE34B98394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980589446277739"/>
                      <c:h val="9.0461416033413664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70FC-49F5-A096-B3574D37D499}"/>
                </c:ext>
              </c:extLst>
            </c:dLbl>
            <c:dLbl>
              <c:idx val="4"/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590B5F9D-AC6B-4735-ABF4-FCD25C6D51D2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1961399897066392"/>
                      <c:h val="8.4531914110655207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70FC-49F5-A096-B3574D37D499}"/>
                </c:ext>
              </c:extLst>
            </c:dLbl>
            <c:dLbl>
              <c:idx val="5"/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F42E2DF6-807B-489F-893B-9C6239EFA2FE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0770596055723536"/>
                      <c:h val="3.4972937320455387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70FC-49F5-A096-B3574D37D499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CD2311DC-F352-4318-990E-4E734BC40F5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70FC-49F5-A096-B3574D37D499}"/>
                </c:ext>
              </c:extLst>
            </c:dLbl>
            <c:dLbl>
              <c:idx val="7"/>
              <c:layout>
                <c:manualLayout>
                  <c:x val="-0.16054751596984651"/>
                  <c:y val="-2.899087379712598E-3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2CBCE44D-B7BB-42B3-B094-727E47FF2759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384290514970786"/>
                      <c:h val="4.37703545603415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70FC-49F5-A096-B3574D37D499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509F68B8-A690-4A54-87FF-21C28374734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70FC-49F5-A096-B3574D37D49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Chassis!$Z$3:$Z$11</c:f>
              <c:numCache>
                <c:formatCode>0</c:formatCode>
                <c:ptCount val="9"/>
                <c:pt idx="0">
                  <c:v>6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7</c:v>
                </c:pt>
                <c:pt idx="8">
                  <c:v>7</c:v>
                </c:pt>
              </c:numCache>
            </c:numRef>
          </c:xVal>
          <c:yVal>
            <c:numRef>
              <c:f>Chassis!$AA$3:$AA$11</c:f>
              <c:numCache>
                <c:formatCode>[$ZAR]\ #,##0.00</c:formatCode>
                <c:ptCount val="9"/>
                <c:pt idx="0">
                  <c:v>1294.8149999999998</c:v>
                </c:pt>
                <c:pt idx="1">
                  <c:v>4625</c:v>
                </c:pt>
                <c:pt idx="2">
                  <c:v>8324.0749999999989</c:v>
                </c:pt>
                <c:pt idx="3">
                  <c:v>7399.0749999999998</c:v>
                </c:pt>
                <c:pt idx="4">
                  <c:v>1683.36</c:v>
                </c:pt>
                <c:pt idx="5">
                  <c:v>536.31499999999994</c:v>
                </c:pt>
                <c:pt idx="6">
                  <c:v>11099.815000000001</c:v>
                </c:pt>
                <c:pt idx="7">
                  <c:v>7399.8150000000005</c:v>
                </c:pt>
                <c:pt idx="8">
                  <c:v>5549.0749999999998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Chassis!$Y$3:$Y$11</c15:f>
                <c15:dlblRangeCache>
                  <c:ptCount val="9"/>
                  <c:pt idx="0">
                    <c:v>Bogie Runt Rover (with new wheels)</c:v>
                  </c:pt>
                  <c:pt idx="1">
                    <c:v>Dagu Wild Thumper 6WD All-Terrain Chassis</c:v>
                  </c:pt>
                  <c:pt idx="2">
                    <c:v>4WD Research Robot Chassis – Rough Terrain</c:v>
                  </c:pt>
                  <c:pt idx="3">
                    <c:v>4WD Research Robot Chassis Kit</c:v>
                  </c:pt>
                  <c:pt idx="4">
                    <c:v>5kg Load 4WD Robot Car 12V DC Motor Off-Road Wheel Chassis for Arduino Robot DIY</c:v>
                  </c:pt>
                  <c:pt idx="5">
                    <c:v>Whipper Snapper Runt Rover</c:v>
                  </c:pt>
                  <c:pt idx="6">
                    <c:v>BeeLine Chassis Kit V2</c:v>
                  </c:pt>
                  <c:pt idx="7">
                    <c:v>HammerHead Chassis Kit</c:v>
                  </c:pt>
                  <c:pt idx="8">
                    <c:v>Recon Chassis Kit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70FC-49F5-A096-B3574D37D499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225406272"/>
        <c:axId val="1225400032"/>
      </c:scatterChart>
      <c:valAx>
        <c:axId val="1225406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Accessibility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5400032"/>
        <c:crosses val="autoZero"/>
        <c:crossBetween val="midCat"/>
      </c:valAx>
      <c:valAx>
        <c:axId val="1225400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Cost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$ZAR]\ 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54062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3D Cost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7A36D1C4-90E6-4B80-A330-71FB1153984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A934-4396-A2F4-E7E8C00B49D5}"/>
                </c:ext>
              </c:extLst>
            </c:dLbl>
            <c:dLbl>
              <c:idx val="1"/>
              <c:layout>
                <c:manualLayout>
                  <c:x val="-1.7678882490897226E-2"/>
                  <c:y val="5.9715355084887081E-2"/>
                </c:manualLayout>
              </c:layout>
              <c:tx>
                <c:rich>
                  <a:bodyPr/>
                  <a:lstStyle/>
                  <a:p>
                    <a:fld id="{57CD2022-1F04-48A8-A93F-CB2AF82DEDD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A934-4396-A2F4-E7E8C00B49D5}"/>
                </c:ext>
              </c:extLst>
            </c:dLbl>
            <c:dLbl>
              <c:idx val="2"/>
              <c:layout>
                <c:manualLayout>
                  <c:x val="-2.9637732315716788E-3"/>
                  <c:y val="-3.4567815261018183E-3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6C45159D-E967-4D99-99CF-D24A22EF1CC2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3609688308284765"/>
                      <c:h val="9.4652918022131799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A934-4396-A2F4-E7E8C00B49D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1B11F88D-324F-49E5-ADB4-F0FDAF28898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A934-4396-A2F4-E7E8C00B49D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0380B5AD-E6D2-4076-9355-E5A0B6A0FA3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A934-4396-A2F4-E7E8C00B49D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'Chassis Kit Cost'!$B$2:$B$6</c:f>
              <c:numCache>
                <c:formatCode>0</c:formatCode>
                <c:ptCount val="5"/>
                <c:pt idx="0">
                  <c:v>6</c:v>
                </c:pt>
                <c:pt idx="1">
                  <c:v>8</c:v>
                </c:pt>
                <c:pt idx="2">
                  <c:v>7</c:v>
                </c:pt>
                <c:pt idx="3">
                  <c:v>5</c:v>
                </c:pt>
                <c:pt idx="4">
                  <c:v>7</c:v>
                </c:pt>
              </c:numCache>
            </c:numRef>
          </c:xVal>
          <c:yVal>
            <c:numRef>
              <c:f>'Chassis Kit Cost'!$M$2:$M$6</c:f>
              <c:numCache>
                <c:formatCode>[$ZAR]\ #,##0.00</c:formatCode>
                <c:ptCount val="5"/>
                <c:pt idx="0">
                  <c:v>2411.085</c:v>
                </c:pt>
                <c:pt idx="1">
                  <c:v>7325.34</c:v>
                </c:pt>
                <c:pt idx="2">
                  <c:v>9983.2649999999994</c:v>
                </c:pt>
                <c:pt idx="3">
                  <c:v>17855.005000000001</c:v>
                </c:pt>
                <c:pt idx="4">
                  <c:v>12191.555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'Chassis Kit Cost'!$A$2:$A$6</c15:f>
                <c15:dlblRangeCache>
                  <c:ptCount val="5"/>
                  <c:pt idx="0">
                    <c:v>Bogie Runt Rover (with new wheels)</c:v>
                  </c:pt>
                  <c:pt idx="1">
                    <c:v>Dagu Wild Thumper 6WD All-Terrain Chassis</c:v>
                  </c:pt>
                  <c:pt idx="2">
                    <c:v>4WD Research Robot Chassis – Rough Terrain</c:v>
                  </c:pt>
                  <c:pt idx="3">
                    <c:v>BeeLine Chassis Kit V2</c:v>
                  </c:pt>
                  <c:pt idx="4">
                    <c:v>HammerHead Chassis Kit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A934-4396-A2F4-E7E8C00B49D5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226801056"/>
        <c:axId val="411731600"/>
      </c:scatterChart>
      <c:valAx>
        <c:axId val="1226801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731600"/>
        <c:crosses val="autoZero"/>
        <c:crossBetween val="midCat"/>
      </c:valAx>
      <c:valAx>
        <c:axId val="41173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$ZAR]\ 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6801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Plastic Cost</a:t>
            </a:r>
          </a:p>
          <a:p>
            <a:pPr>
              <a:defRPr/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D0DFA9CA-4745-4BD3-9DC3-3FF37EC3A30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D202-41D5-A7B7-5560F49AB5AA}"/>
                </c:ext>
              </c:extLst>
            </c:dLbl>
            <c:dLbl>
              <c:idx val="1"/>
              <c:layout>
                <c:manualLayout>
                  <c:x val="-3.9318185291281962E-2"/>
                  <c:y val="5.6795258393774938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FE71726E-40C3-454F-B144-BABBCDBD7D71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479505930665807"/>
                      <c:h val="8.921881669338573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D202-41D5-A7B7-5560F49AB5AA}"/>
                </c:ext>
              </c:extLst>
            </c:dLbl>
            <c:dLbl>
              <c:idx val="2"/>
              <c:layout>
                <c:manualLayout>
                  <c:x val="-3.3356522065299838E-3"/>
                  <c:y val="6.9524196444932119E-3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FB8A3D0A-444D-4ED7-AFF8-C211B952E77D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3679117499145615"/>
                      <c:h val="9.9531128158754367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D202-41D5-A7B7-5560F49AB5A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8F923F5-2AF6-40C2-8550-195D967E9EC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D202-41D5-A7B7-5560F49AB5A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D2D42616-3754-4910-8A09-5BDCE4B44AB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D202-41D5-A7B7-5560F49AB5A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'Chassis Kit Cost'!$B$2:$B$6</c:f>
              <c:numCache>
                <c:formatCode>0</c:formatCode>
                <c:ptCount val="5"/>
                <c:pt idx="0">
                  <c:v>6</c:v>
                </c:pt>
                <c:pt idx="1">
                  <c:v>8</c:v>
                </c:pt>
                <c:pt idx="2">
                  <c:v>7</c:v>
                </c:pt>
                <c:pt idx="3">
                  <c:v>5</c:v>
                </c:pt>
                <c:pt idx="4">
                  <c:v>7</c:v>
                </c:pt>
              </c:numCache>
            </c:numRef>
          </c:xVal>
          <c:yVal>
            <c:numRef>
              <c:f>'Chassis Kit Cost'!$N$2:$N$6</c:f>
              <c:numCache>
                <c:formatCode>[$ZAR]\ #,##0.00</c:formatCode>
                <c:ptCount val="5"/>
                <c:pt idx="0">
                  <c:v>2112.8150000000001</c:v>
                </c:pt>
                <c:pt idx="1">
                  <c:v>6246.62</c:v>
                </c:pt>
                <c:pt idx="2">
                  <c:v>9320.4649999999983</c:v>
                </c:pt>
                <c:pt idx="3">
                  <c:v>16434.794999999998</c:v>
                </c:pt>
                <c:pt idx="4">
                  <c:v>11555.695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'Chassis Kit Cost'!$A$2:$A$6</c15:f>
                <c15:dlblRangeCache>
                  <c:ptCount val="5"/>
                  <c:pt idx="0">
                    <c:v>Bogie Runt Rover (with new wheels)</c:v>
                  </c:pt>
                  <c:pt idx="1">
                    <c:v>Dagu Wild Thumper 6WD All-Terrain Chassis</c:v>
                  </c:pt>
                  <c:pt idx="2">
                    <c:v>4WD Research Robot Chassis – Rough Terrain</c:v>
                  </c:pt>
                  <c:pt idx="3">
                    <c:v>BeeLine Chassis Kit V2</c:v>
                  </c:pt>
                  <c:pt idx="4">
                    <c:v>HammerHead Chassis Kit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D202-41D5-A7B7-5560F49AB5A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582067408"/>
        <c:axId val="582069328"/>
      </c:scatterChart>
      <c:valAx>
        <c:axId val="582067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069328"/>
        <c:crosses val="autoZero"/>
        <c:crossBetween val="midCat"/>
      </c:valAx>
      <c:valAx>
        <c:axId val="582069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$ZAR]\ 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0674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Wheels!$C$1</c:f>
              <c:strCache>
                <c:ptCount val="1"/>
                <c:pt idx="0">
                  <c:v>Accessibility (1-5)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5274461731409682E-3"/>
                  <c:y val="2.0865319644057015E-3"/>
                </c:manualLayout>
              </c:layout>
              <c:tx>
                <c:rich>
                  <a:bodyPr/>
                  <a:lstStyle/>
                  <a:p>
                    <a:fld id="{5402F92A-0BC3-413A-BA74-25992006CB1D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9FFD797C-83AE-4B5F-A270-B5DC9DBD7F2B}" type="XVALUE">
                      <a:rPr lang="en-US" baseline="0"/>
                      <a:pPr/>
                      <a:t>[X VALUE]</a:t>
                    </a:fld>
                    <a:endParaRPr lang="en-US" baseline="0"/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B5B1-4F8B-B142-42428568C46D}"/>
                </c:ext>
              </c:extLst>
            </c:dLbl>
            <c:dLbl>
              <c:idx val="1"/>
              <c:layout>
                <c:manualLayout>
                  <c:x val="-0.21086190627086479"/>
                  <c:y val="6.0797441325721284E-3"/>
                </c:manualLayout>
              </c:layout>
              <c:tx>
                <c:rich>
                  <a:bodyPr/>
                  <a:lstStyle/>
                  <a:p>
                    <a:fld id="{15218468-654B-4580-A805-13F0C8F15A52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7BC6218D-459E-4A88-BF85-24A0E9BB485C}" type="XVALUE">
                      <a:rPr lang="en-US" baseline="0"/>
                      <a:pPr/>
                      <a:t>[X VALUE]</a:t>
                    </a:fld>
                    <a:endParaRPr lang="en-US" baseline="0"/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B5B1-4F8B-B142-42428568C46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F1835DD8-8010-4BAA-ABA6-3A511E7DD217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2ECBAA83-D8C2-4448-A75F-0CD221A1402D}" type="XVALUE">
                      <a:rPr lang="en-US" baseline="0"/>
                      <a:pPr/>
                      <a:t>[X VALUE]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B5B1-4F8B-B142-42428568C46D}"/>
                </c:ext>
              </c:extLst>
            </c:dLbl>
            <c:dLbl>
              <c:idx val="3"/>
              <c:layout>
                <c:manualLayout>
                  <c:x val="-0.10371733693167401"/>
                  <c:y val="8.1235455825169001E-2"/>
                </c:manualLayout>
              </c:layout>
              <c:tx>
                <c:rich>
                  <a:bodyPr/>
                  <a:lstStyle/>
                  <a:p>
                    <a:fld id="{D4FFA09F-4EBD-46D9-8CC7-E4D61C84E6D9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A2EDEA78-AD87-462E-9672-205BB21A61DE}" type="XVALUE">
                      <a:rPr lang="en-US" baseline="0"/>
                      <a:pPr/>
                      <a:t>[X VALUE]</a:t>
                    </a:fld>
                    <a:endParaRPr lang="en-US" baseline="0"/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B5B1-4F8B-B142-42428568C46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Wheels!$B$2:$B$5</c:f>
              <c:numCache>
                <c:formatCode>[$ZAR]\ #,##0.00</c:formatCode>
                <c:ptCount val="4"/>
                <c:pt idx="0">
                  <c:v>1920.3</c:v>
                </c:pt>
                <c:pt idx="1">
                  <c:v>1624.3</c:v>
                </c:pt>
                <c:pt idx="2">
                  <c:v>3403.26</c:v>
                </c:pt>
                <c:pt idx="3">
                  <c:v>1258</c:v>
                </c:pt>
              </c:numCache>
            </c:numRef>
          </c:xVal>
          <c:yVal>
            <c:numRef>
              <c:f>Wheels!$C$2:$C$5</c:f>
              <c:numCache>
                <c:formatCode>General</c:formatCode>
                <c:ptCount val="4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Wheels!$A$2:$A$5</c15:f>
                <c15:dlblRangeCache>
                  <c:ptCount val="4"/>
                  <c:pt idx="0">
                    <c:v>Pololu Dagu Wild Thumper Wheels</c:v>
                  </c:pt>
                  <c:pt idx="1">
                    <c:v>RobotShop Heavy Duty Off-Road Wheels</c:v>
                  </c:pt>
                  <c:pt idx="2">
                    <c:v>Banebots High-Traction Wheels</c:v>
                  </c:pt>
                  <c:pt idx="3">
                    <c:v>SuperDroid Robots Heavy Duty Wheels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B5B1-4F8B-B142-42428568C46D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731718960"/>
        <c:axId val="1731719440"/>
      </c:scatterChart>
      <c:valAx>
        <c:axId val="1731718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$ZAR]\ #,##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1719440"/>
        <c:crosses val="autoZero"/>
        <c:crossBetween val="midCat"/>
      </c:valAx>
      <c:valAx>
        <c:axId val="173171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1718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Motors!$C$1</c:f>
              <c:strCache>
                <c:ptCount val="1"/>
                <c:pt idx="0">
                  <c:v>Accessibility (1-5)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0491FA5D-67B5-4A78-A288-3D14CC3C02F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BB25-4F79-BAA9-0B8C5489045B}"/>
                </c:ext>
              </c:extLst>
            </c:dLbl>
            <c:dLbl>
              <c:idx val="1"/>
              <c:layout>
                <c:manualLayout>
                  <c:x val="-8.9986220472440967E-2"/>
                  <c:y val="6.4929531480559369E-2"/>
                </c:manualLayout>
              </c:layout>
              <c:tx>
                <c:rich>
                  <a:bodyPr/>
                  <a:lstStyle/>
                  <a:p>
                    <a:fld id="{C73443C9-5313-4115-8195-9C26C8E1EF7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BB25-4F79-BAA9-0B8C5489045B}"/>
                </c:ext>
              </c:extLst>
            </c:dLbl>
            <c:dLbl>
              <c:idx val="2"/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06148E48-4101-4B0C-B0CD-824EE92BD166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1022222222222219"/>
                      <c:h val="0.10303332122206893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BB25-4F79-BAA9-0B8C5489045B}"/>
                </c:ext>
              </c:extLst>
            </c:dLbl>
            <c:dLbl>
              <c:idx val="3"/>
              <c:layout>
                <c:manualLayout>
                  <c:x val="-8.0868110236220425E-2"/>
                  <c:y val="6.5260066112258694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F0ECACC9-48C6-4691-8710-0E4EA4009E9E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9.7777777777777797E-2"/>
                      <c:h val="0.10303332122206893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BB25-4F79-BAA9-0B8C5489045B}"/>
                </c:ext>
              </c:extLst>
            </c:dLbl>
            <c:dLbl>
              <c:idx val="4"/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AD19D26F-02DA-420C-AADD-60BF6B52BA10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1905555555555555"/>
                      <c:h val="9.2309347101215425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BB25-4F79-BAA9-0B8C548904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Motors!$B$2:$B$6</c:f>
              <c:numCache>
                <c:formatCode>General</c:formatCode>
                <c:ptCount val="5"/>
                <c:pt idx="0">
                  <c:v>2809.07</c:v>
                </c:pt>
                <c:pt idx="1">
                  <c:v>2714.67</c:v>
                </c:pt>
                <c:pt idx="2">
                  <c:v>1287.95</c:v>
                </c:pt>
                <c:pt idx="3">
                  <c:v>837.28</c:v>
                </c:pt>
                <c:pt idx="4">
                  <c:v>1391.47</c:v>
                </c:pt>
              </c:numCache>
            </c:numRef>
          </c:xVal>
          <c:yVal>
            <c:numRef>
              <c:f>Motors!$C$2:$C$6</c:f>
              <c:numCache>
                <c:formatCode>General</c:formatCode>
                <c:ptCount val="5"/>
                <c:pt idx="0">
                  <c:v>6</c:v>
                </c:pt>
                <c:pt idx="1">
                  <c:v>6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Motors!$A$2:$A$6</c15:f>
                <c15:dlblRangeCache>
                  <c:ptCount val="5"/>
                  <c:pt idx="0">
                    <c:v>MOT-IG22CGM-12VDC</c:v>
                  </c:pt>
                  <c:pt idx="1">
                    <c:v>MOT-IG-32PGM-10KG</c:v>
                  </c:pt>
                  <c:pt idx="2">
                    <c:v>RS PRO Brushed Geared DC Geared Motor, 19.8 W, 12 V dc, 1.2 Nm, 24 rpm, 6mm Shaft Diameter</c:v>
                  </c:pt>
                  <c:pt idx="3">
                    <c:v>RS PRO Brushed Geared DC Geared Motor, 41.3 W, 12 V dc, 1.8 Nm, 116 rpm, 8mm Shaft Diameter</c:v>
                  </c:pt>
                  <c:pt idx="4">
                    <c:v>RS PRO Brushed Geared DC Geared Motor, 41.3 W, 12 V dc, 2 Nm, 55 rpm, 8mm Shaft Diameter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BB25-4F79-BAA9-0B8C5489045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735278128"/>
        <c:axId val="1735278608"/>
      </c:scatterChart>
      <c:valAx>
        <c:axId val="1735278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5278608"/>
        <c:crosses val="autoZero"/>
        <c:crossBetween val="midCat"/>
      </c:valAx>
      <c:valAx>
        <c:axId val="1735278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5278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Equipment cost vs Accessibility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8FC574BF-5928-4039-8DF7-246D399EE68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A045-44AC-AB63-9D0EFBBE50C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2C28391E-C849-4D46-8A92-A13C2CC17A8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A045-44AC-AB63-9D0EFBBE50C4}"/>
                </c:ext>
              </c:extLst>
            </c:dLbl>
            <c:dLbl>
              <c:idx val="2"/>
              <c:layout>
                <c:manualLayout>
                  <c:x val="-3.0269865493025138E-2"/>
                  <c:y val="-6.94717448749545E-2"/>
                </c:manualLayout>
              </c:layout>
              <c:tx>
                <c:rich>
                  <a:bodyPr/>
                  <a:lstStyle/>
                  <a:p>
                    <a:fld id="{E527BA83-25F5-441E-ADA5-ACD9D7B9918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A045-44AC-AB63-9D0EFBBE50C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intercept val="1"/>
            <c:dispRSqr val="0"/>
            <c:dispEq val="0"/>
          </c:trendline>
          <c:xVal>
            <c:numRef>
              <c:f>Motors!$AC$5:$AC$7</c:f>
              <c:numCache>
                <c:formatCode>General</c:formatCode>
                <c:ptCount val="3"/>
                <c:pt idx="0">
                  <c:v>1200</c:v>
                </c:pt>
                <c:pt idx="1">
                  <c:v>800</c:v>
                </c:pt>
                <c:pt idx="2">
                  <c:v>1500</c:v>
                </c:pt>
              </c:numCache>
            </c:numRef>
          </c:xVal>
          <c:yVal>
            <c:numRef>
              <c:f>Motors!$AD$5:$AD$7</c:f>
              <c:numCache>
                <c:formatCode>General</c:formatCode>
                <c:ptCount val="3"/>
                <c:pt idx="0">
                  <c:v>70</c:v>
                </c:pt>
                <c:pt idx="1">
                  <c:v>90</c:v>
                </c:pt>
                <c:pt idx="2">
                  <c:v>80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Motors!$AA$5:$AA$7</c15:f>
                <c15:dlblRangeCache>
                  <c:ptCount val="3"/>
                  <c:pt idx="0">
                    <c:v>Brushless Motor</c:v>
                  </c:pt>
                  <c:pt idx="1">
                    <c:v>Brushed Motor</c:v>
                  </c:pt>
                  <c:pt idx="2">
                    <c:v>Servo Motor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A045-44AC-AB63-9D0EFBBE50C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45181792"/>
        <c:axId val="145179872"/>
      </c:scatterChart>
      <c:valAx>
        <c:axId val="145181792"/>
        <c:scaling>
          <c:orientation val="minMax"/>
          <c:min val="7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Cost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179872"/>
        <c:crosses val="autoZero"/>
        <c:crossBetween val="midCat"/>
      </c:valAx>
      <c:valAx>
        <c:axId val="145179872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Accessibility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181792"/>
        <c:crosses val="autoZero"/>
        <c:crossBetween val="midCat"/>
        <c:maj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Suspension!$C$1</c:f>
              <c:strCache>
                <c:ptCount val="1"/>
                <c:pt idx="0">
                  <c:v>Accessibility (1-5)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F97C1F73-5B0C-4C45-939F-DA7B6AB0D8B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5227-4671-A50A-5F1F2DA94CE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0ACE2201-C5CD-41AF-81B6-A9EC0AFBF7B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5227-4671-A50A-5F1F2DA94CE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A289534-E050-4998-A746-447CB0D2C27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5227-4671-A50A-5F1F2DA94CE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46C57156-6CDD-4252-9B70-51D75F24F0B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5227-4671-A50A-5F1F2DA94CE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82F563F2-893D-4262-9483-3C6F3FFB91A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5227-4671-A50A-5F1F2DA94CE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multiLvlStrRef>
              <c:f>Suspension!$A$2:$B$6</c:f>
              <c:multiLvlStrCache>
                <c:ptCount val="5"/>
                <c:lvl>
                  <c:pt idx="0">
                    <c:v>4000</c:v>
                  </c:pt>
                  <c:pt idx="1">
                    <c:v> ZAR 3,250.00 </c:v>
                  </c:pt>
                  <c:pt idx="2">
                    <c:v> ZAR 2,250.00 </c:v>
                  </c:pt>
                  <c:pt idx="3">
                    <c:v> ZAR 6,500.00 </c:v>
                  </c:pt>
                  <c:pt idx="4">
                    <c:v> ZAR 1,500.00 </c:v>
                  </c:pt>
                </c:lvl>
                <c:lvl>
                  <c:pt idx="0">
                    <c:v>Independent Suspension</c:v>
                  </c:pt>
                  <c:pt idx="1">
                    <c:v>Torsion Bar Suspension</c:v>
                  </c:pt>
                  <c:pt idx="2">
                    <c:v>Spring Suspension</c:v>
                  </c:pt>
                  <c:pt idx="3">
                    <c:v>Air Suspension</c:v>
                  </c:pt>
                  <c:pt idx="4">
                    <c:v>Rubberized Suspension</c:v>
                  </c:pt>
                </c:lvl>
              </c:multiLvlStrCache>
            </c:multiLvlStrRef>
          </c:xVal>
          <c:yVal>
            <c:numRef>
              <c:f>Suspension!$C$2:$C$6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3</c:v>
                </c:pt>
                <c:pt idx="4">
                  <c:v>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Suspension!$A$2:$A$6</c15:f>
                <c15:dlblRangeCache>
                  <c:ptCount val="5"/>
                  <c:pt idx="0">
                    <c:v>Independent Suspension</c:v>
                  </c:pt>
                  <c:pt idx="1">
                    <c:v>Torsion Bar Suspension</c:v>
                  </c:pt>
                  <c:pt idx="2">
                    <c:v>Spring Suspension</c:v>
                  </c:pt>
                  <c:pt idx="3">
                    <c:v>Air Suspension</c:v>
                  </c:pt>
                  <c:pt idx="4">
                    <c:v>Rubberized Suspension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5227-4671-A50A-5F1F2DA94CE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663085664"/>
        <c:axId val="1663075584"/>
      </c:scatterChart>
      <c:valAx>
        <c:axId val="1663085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3075584"/>
        <c:crosses val="autoZero"/>
        <c:crossBetween val="midCat"/>
      </c:valAx>
      <c:valAx>
        <c:axId val="1663075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3085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Suspension equipment cost vs accessibility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Suspension!$C$1</c:f>
              <c:strCache>
                <c:ptCount val="1"/>
                <c:pt idx="0">
                  <c:v>Accessibility (1-5)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8.6833333333333332E-2"/>
                  <c:y val="8.3635280269632031E-2"/>
                </c:manualLayout>
              </c:layout>
              <c:tx>
                <c:rich>
                  <a:bodyPr/>
                  <a:lstStyle/>
                  <a:p>
                    <a:fld id="{7D24226F-D25E-4033-82FA-38B97CEA534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0329-46A7-A911-A923EE32A08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24C3DFB7-1882-4A71-81F9-8E258C5F816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0329-46A7-A911-A923EE32A08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090D409E-8085-4170-A883-17317DE9F12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0329-46A7-A911-A923EE32A08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EED8901-91AE-4EE4-ABD6-9C8389F2219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0329-46A7-A911-A923EE32A081}"/>
                </c:ext>
              </c:extLst>
            </c:dLbl>
            <c:dLbl>
              <c:idx val="4"/>
              <c:layout>
                <c:manualLayout>
                  <c:x val="-9.292366579177605E-2"/>
                  <c:y val="0.10220538240519378"/>
                </c:manualLayout>
              </c:layout>
              <c:tx>
                <c:rich>
                  <a:bodyPr/>
                  <a:lstStyle/>
                  <a:p>
                    <a:fld id="{1741EAC6-E41B-41C2-A98A-23EC0BFF393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0329-46A7-A911-A923EE32A08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Suspension!$B$2:$B$6</c:f>
              <c:numCache>
                <c:formatCode>_([$ZAR]\ * #,##0.00_);_([$ZAR]\ * \(#,##0.00\);_([$ZAR]\ * "-"??_);_(@_)</c:formatCode>
                <c:ptCount val="5"/>
                <c:pt idx="0" formatCode="General">
                  <c:v>4000</c:v>
                </c:pt>
                <c:pt idx="1">
                  <c:v>3250</c:v>
                </c:pt>
                <c:pt idx="2">
                  <c:v>2250</c:v>
                </c:pt>
                <c:pt idx="3">
                  <c:v>6500</c:v>
                </c:pt>
                <c:pt idx="4">
                  <c:v>1500</c:v>
                </c:pt>
              </c:numCache>
            </c:numRef>
          </c:xVal>
          <c:yVal>
            <c:numRef>
              <c:f>Suspension!$C$2:$C$6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3</c:v>
                </c:pt>
                <c:pt idx="4">
                  <c:v>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Suspension!$A$2:$A$6</c15:f>
                <c15:dlblRangeCache>
                  <c:ptCount val="5"/>
                  <c:pt idx="0">
                    <c:v>Independent Suspension</c:v>
                  </c:pt>
                  <c:pt idx="1">
                    <c:v>Torsion Bar Suspension</c:v>
                  </c:pt>
                  <c:pt idx="2">
                    <c:v>Spring Suspension</c:v>
                  </c:pt>
                  <c:pt idx="3">
                    <c:v>Air Suspension</c:v>
                  </c:pt>
                  <c:pt idx="4">
                    <c:v>Rubberized Suspension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0329-46A7-A911-A923EE32A081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663129488"/>
        <c:axId val="1663126608"/>
      </c:scatterChart>
      <c:valAx>
        <c:axId val="1663129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Cost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3126608"/>
        <c:crosses val="autoZero"/>
        <c:crossBetween val="midCat"/>
      </c:valAx>
      <c:valAx>
        <c:axId val="1663126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Accessibility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3129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Battery equipment accessibility versus cost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46A7B36D-1C20-439F-8EB8-E6D3409E9A0B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1252714232447962"/>
                      <c:h val="6.8791578848855048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4D47-40E2-9FF1-CC5C0F19231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836B7F9-CC45-40D3-964B-46846A103D1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4D47-40E2-9FF1-CC5C0F192310}"/>
                </c:ext>
              </c:extLst>
            </c:dLbl>
            <c:dLbl>
              <c:idx val="2"/>
              <c:layout>
                <c:manualLayout>
                  <c:x val="-7.661708546877323E-2"/>
                  <c:y val="6.3997794159855945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430FE69A-AD96-4865-A1FE-C5B6EC749A27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4549675023212624"/>
                      <c:h val="0.10349846573316569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4D47-40E2-9FF1-CC5C0F192310}"/>
                </c:ext>
              </c:extLst>
            </c:dLbl>
            <c:dLbl>
              <c:idx val="3"/>
              <c:layout>
                <c:manualLayout>
                  <c:x val="6.586050002808248E-5"/>
                  <c:y val="-4.8216025423205466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80829606-008B-4A6B-9134-65BB831F199E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9.7361558913770865E-2"/>
                      <c:h val="8.6067213918883945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4D47-40E2-9FF1-CC5C0F192310}"/>
                </c:ext>
              </c:extLst>
            </c:dLbl>
            <c:dLbl>
              <c:idx val="4"/>
              <c:layout>
                <c:manualLayout>
                  <c:x val="-6.0960259494025698E-2"/>
                  <c:y val="6.2244249185936705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27498FB5-F2A5-4F7F-89F6-B6E6586C6EB8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1418285458050334"/>
                      <c:h val="7.2454013483701188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4D47-40E2-9FF1-CC5C0F192310}"/>
                </c:ext>
              </c:extLst>
            </c:dLbl>
            <c:dLbl>
              <c:idx val="5"/>
              <c:layout>
                <c:manualLayout>
                  <c:x val="-0.11649248057084789"/>
                  <c:y val="5.1962933832653669E-5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25A4E85B-F0AA-4E86-AFCE-33A0CF98B31A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0144698138359444"/>
                      <c:h val="4.4812997371654957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4D47-40E2-9FF1-CC5C0F19231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Batterry!$B$2:$B$7</c:f>
              <c:numCache>
                <c:formatCode>General</c:formatCode>
                <c:ptCount val="6"/>
                <c:pt idx="0">
                  <c:v>995</c:v>
                </c:pt>
                <c:pt idx="1">
                  <c:v>4995</c:v>
                </c:pt>
                <c:pt idx="2">
                  <c:v>2995</c:v>
                </c:pt>
                <c:pt idx="3">
                  <c:v>2495</c:v>
                </c:pt>
                <c:pt idx="4">
                  <c:v>1396</c:v>
                </c:pt>
                <c:pt idx="5">
                  <c:v>1261</c:v>
                </c:pt>
              </c:numCache>
            </c:numRef>
          </c:xVal>
          <c:yVal>
            <c:numRef>
              <c:f>Batterry!$C$2:$C$7</c:f>
              <c:numCache>
                <c:formatCode>General</c:formatCode>
                <c:ptCount val="6"/>
                <c:pt idx="0">
                  <c:v>16</c:v>
                </c:pt>
                <c:pt idx="1">
                  <c:v>12</c:v>
                </c:pt>
                <c:pt idx="2">
                  <c:v>15</c:v>
                </c:pt>
                <c:pt idx="3">
                  <c:v>16</c:v>
                </c:pt>
                <c:pt idx="4">
                  <c:v>13</c:v>
                </c:pt>
                <c:pt idx="5">
                  <c:v>14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Batterry!$A$2:$A$7</c15:f>
                <c15:dlblRangeCache>
                  <c:ptCount val="6"/>
                  <c:pt idx="0">
                    <c:v>GeeWiz 1210 12V / 10Ah (up to 40A Discharge) Lithium LifePO4 Battery - compatible with Gates / Alarms / CCTV / UPS (3 Year Warranty) - Same size as 7Ah Replacement battery</c:v>
                  </c:pt>
                  <c:pt idx="1">
                    <c:v>REVOV 100Ah 12.8V 12V Lithium-ion (LiFePO4) Battery - FIRST LIFE / 1.280kWh</c:v>
                  </c:pt>
                  <c:pt idx="2">
                    <c:v>Lalela Lithium LifePO4 Battery - 12V / 50Ah / 640Wh (2 Year Warranty)</c:v>
                  </c:pt>
                  <c:pt idx="3">
                    <c:v>GeeWiz 12V 50Ah Lithium Ion LiFePO4 640Wh 4000 Cycle Battery (FIRST LIFE CELLS) - 2 Year Unlimited Cycles Warranty - 4000 Cycles (Same Runtime as a 100Ah Lead Acid)</c:v>
                  </c:pt>
                  <c:pt idx="4">
                    <c:v>Securi-Prod 12V 20Ah LiFePO4 Lithium Li-ion Battery - 256WH</c:v>
                  </c:pt>
                  <c:pt idx="5">
                    <c:v>Power Solutions 12.8v 7Ah 89.6 Wh High Draw Li-FEPO4 Battery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4D47-40E2-9FF1-CC5C0F192310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885137776"/>
        <c:axId val="1885138256"/>
      </c:scatterChart>
      <c:valAx>
        <c:axId val="18851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Cost</a:t>
                </a:r>
                <a:r>
                  <a:rPr lang="en-US" baseline="0"/>
                  <a:t> (ZAR)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5138256"/>
        <c:crosses val="autoZero"/>
        <c:crossBetween val="midCat"/>
      </c:valAx>
      <c:valAx>
        <c:axId val="1885138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Accessibility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51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GSC Equipment</a:t>
            </a:r>
            <a:r>
              <a:rPr lang="en-US" baseline="0"/>
              <a:t> accessibility vs cost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1.0185067526415994E-16"/>
                  <c:y val="-8.9219490289670064E-2"/>
                </c:manualLayout>
              </c:layout>
              <c:tx>
                <c:rich>
                  <a:bodyPr/>
                  <a:lstStyle/>
                  <a:p>
                    <a:fld id="{73ADB15C-91B3-492C-8E64-7371751CB92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064A-4B6C-A95D-CD987E9E8051}"/>
                </c:ext>
              </c:extLst>
            </c:dLbl>
            <c:dLbl>
              <c:idx val="1"/>
              <c:layout>
                <c:manualLayout>
                  <c:x val="-8.4807961504811902E-2"/>
                  <c:y val="-0.23568714739100882"/>
                </c:manualLayout>
              </c:layout>
              <c:tx>
                <c:rich>
                  <a:bodyPr/>
                  <a:lstStyle/>
                  <a:p>
                    <a:fld id="{6AFE8ADF-BCC0-4BE8-9E81-B13DEE941F2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064A-4B6C-A95D-CD987E9E8051}"/>
                </c:ext>
              </c:extLst>
            </c:dLbl>
            <c:dLbl>
              <c:idx val="2"/>
              <c:layout>
                <c:manualLayout>
                  <c:x val="-0.17027777777777778"/>
                  <c:y val="-0.15787620455592261"/>
                </c:manualLayout>
              </c:layout>
              <c:tx>
                <c:rich>
                  <a:bodyPr/>
                  <a:lstStyle/>
                  <a:p>
                    <a:fld id="{795E2FE5-5A43-4085-86B0-1EDAE0B1C24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064A-4B6C-A95D-CD987E9E8051}"/>
                </c:ext>
              </c:extLst>
            </c:dLbl>
            <c:dLbl>
              <c:idx val="3"/>
              <c:layout>
                <c:manualLayout>
                  <c:x val="-0.17575699912510936"/>
                  <c:y val="-7.5488147436419559E-2"/>
                </c:manualLayout>
              </c:layout>
              <c:tx>
                <c:rich>
                  <a:bodyPr/>
                  <a:lstStyle/>
                  <a:p>
                    <a:fld id="{28C702E9-EE74-4A4E-9093-30751CCBB60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064A-4B6C-A95D-CD987E9E805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5CE32DE-FC6D-4AA0-B2FD-D0B4486777B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064A-4B6C-A95D-CD987E9E805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poly"/>
            <c:order val="2"/>
            <c:intercept val="0"/>
            <c:dispRSqr val="0"/>
            <c:dispEq val="0"/>
          </c:trendline>
          <c:xVal>
            <c:numRef>
              <c:f>'Ground Station Control'!$B$2:$B$6</c:f>
              <c:numCache>
                <c:formatCode>General</c:formatCode>
                <c:ptCount val="5"/>
                <c:pt idx="0">
                  <c:v>19</c:v>
                </c:pt>
                <c:pt idx="1">
                  <c:v>17</c:v>
                </c:pt>
                <c:pt idx="2">
                  <c:v>15</c:v>
                </c:pt>
                <c:pt idx="3">
                  <c:v>12</c:v>
                </c:pt>
                <c:pt idx="4">
                  <c:v>18</c:v>
                </c:pt>
              </c:numCache>
            </c:numRef>
          </c:xVal>
          <c:yVal>
            <c:numRef>
              <c:f>'Ground Station Control'!$C$2:$C$6</c:f>
              <c:numCache>
                <c:formatCode>[$ZAR]\ 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9065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'Ground Station Control'!$A$2:$A$6</c15:f>
                <c15:dlblRangeCache>
                  <c:ptCount val="5"/>
                  <c:pt idx="0">
                    <c:v>QGroundControl</c:v>
                  </c:pt>
                  <c:pt idx="1">
                    <c:v>Mission Planner</c:v>
                  </c:pt>
                  <c:pt idx="2">
                    <c:v>APM Planner 2</c:v>
                  </c:pt>
                  <c:pt idx="3">
                    <c:v>MAVProxy</c:v>
                  </c:pt>
                  <c:pt idx="4">
                    <c:v>UgCS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064A-4B6C-A95D-CD987E9E8051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70783087"/>
        <c:axId val="70781647"/>
      </c:scatterChart>
      <c:valAx>
        <c:axId val="707830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Accessibility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781647"/>
        <c:crosses val="autoZero"/>
        <c:crossBetween val="midCat"/>
      </c:valAx>
      <c:valAx>
        <c:axId val="707816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Cost</a:t>
                </a:r>
                <a:r>
                  <a:rPr lang="en-US" baseline="0"/>
                  <a:t> (ZAR)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$ZAR]\ 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7830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Navigation sensor equipment cost vs accessibility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0.14311111111111111"/>
                  <c:y val="-4.8455799787057025E-2"/>
                </c:manualLayout>
              </c:layout>
              <c:tx>
                <c:rich>
                  <a:bodyPr/>
                  <a:lstStyle/>
                  <a:p>
                    <a:fld id="{F2678621-5129-4677-AE10-787E71C7EDA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D86E-4F99-A455-6133C5123E0D}"/>
                </c:ext>
              </c:extLst>
            </c:dLbl>
            <c:dLbl>
              <c:idx val="1"/>
              <c:layout>
                <c:manualLayout>
                  <c:x val="4.4444444444444391E-2"/>
                  <c:y val="4.6875818172297211E-3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26B0AF61-2235-4C07-A96D-1F735C2CCFC5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361111111111111"/>
                      <c:h val="9.6842145836848442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D86E-4F99-A455-6133C5123E0D}"/>
                </c:ext>
              </c:extLst>
            </c:dLbl>
            <c:dLbl>
              <c:idx val="2"/>
              <c:layout>
                <c:manualLayout>
                  <c:x val="-9.9041776027996492E-2"/>
                  <c:y val="0.11090452765640546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EE612DF7-C18B-4B74-B933-420E216E0F41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3975000000000001"/>
                      <c:h val="7.8369633516991805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D86E-4F99-A455-6133C5123E0D}"/>
                </c:ext>
              </c:extLst>
            </c:dLbl>
            <c:dLbl>
              <c:idx val="3"/>
              <c:layout>
                <c:manualLayout>
                  <c:x val="-0.12761100174978129"/>
                  <c:y val="5.5452627460334962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3304EDC6-1478-4F99-AD75-21D1916ED9C7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0799999999999998"/>
                      <c:h val="6.9202831094329079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D86E-4F99-A455-6133C5123E0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64DABC0C-B22A-4704-9DA1-F40EE6DED4C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D86E-4F99-A455-6133C5123E0D}"/>
                </c:ext>
              </c:extLst>
            </c:dLbl>
            <c:dLbl>
              <c:idx val="5"/>
              <c:layout>
                <c:manualLayout>
                  <c:x val="-0.16943066491688538"/>
                  <c:y val="0.17094019269593955"/>
                </c:manualLayout>
              </c:layout>
              <c:tx>
                <c:rich>
                  <a:bodyPr/>
                  <a:lstStyle/>
                  <a:p>
                    <a:fld id="{C4756B79-F80C-41DC-8720-6C6F2B84D17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D86E-4F99-A455-6133C5123E0D}"/>
                </c:ext>
              </c:extLst>
            </c:dLbl>
            <c:dLbl>
              <c:idx val="6"/>
              <c:layout>
                <c:manualLayout>
                  <c:x val="-0.15527777777777779"/>
                  <c:y val="-6.8575565666144974E-3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7F4E2A5D-0BF0-463C-9A9B-2407BC2183FF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1333333333333333"/>
                      <c:h val="7.3751505437027631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D86E-4F99-A455-6133C5123E0D}"/>
                </c:ext>
              </c:extLst>
            </c:dLbl>
            <c:dLbl>
              <c:idx val="7"/>
              <c:layout>
                <c:manualLayout>
                  <c:x val="7.3708223972003453E-2"/>
                  <c:y val="-8.767497978205345E-2"/>
                </c:manualLayout>
              </c:layout>
              <c:tx>
                <c:rich>
                  <a:bodyPr/>
                  <a:lstStyle/>
                  <a:p>
                    <a:fld id="{E7A4DEF9-0905-4C4C-841F-3BD485C8004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D86E-4F99-A455-6133C5123E0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NavigationSenor!$B$2:$B$9</c:f>
              <c:numCache>
                <c:formatCode>@</c:formatCode>
                <c:ptCount val="8"/>
                <c:pt idx="0">
                  <c:v>750</c:v>
                </c:pt>
                <c:pt idx="1">
                  <c:v>1500</c:v>
                </c:pt>
                <c:pt idx="2">
                  <c:v>1750</c:v>
                </c:pt>
                <c:pt idx="3">
                  <c:v>600</c:v>
                </c:pt>
                <c:pt idx="4">
                  <c:v>4000</c:v>
                </c:pt>
                <c:pt idx="5">
                  <c:v>950</c:v>
                </c:pt>
                <c:pt idx="6">
                  <c:v>750</c:v>
                </c:pt>
                <c:pt idx="7">
                  <c:v>900</c:v>
                </c:pt>
              </c:numCache>
            </c:numRef>
          </c:xVal>
          <c:yVal>
            <c:numRef>
              <c:f>NavigationSenor!$C$2:$C$9</c:f>
              <c:numCache>
                <c:formatCode>General</c:formatCode>
                <c:ptCount val="8"/>
                <c:pt idx="0">
                  <c:v>18</c:v>
                </c:pt>
                <c:pt idx="1">
                  <c:v>15</c:v>
                </c:pt>
                <c:pt idx="2">
                  <c:v>12</c:v>
                </c:pt>
                <c:pt idx="3">
                  <c:v>16</c:v>
                </c:pt>
                <c:pt idx="4">
                  <c:v>10</c:v>
                </c:pt>
                <c:pt idx="5">
                  <c:v>14</c:v>
                </c:pt>
                <c:pt idx="6">
                  <c:v>17</c:v>
                </c:pt>
                <c:pt idx="7">
                  <c:v>16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NavigationSenor!$A$2:$A$9</c15:f>
                <c15:dlblRangeCache>
                  <c:ptCount val="8"/>
                  <c:pt idx="0">
                    <c:v>u-blox NEO-M8N</c:v>
                  </c:pt>
                  <c:pt idx="1">
                    <c:v>Garmin GPS 18x LVC</c:v>
                  </c:pt>
                  <c:pt idx="2">
                    <c:v>Drotek XL GPS Module</c:v>
                  </c:pt>
                  <c:pt idx="3">
                    <c:v>Beitian BN-880</c:v>
                  </c:pt>
                  <c:pt idx="4">
                    <c:v>SparkFun GPS-RTK2 Board</c:v>
                  </c:pt>
                  <c:pt idx="5">
                    <c:v>Adafruit Ultimate GPS</c:v>
                  </c:pt>
                  <c:pt idx="6">
                    <c:v>SkyTraq Venus838FLPx</c:v>
                  </c:pt>
                  <c:pt idx="7">
                    <c:v>Quectel L86 Compact GNSS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D86E-4F99-A455-6133C5123E0D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800607328"/>
        <c:axId val="800626528"/>
      </c:scatterChart>
      <c:valAx>
        <c:axId val="800607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Cost (ZAR)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0626528"/>
        <c:crosses val="autoZero"/>
        <c:crossBetween val="midCat"/>
      </c:valAx>
      <c:valAx>
        <c:axId val="800626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Accessibility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0607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IMU</a:t>
            </a:r>
            <a:r>
              <a:rPr lang="en-US" baseline="0"/>
              <a:t> e</a:t>
            </a:r>
            <a:r>
              <a:rPr lang="en-US"/>
              <a:t>quipment accessibility</a:t>
            </a:r>
            <a:r>
              <a:rPr lang="en-US" baseline="0"/>
              <a:t> vs cost</a:t>
            </a:r>
            <a:endParaRPr lang="en-US"/>
          </a:p>
        </c:rich>
      </c:tx>
      <c:layout>
        <c:manualLayout>
          <c:xMode val="edge"/>
          <c:yMode val="edge"/>
          <c:x val="0.25266661140275337"/>
          <c:y val="2.77724524970787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B2D4EC99-0233-472A-97F8-6850A932A03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975F-4761-9E42-16E712B392A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B915B5C8-4514-4B2A-8687-125B655417F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975F-4761-9E42-16E712B392A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9697314-70DE-40C6-A802-8622E22692C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975F-4761-9E42-16E712B392A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9B4DF0E3-C9F4-408D-8410-772C0788ECB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975F-4761-9E42-16E712B392AD}"/>
                </c:ext>
              </c:extLst>
            </c:dLbl>
            <c:dLbl>
              <c:idx val="4"/>
              <c:layout>
                <c:manualLayout>
                  <c:x val="5.5345581802274712E-3"/>
                  <c:y val="-2.2813305463777541E-3"/>
                </c:manualLayout>
              </c:layout>
              <c:tx>
                <c:rich>
                  <a:bodyPr/>
                  <a:lstStyle/>
                  <a:p>
                    <a:fld id="{B72F874A-E5BD-4239-B4C1-6893DA5381D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975F-4761-9E42-16E712B392A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0CE8925F-BEF2-4599-AD8C-A2423C817A6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975F-4761-9E42-16E712B392A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'IMU Sensor'!$B$2:$B$7</c:f>
              <c:numCache>
                <c:formatCode>[$ZAR]\ #,##0.00</c:formatCode>
                <c:ptCount val="6"/>
                <c:pt idx="0">
                  <c:v>156.9</c:v>
                </c:pt>
                <c:pt idx="1">
                  <c:v>281.73</c:v>
                </c:pt>
                <c:pt idx="2">
                  <c:v>158.37</c:v>
                </c:pt>
                <c:pt idx="3">
                  <c:v>299.8</c:v>
                </c:pt>
                <c:pt idx="4">
                  <c:v>308.86</c:v>
                </c:pt>
                <c:pt idx="5">
                  <c:v>548.98</c:v>
                </c:pt>
              </c:numCache>
            </c:numRef>
          </c:xVal>
          <c:yVal>
            <c:numRef>
              <c:f>'IMU Sensor'!$C$2:$C$7</c:f>
              <c:numCache>
                <c:formatCode>General</c:formatCode>
                <c:ptCount val="6"/>
                <c:pt idx="0">
                  <c:v>26865</c:v>
                </c:pt>
                <c:pt idx="1">
                  <c:v>7659</c:v>
                </c:pt>
                <c:pt idx="2">
                  <c:v>11868</c:v>
                </c:pt>
                <c:pt idx="3">
                  <c:v>18025</c:v>
                </c:pt>
                <c:pt idx="4">
                  <c:v>17567</c:v>
                </c:pt>
                <c:pt idx="5">
                  <c:v>4577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'IMU Sensor'!$A$2:$A$7</c15:f>
                <c15:dlblRangeCache>
                  <c:ptCount val="6"/>
                  <c:pt idx="0">
                    <c:v>MPU-9250</c:v>
                  </c:pt>
                  <c:pt idx="1">
                    <c:v>Bosch BNO055</c:v>
                  </c:pt>
                  <c:pt idx="2">
                    <c:v>ICM-20948</c:v>
                  </c:pt>
                  <c:pt idx="3">
                    <c:v>BN0085</c:v>
                  </c:pt>
                  <c:pt idx="4">
                    <c:v>BN0086</c:v>
                  </c:pt>
                  <c:pt idx="5">
                    <c:v>LSM9DS1 (Adafruit)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975F-4761-9E42-16E712B392AD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543885775"/>
        <c:axId val="543894415"/>
      </c:scatterChart>
      <c:valAx>
        <c:axId val="543885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Cost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$ZAR]\ 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894415"/>
        <c:crosses val="autoZero"/>
        <c:crossBetween val="midCat"/>
      </c:valAx>
      <c:valAx>
        <c:axId val="543894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Equipment accessibility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8857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LiDAR equipment</a:t>
            </a:r>
            <a:r>
              <a:rPr lang="en-US" baseline="0"/>
              <a:t> accessibility versus cost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0.12085438856301536"/>
                  <c:y val="-3.5407944298369888E-3"/>
                </c:manualLayout>
              </c:layout>
              <c:tx>
                <c:rich>
                  <a:bodyPr/>
                  <a:lstStyle/>
                  <a:p>
                    <a:fld id="{86D59239-FDC4-42DB-A9E4-E63FE292016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FA2F-4B6F-B906-D5FCFC5FA033}"/>
                </c:ext>
              </c:extLst>
            </c:dLbl>
            <c:dLbl>
              <c:idx val="1"/>
              <c:layout>
                <c:manualLayout>
                  <c:x val="-8.3713580214328703E-2"/>
                  <c:y val="5.0436294147767943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4776EC29-B9C3-45E4-B90E-61999B19BA1B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3645768365027824"/>
                      <c:h val="7.5276344158764802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FA2F-4B6F-B906-D5FCFC5FA03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C5FC8300-AE0F-4B74-A9F0-35478D10CBC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FA2F-4B6F-B906-D5FCFC5FA033}"/>
                </c:ext>
              </c:extLst>
            </c:dLbl>
            <c:dLbl>
              <c:idx val="3"/>
              <c:layout>
                <c:manualLayout>
                  <c:x val="1.0944081402908017E-2"/>
                  <c:y val="1.8243200975537127E-3"/>
                </c:manualLayout>
              </c:layout>
              <c:tx>
                <c:rich>
                  <a:bodyPr/>
                  <a:lstStyle/>
                  <a:p>
                    <a:fld id="{5CED1318-52E6-44A5-8B58-C91ABC9F0F8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FA2F-4B6F-B906-D5FCFC5FA03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20EFD4FD-74FF-43D0-9FF8-31BC231860E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FA2F-4B6F-B906-D5FCFC5FA033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8ADC41A6-3C53-409A-8E75-5975950FDD4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FA2F-4B6F-B906-D5FCFC5FA033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36C44448-8496-4BD5-8AA2-ED0D5EEAC07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FA2F-4B6F-B906-D5FCFC5FA03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'LiDAR Sensor'!$B$2:$B$8</c:f>
              <c:numCache>
                <c:formatCode>[$ZAR]\ #,##0.00</c:formatCode>
                <c:ptCount val="7"/>
                <c:pt idx="0">
                  <c:v>1572.5</c:v>
                </c:pt>
                <c:pt idx="1">
                  <c:v>1135.97</c:v>
                </c:pt>
                <c:pt idx="2">
                  <c:v>5114</c:v>
                </c:pt>
                <c:pt idx="3">
                  <c:v>1814.67</c:v>
                </c:pt>
                <c:pt idx="4">
                  <c:v>5480.67</c:v>
                </c:pt>
                <c:pt idx="5">
                  <c:v>1814.67</c:v>
                </c:pt>
                <c:pt idx="6">
                  <c:v>1317.93</c:v>
                </c:pt>
              </c:numCache>
            </c:numRef>
          </c:xVal>
          <c:yVal>
            <c:numRef>
              <c:f>'LiDAR Sensor'!$C$2:$C$8</c:f>
              <c:numCache>
                <c:formatCode>General</c:formatCode>
                <c:ptCount val="7"/>
                <c:pt idx="0">
                  <c:v>15</c:v>
                </c:pt>
                <c:pt idx="1">
                  <c:v>12</c:v>
                </c:pt>
                <c:pt idx="2">
                  <c:v>7</c:v>
                </c:pt>
                <c:pt idx="3">
                  <c:v>16</c:v>
                </c:pt>
                <c:pt idx="4">
                  <c:v>8</c:v>
                </c:pt>
                <c:pt idx="5">
                  <c:v>6</c:v>
                </c:pt>
                <c:pt idx="6">
                  <c:v>20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'LiDAR Sensor'!$A$2:$A$8</c15:f>
                <c15:dlblRangeCache>
                  <c:ptCount val="7"/>
                  <c:pt idx="0">
                    <c:v>RPLIDAR A1M8</c:v>
                  </c:pt>
                  <c:pt idx="1">
                    <c:v>Okdo Lidar Module with Bracket Development Kit for LiDAR_LD06 Raspberry Pi SBC</c:v>
                  </c:pt>
                  <c:pt idx="2">
                    <c:v>SFB000/B</c:v>
                  </c:pt>
                  <c:pt idx="3">
                    <c:v>DFR0315</c:v>
                  </c:pt>
                  <c:pt idx="4">
                    <c:v>SF30/c</c:v>
                  </c:pt>
                  <c:pt idx="5">
                    <c:v>114992561</c:v>
                  </c:pt>
                  <c:pt idx="6">
                    <c:v>101090022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FA2F-4B6F-B906-D5FCFC5FA033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309122799"/>
        <c:axId val="309123279"/>
      </c:scatterChart>
      <c:valAx>
        <c:axId val="3091227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Cost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$ZAR]\ 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123279"/>
        <c:crosses val="autoZero"/>
        <c:crossBetween val="midCat"/>
      </c:valAx>
      <c:valAx>
        <c:axId val="3091232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Equipment accessibility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1227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Ultrasonic equipment accessibilit versus cost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4.8213515828398799E-2"/>
                  <c:y val="2.4268551757411862E-2"/>
                </c:manualLayout>
              </c:layout>
              <c:tx>
                <c:rich>
                  <a:bodyPr/>
                  <a:lstStyle/>
                  <a:p>
                    <a:fld id="{F08C74F5-20E0-4CF7-B106-7F402967C29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4567-4F0B-A498-AA69E51A0CDC}"/>
                </c:ext>
              </c:extLst>
            </c:dLbl>
            <c:dLbl>
              <c:idx val="1"/>
              <c:layout>
                <c:manualLayout>
                  <c:x val="-0.2377202657141097"/>
                  <c:y val="-9.9832048979937252E-3"/>
                </c:manualLayout>
              </c:layout>
              <c:tx>
                <c:rich>
                  <a:bodyPr/>
                  <a:lstStyle/>
                  <a:p>
                    <a:fld id="{A27086F5-054B-406C-A15B-8240035BA2E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4567-4F0B-A498-AA69E51A0CDC}"/>
                </c:ext>
              </c:extLst>
            </c:dLbl>
            <c:dLbl>
              <c:idx val="2"/>
              <c:layout>
                <c:manualLayout>
                  <c:x val="3.6526176995362376E-2"/>
                  <c:y val="2.7121096241651297E-2"/>
                </c:manualLayout>
              </c:layout>
              <c:tx>
                <c:rich>
                  <a:bodyPr/>
                  <a:lstStyle/>
                  <a:p>
                    <a:fld id="{9D39FDB4-12AF-45EF-91B9-375C27865C9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4567-4F0B-A498-AA69E51A0CDC}"/>
                </c:ext>
              </c:extLst>
            </c:dLbl>
            <c:dLbl>
              <c:idx val="3"/>
              <c:layout>
                <c:manualLayout>
                  <c:x val="-0.17247000206569896"/>
                  <c:y val="-0.38729905860099634"/>
                </c:manualLayout>
              </c:layout>
              <c:tx>
                <c:rich>
                  <a:bodyPr/>
                  <a:lstStyle/>
                  <a:p>
                    <a:fld id="{3B0885F6-8B6F-4FC2-90C6-D5FD6BB75D5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4567-4F0B-A498-AA69E51A0CDC}"/>
                </c:ext>
              </c:extLst>
            </c:dLbl>
            <c:dLbl>
              <c:idx val="4"/>
              <c:layout>
                <c:manualLayout>
                  <c:x val="-7.850184282085082E-2"/>
                  <c:y val="-0.24151793330665444"/>
                </c:manualLayout>
              </c:layout>
              <c:tx>
                <c:rich>
                  <a:bodyPr/>
                  <a:lstStyle/>
                  <a:p>
                    <a:fld id="{CCD63B4A-93FD-42DD-AAAA-E0E82DB8A29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4567-4F0B-A498-AA69E51A0CDC}"/>
                </c:ext>
              </c:extLst>
            </c:dLbl>
            <c:dLbl>
              <c:idx val="5"/>
              <c:layout>
                <c:manualLayout>
                  <c:x val="-0.39563947272733863"/>
                  <c:y val="-0.25721782000386229"/>
                </c:manualLayout>
              </c:layout>
              <c:tx>
                <c:rich>
                  <a:bodyPr/>
                  <a:lstStyle/>
                  <a:p>
                    <a:fld id="{543308F5-B218-4CDB-A9B1-25D1CEB380A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4567-4F0B-A498-AA69E51A0CDC}"/>
                </c:ext>
              </c:extLst>
            </c:dLbl>
            <c:dLbl>
              <c:idx val="6"/>
              <c:layout>
                <c:manualLayout>
                  <c:x val="8.8846192409583399E-3"/>
                  <c:y val="-5.6680655832753012E-3"/>
                </c:manualLayout>
              </c:layout>
              <c:tx>
                <c:rich>
                  <a:bodyPr/>
                  <a:lstStyle/>
                  <a:p>
                    <a:fld id="{D1FE653F-3297-4433-B56C-88085E3CA41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4567-4F0B-A498-AA69E51A0CDC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3E064FFC-A10A-4733-AD58-6265E63CB4F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4567-4F0B-A498-AA69E51A0CDC}"/>
                </c:ext>
              </c:extLst>
            </c:dLbl>
            <c:dLbl>
              <c:idx val="8"/>
              <c:layout>
                <c:manualLayout>
                  <c:x val="3.0510885991541507E-2"/>
                  <c:y val="-0.38584822467534052"/>
                </c:manualLayout>
              </c:layout>
              <c:tx>
                <c:rich>
                  <a:bodyPr/>
                  <a:lstStyle/>
                  <a:p>
                    <a:fld id="{29FC5EB0-87C6-47E1-9858-A066E0A0813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4567-4F0B-A498-AA69E51A0CDC}"/>
                </c:ext>
              </c:extLst>
            </c:dLbl>
            <c:dLbl>
              <c:idx val="9"/>
              <c:layout>
                <c:manualLayout>
                  <c:x val="0.10092947389910933"/>
                  <c:y val="-0.275776272675751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413BBD7F-B6C7-450D-BEDA-4D33BBF5A2EB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826053657434645"/>
                      <c:h val="0.1199265264929117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4567-4F0B-A498-AA69E51A0C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'Ultrasonic Sensors'!$V$6:$V$15</c:f>
              <c:numCache>
                <c:formatCode>[$ZAR]\ #,##0.00</c:formatCode>
                <c:ptCount val="10"/>
                <c:pt idx="0">
                  <c:v>51.7</c:v>
                </c:pt>
                <c:pt idx="1">
                  <c:v>49.67</c:v>
                </c:pt>
                <c:pt idx="2">
                  <c:v>57.37</c:v>
                </c:pt>
                <c:pt idx="3">
                  <c:v>68.37</c:v>
                </c:pt>
                <c:pt idx="4">
                  <c:v>75.89</c:v>
                </c:pt>
                <c:pt idx="5">
                  <c:v>86.15</c:v>
                </c:pt>
                <c:pt idx="6">
                  <c:v>105.3</c:v>
                </c:pt>
                <c:pt idx="7">
                  <c:v>124.64</c:v>
                </c:pt>
                <c:pt idx="8">
                  <c:v>92.7</c:v>
                </c:pt>
                <c:pt idx="9">
                  <c:v>92.93</c:v>
                </c:pt>
              </c:numCache>
            </c:numRef>
          </c:xVal>
          <c:yVal>
            <c:numRef>
              <c:f>'Ultrasonic Sensors'!$W$6:$W$15</c:f>
              <c:numCache>
                <c:formatCode>General</c:formatCode>
                <c:ptCount val="10"/>
                <c:pt idx="0">
                  <c:v>242</c:v>
                </c:pt>
                <c:pt idx="1">
                  <c:v>736</c:v>
                </c:pt>
                <c:pt idx="2">
                  <c:v>318</c:v>
                </c:pt>
                <c:pt idx="3">
                  <c:v>459</c:v>
                </c:pt>
                <c:pt idx="4">
                  <c:v>526</c:v>
                </c:pt>
                <c:pt idx="5">
                  <c:v>396</c:v>
                </c:pt>
                <c:pt idx="6">
                  <c:v>500</c:v>
                </c:pt>
                <c:pt idx="7">
                  <c:v>3689</c:v>
                </c:pt>
                <c:pt idx="8">
                  <c:v>487</c:v>
                </c:pt>
                <c:pt idx="9">
                  <c:v>440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'Ultrasonic Sensors'!$U$6:$U$15</c15:f>
                <c15:dlblRangeCache>
                  <c:ptCount val="10"/>
                  <c:pt idx="0">
                    <c:v>HC-SR04</c:v>
                  </c:pt>
                  <c:pt idx="1">
                    <c:v>CUSA-TR80-15-2000-TH</c:v>
                  </c:pt>
                  <c:pt idx="2">
                    <c:v>CUSP-TR80-18-2400-TH</c:v>
                  </c:pt>
                  <c:pt idx="3">
                    <c:v>CUSP-TR80-15-2500-TH</c:v>
                  </c:pt>
                  <c:pt idx="4">
                    <c:v>CUSP-TR80-15-2500-TH</c:v>
                  </c:pt>
                  <c:pt idx="5">
                    <c:v>
CUSA-TR60-06-2000-W68</c:v>
                  </c:pt>
                  <c:pt idx="6">
                    <c:v>CUSA-TR80-065-2000-TH68</c:v>
                  </c:pt>
                  <c:pt idx="7">
                    <c:v>
UTR-1440K-TT-R</c:v>
                  </c:pt>
                  <c:pt idx="8">
                    <c:v>CUSA-TR60-06-2000-WC68</c:v>
                  </c:pt>
                  <c:pt idx="9">
                    <c:v>
CUSA-TR65-065-2200-WC68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4567-4F0B-A498-AA69E51A0CDC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928709648"/>
        <c:axId val="1928732208"/>
      </c:scatterChart>
      <c:valAx>
        <c:axId val="1928709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Cost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$ZAR]\ 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8732208"/>
        <c:crosses val="autoZero"/>
        <c:crossBetween val="midCat"/>
      </c:valAx>
      <c:valAx>
        <c:axId val="1928732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Equipment accessibility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8709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Control system equipment accessibility</a:t>
            </a:r>
            <a:r>
              <a:rPr lang="en-US" baseline="0"/>
              <a:t> versus cost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862560228621187E-2"/>
          <c:y val="0.10795303459001364"/>
          <c:w val="0.87389250446075883"/>
          <c:h val="0.75647510235498305"/>
        </c:manualLayout>
      </c:layout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1.3160138326338668E-2"/>
                  <c:y val="-7.4556681567011489E-3"/>
                </c:manualLayout>
              </c:layout>
              <c:tx>
                <c:rich>
                  <a:bodyPr/>
                  <a:lstStyle/>
                  <a:p>
                    <a:fld id="{F9197F8A-B4F2-43AA-A6CD-70B0CC00F61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BFAA-4DBD-BBF6-E204FF8F4BCB}"/>
                </c:ext>
              </c:extLst>
            </c:dLbl>
            <c:dLbl>
              <c:idx val="1"/>
              <c:layout>
                <c:manualLayout>
                  <c:x val="3.6158772294307508E-2"/>
                  <c:y val="1.5180996963800608E-3"/>
                </c:manualLayout>
              </c:layout>
              <c:tx>
                <c:rich>
                  <a:bodyPr/>
                  <a:lstStyle/>
                  <a:p>
                    <a:fld id="{15CFBC25-513D-4BB4-831C-1D4DF65E251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BFAA-4DBD-BBF6-E204FF8F4BC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D458F90-ED87-4CB8-97E8-9CD8D0D2CBD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BFAA-4DBD-BBF6-E204FF8F4BC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20C4DB65-DB28-4F80-964B-15A4219836F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BFAA-4DBD-BBF6-E204FF8F4BCB}"/>
                </c:ext>
              </c:extLst>
            </c:dLbl>
            <c:dLbl>
              <c:idx val="4"/>
              <c:layout>
                <c:manualLayout>
                  <c:x val="-6.2294010235235703E-2"/>
                  <c:y val="1.3482853376413145E-2"/>
                </c:manualLayout>
              </c:layout>
              <c:tx>
                <c:rich>
                  <a:bodyPr/>
                  <a:lstStyle/>
                  <a:p>
                    <a:fld id="{409822BE-A23A-450B-ABF1-D5FB8374722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BFAA-4DBD-BBF6-E204FF8F4BCB}"/>
                </c:ext>
              </c:extLst>
            </c:dLbl>
            <c:dLbl>
              <c:idx val="5"/>
              <c:layout>
                <c:manualLayout>
                  <c:x val="-3.1965758779383575E-2"/>
                  <c:y val="0.17173514565297088"/>
                </c:manualLayout>
              </c:layout>
              <c:tx>
                <c:rich>
                  <a:bodyPr/>
                  <a:lstStyle/>
                  <a:p>
                    <a:fld id="{D59FBE1C-E0F7-4467-A7D7-D0AE28F80F7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BFAA-4DBD-BBF6-E204FF8F4BCB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CDFB0684-3BDE-4A55-B5C8-B9EEEB612EC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BFAA-4DBD-BBF6-E204FF8F4BCB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1EF2AE62-D48F-4975-8222-FC7A4143B09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BFAA-4DBD-BBF6-E204FF8F4B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'Control System'!$W$4:$W$11</c:f>
              <c:numCache>
                <c:formatCode>[$ZAR]\ #,##0.00</c:formatCode>
                <c:ptCount val="8"/>
                <c:pt idx="0">
                  <c:v>150</c:v>
                </c:pt>
                <c:pt idx="1">
                  <c:v>250</c:v>
                </c:pt>
                <c:pt idx="2">
                  <c:v>100</c:v>
                </c:pt>
                <c:pt idx="3">
                  <c:v>725.87</c:v>
                </c:pt>
                <c:pt idx="4">
                  <c:v>90</c:v>
                </c:pt>
                <c:pt idx="5">
                  <c:v>100</c:v>
                </c:pt>
                <c:pt idx="6">
                  <c:v>1500</c:v>
                </c:pt>
                <c:pt idx="7">
                  <c:v>1008.15</c:v>
                </c:pt>
              </c:numCache>
            </c:numRef>
          </c:xVal>
          <c:yVal>
            <c:numRef>
              <c:f>'Control System'!$X$4:$X$11</c:f>
              <c:numCache>
                <c:formatCode>General</c:formatCode>
                <c:ptCount val="8"/>
                <c:pt idx="0">
                  <c:v>19</c:v>
                </c:pt>
                <c:pt idx="1">
                  <c:v>18</c:v>
                </c:pt>
                <c:pt idx="2">
                  <c:v>19</c:v>
                </c:pt>
                <c:pt idx="3">
                  <c:v>14</c:v>
                </c:pt>
                <c:pt idx="4">
                  <c:v>18</c:v>
                </c:pt>
                <c:pt idx="5">
                  <c:v>17</c:v>
                </c:pt>
                <c:pt idx="6">
                  <c:v>12</c:v>
                </c:pt>
                <c:pt idx="7">
                  <c:v>14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'Control System'!$U$4:$U$11</c15:f>
                <c15:dlblRangeCache>
                  <c:ptCount val="8"/>
                  <c:pt idx="0">
                    <c:v>Arduino Uno</c:v>
                  </c:pt>
                  <c:pt idx="1">
                    <c:v>Arduino Mega 2560</c:v>
                  </c:pt>
                  <c:pt idx="2">
                    <c:v>ESP32</c:v>
                  </c:pt>
                  <c:pt idx="3">
                    <c:v>Teensy 4.1</c:v>
                  </c:pt>
                  <c:pt idx="4">
                    <c:v>Raspberry Pi Pico</c:v>
                  </c:pt>
                  <c:pt idx="5">
                    <c:v>STM32F103C8T6 (Blue Pill)</c:v>
                  </c:pt>
                  <c:pt idx="6">
                    <c:v>NVIDIA Jetson Nano</c:v>
                  </c:pt>
                  <c:pt idx="7">
                    <c:v>Raspberry Pi 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BFAA-4DBD-BBF6-E204FF8F4BC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042543311"/>
        <c:axId val="1042514991"/>
      </c:scatterChart>
      <c:valAx>
        <c:axId val="10425433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Cost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$ZAR]\ 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2514991"/>
        <c:crosses val="autoZero"/>
        <c:crossBetween val="midCat"/>
      </c:valAx>
      <c:valAx>
        <c:axId val="10425149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Equipment accessibility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25433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Flight controller equiment cost vs accessibility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4528882429858538E-2"/>
          <c:y val="9.7664144122209418E-2"/>
          <c:w val="0.88757097742192725"/>
          <c:h val="0.75222309265276477"/>
        </c:manualLayout>
      </c:layout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B73FE5E8-245E-4C17-9AF6-1868F14482E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B88E-4A7E-BABF-565B51DEA854}"/>
                </c:ext>
              </c:extLst>
            </c:dLbl>
            <c:dLbl>
              <c:idx val="1"/>
              <c:layout>
                <c:manualLayout>
                  <c:x val="-5.6659375783715986E-2"/>
                  <c:y val="2.8935491670906321E-2"/>
                </c:manualLayout>
              </c:layout>
              <c:tx>
                <c:rich>
                  <a:bodyPr/>
                  <a:lstStyle/>
                  <a:p>
                    <a:fld id="{4D8E85C2-B302-4DF2-B2BA-BEBB1FB3C13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B88E-4A7E-BABF-565B51DEA85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7043A90-BEA1-4993-A07C-B7BB8139C9B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B88E-4A7E-BABF-565B51DEA85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55561E9C-FC6A-4FC4-ADAD-698BE760E6C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B88E-4A7E-BABF-565B51DEA85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14AD30CF-F8B2-45D4-AF1A-4A5EF77DDD6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B88E-4A7E-BABF-565B51DEA854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D8262192-4656-434B-B9CF-0070655F7CB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B88E-4A7E-BABF-565B51DEA854}"/>
                </c:ext>
              </c:extLst>
            </c:dLbl>
            <c:dLbl>
              <c:idx val="6"/>
              <c:layout>
                <c:manualLayout>
                  <c:x val="-3.2257792239551407E-2"/>
                  <c:y val="3.1978936486182427E-2"/>
                </c:manualLayout>
              </c:layout>
              <c:tx>
                <c:rich>
                  <a:bodyPr/>
                  <a:lstStyle/>
                  <a:p>
                    <a:fld id="{94816647-777B-48FB-BAA1-979ED3EA538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B88E-4A7E-BABF-565B51DEA854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F10DE00B-3020-40B8-A358-7E7780884E8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B88E-4A7E-BABF-565B51DEA854}"/>
                </c:ext>
              </c:extLst>
            </c:dLbl>
            <c:dLbl>
              <c:idx val="8"/>
              <c:layout>
                <c:manualLayout>
                  <c:x val="-9.690154625532782E-2"/>
                  <c:y val="4.5878133280356625E-3"/>
                </c:manualLayout>
              </c:layout>
              <c:tx>
                <c:rich>
                  <a:bodyPr/>
                  <a:lstStyle/>
                  <a:p>
                    <a:fld id="{39C3BA35-2FDC-4B6F-ADA8-ADE3BE5B209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7.7797347832928881E-2"/>
                      <c:h val="4.2562695562297991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B88E-4A7E-BABF-565B51DEA854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AB9CEDE2-A116-4D3C-88DA-16C4FCF04E8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B88E-4A7E-BABF-565B51DEA85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'Wireless Communication Module'!$C$2:$C$11</c:f>
              <c:numCache>
                <c:formatCode>[$ZAR]\ #,##0.00</c:formatCode>
                <c:ptCount val="10"/>
                <c:pt idx="0">
                  <c:v>50</c:v>
                </c:pt>
                <c:pt idx="1">
                  <c:v>80</c:v>
                </c:pt>
                <c:pt idx="2">
                  <c:v>100</c:v>
                </c:pt>
                <c:pt idx="3">
                  <c:v>120</c:v>
                </c:pt>
                <c:pt idx="4">
                  <c:v>300</c:v>
                </c:pt>
                <c:pt idx="5">
                  <c:v>150</c:v>
                </c:pt>
                <c:pt idx="6">
                  <c:v>120</c:v>
                </c:pt>
                <c:pt idx="7">
                  <c:v>60</c:v>
                </c:pt>
                <c:pt idx="8">
                  <c:v>50</c:v>
                </c:pt>
                <c:pt idx="9">
                  <c:v>220</c:v>
                </c:pt>
              </c:numCache>
            </c:numRef>
          </c:xVal>
          <c:yVal>
            <c:numRef>
              <c:f>'Wireless Communication Module'!$D$2:$D$11</c:f>
              <c:numCache>
                <c:formatCode>General</c:formatCode>
                <c:ptCount val="10"/>
                <c:pt idx="0">
                  <c:v>19</c:v>
                </c:pt>
                <c:pt idx="1">
                  <c:v>18</c:v>
                </c:pt>
                <c:pt idx="2">
                  <c:v>19</c:v>
                </c:pt>
                <c:pt idx="3">
                  <c:v>18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16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'Wireless Communication Module'!$A$2:$A$11</c15:f>
                <c15:dlblRangeCache>
                  <c:ptCount val="10"/>
                  <c:pt idx="0">
                    <c:v>NRF24L01+</c:v>
                  </c:pt>
                  <c:pt idx="1">
                    <c:v>HC-05 Bluetooth</c:v>
                  </c:pt>
                  <c:pt idx="2">
                    <c:v>ESP8266</c:v>
                  </c:pt>
                  <c:pt idx="3">
                    <c:v>ESP32</c:v>
                  </c:pt>
                  <c:pt idx="4">
                    <c:v>XBee Series 2</c:v>
                  </c:pt>
                  <c:pt idx="5">
                    <c:v>LoRa SX1278</c:v>
                  </c:pt>
                  <c:pt idx="6">
                    <c:v>RFM69</c:v>
                  </c:pt>
                  <c:pt idx="7">
                    <c:v>HC-12</c:v>
                  </c:pt>
                  <c:pt idx="8">
                    <c:v>WiFi Module ESP8266-01</c:v>
                  </c:pt>
                  <c:pt idx="9">
                    <c:v>Zigbee CC2530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B88E-4A7E-BABF-565B51DEA85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042574511"/>
        <c:axId val="1042567311"/>
      </c:scatterChart>
      <c:valAx>
        <c:axId val="10425745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Cost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$ZAR]\ 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2567311"/>
        <c:crosses val="autoZero"/>
        <c:crossBetween val="midCat"/>
      </c:valAx>
      <c:valAx>
        <c:axId val="1042567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Accessibility</a:t>
                </a:r>
              </a:p>
            </c:rich>
          </c:tx>
          <c:layout>
            <c:manualLayout>
              <c:xMode val="edge"/>
              <c:yMode val="edge"/>
              <c:x val="4.4052858342541849E-3"/>
              <c:y val="0.405616440391740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25745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Bluetooth module equipment</a:t>
            </a:r>
            <a:r>
              <a:rPr lang="en-US" baseline="0"/>
              <a:t> cost vs accessibility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9.7762687306152687E-2"/>
                  <c:y val="7.738279222483364E-3"/>
                </c:manualLayout>
              </c:layout>
              <c:tx>
                <c:rich>
                  <a:bodyPr/>
                  <a:lstStyle/>
                  <a:p>
                    <a:fld id="{9A26E51F-045F-47C7-895B-F26EE81BE1D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C796-41FF-9721-F078A3B41DAC}"/>
                </c:ext>
              </c:extLst>
            </c:dLbl>
            <c:dLbl>
              <c:idx val="1"/>
              <c:layout>
                <c:manualLayout>
                  <c:x val="2.5863023832978154E-2"/>
                  <c:y val="1.0824356978034874E-2"/>
                </c:manualLayout>
              </c:layout>
              <c:tx>
                <c:rich>
                  <a:bodyPr/>
                  <a:lstStyle/>
                  <a:p>
                    <a:fld id="{BE02D9A7-E4D9-41CE-8355-CB902F53370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C796-41FF-9721-F078A3B41DAC}"/>
                </c:ext>
              </c:extLst>
            </c:dLbl>
            <c:dLbl>
              <c:idx val="2"/>
              <c:layout>
                <c:manualLayout>
                  <c:x val="-8.3917137476459513E-2"/>
                  <c:y val="2.9364463466541216E-2"/>
                </c:manualLayout>
              </c:layout>
              <c:tx>
                <c:rich>
                  <a:bodyPr/>
                  <a:lstStyle/>
                  <a:p>
                    <a:fld id="{9643C5FB-FBEB-4CD2-976A-2A2019CF630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C796-41FF-9721-F078A3B41DAC}"/>
                </c:ext>
              </c:extLst>
            </c:dLbl>
            <c:dLbl>
              <c:idx val="3"/>
              <c:layout>
                <c:manualLayout>
                  <c:x val="-8.2970921007755355E-2"/>
                  <c:y val="3.863015610868141E-2"/>
                </c:manualLayout>
              </c:layout>
              <c:tx>
                <c:rich>
                  <a:bodyPr/>
                  <a:lstStyle/>
                  <a:p>
                    <a:fld id="{F86695B8-8FEF-43FF-A6F1-2FCD16546CC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C796-41FF-9721-F078A3B41DA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78A39413-ECA7-48C8-A7DC-48DFFB5BD4E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C796-41FF-9721-F078A3B41DA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7C0A3455-B531-4B37-BC91-E8166B48070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C796-41FF-9721-F078A3B41DA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76408370-552D-497F-976E-CF03FBCC24E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C796-41FF-9721-F078A3B41DAC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E97D8268-F18C-4895-BFBE-13FE6274640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C796-41FF-9721-F078A3B41DAC}"/>
                </c:ext>
              </c:extLst>
            </c:dLbl>
            <c:dLbl>
              <c:idx val="8"/>
              <c:layout>
                <c:manualLayout>
                  <c:x val="-0.19484471050241867"/>
                  <c:y val="4.7856075053411017E-2"/>
                </c:manualLayout>
              </c:layout>
              <c:tx>
                <c:rich>
                  <a:bodyPr/>
                  <a:lstStyle/>
                  <a:p>
                    <a:fld id="{94E0A521-2A97-4226-9F6E-B70B051C4DF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C796-41FF-9721-F078A3B41DAC}"/>
                </c:ext>
              </c:extLst>
            </c:dLbl>
            <c:dLbl>
              <c:idx val="9"/>
              <c:layout>
                <c:manualLayout>
                  <c:x val="-7.7936592671678892E-2"/>
                  <c:y val="3.5541591894634725E-2"/>
                </c:manualLayout>
              </c:layout>
              <c:tx>
                <c:rich>
                  <a:bodyPr/>
                  <a:lstStyle/>
                  <a:p>
                    <a:fld id="{3753E5E5-4F91-4601-9BE5-009AAF352CE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C796-41FF-9721-F078A3B41DA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'Bluetooth Module'!$C$2:$C$11</c:f>
              <c:numCache>
                <c:formatCode>[$ZAR]\ #,##0.00</c:formatCode>
                <c:ptCount val="10"/>
                <c:pt idx="0">
                  <c:v>80</c:v>
                </c:pt>
                <c:pt idx="1">
                  <c:v>70</c:v>
                </c:pt>
                <c:pt idx="2">
                  <c:v>100</c:v>
                </c:pt>
                <c:pt idx="3">
                  <c:v>200</c:v>
                </c:pt>
                <c:pt idx="4">
                  <c:v>150</c:v>
                </c:pt>
                <c:pt idx="5">
                  <c:v>120</c:v>
                </c:pt>
                <c:pt idx="6">
                  <c:v>250</c:v>
                </c:pt>
                <c:pt idx="7" formatCode="&quot;$&quot;#,##0.00">
                  <c:v>60</c:v>
                </c:pt>
                <c:pt idx="8" formatCode="&quot;$&quot;#,##0.00">
                  <c:v>70</c:v>
                </c:pt>
                <c:pt idx="9" formatCode="&quot;$&quot;#,##0.00">
                  <c:v>150</c:v>
                </c:pt>
              </c:numCache>
            </c:numRef>
          </c:xVal>
          <c:yVal>
            <c:numRef>
              <c:f>'Bluetooth Module'!$D$2:$D$11</c:f>
              <c:numCache>
                <c:formatCode>General</c:formatCode>
                <c:ptCount val="10"/>
                <c:pt idx="0">
                  <c:v>18</c:v>
                </c:pt>
                <c:pt idx="1">
                  <c:v>18</c:v>
                </c:pt>
                <c:pt idx="2">
                  <c:v>17</c:v>
                </c:pt>
                <c:pt idx="3">
                  <c:v>15</c:v>
                </c:pt>
                <c:pt idx="4">
                  <c:v>16</c:v>
                </c:pt>
                <c:pt idx="5">
                  <c:v>19</c:v>
                </c:pt>
                <c:pt idx="6">
                  <c:v>14</c:v>
                </c:pt>
                <c:pt idx="7">
                  <c:v>19</c:v>
                </c:pt>
                <c:pt idx="8">
                  <c:v>18</c:v>
                </c:pt>
                <c:pt idx="9">
                  <c:v>16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'Bluetooth Module'!$A$2:$A$11</c15:f>
                <c15:dlblRangeCache>
                  <c:ptCount val="10"/>
                  <c:pt idx="0">
                    <c:v>HC-05</c:v>
                  </c:pt>
                  <c:pt idx="1">
                    <c:v>HC-06</c:v>
                  </c:pt>
                  <c:pt idx="2">
                    <c:v>Bluetooth 4.0 HM-10</c:v>
                  </c:pt>
                  <c:pt idx="3">
                    <c:v>Adafruit Bluefruit LE</c:v>
                  </c:pt>
                  <c:pt idx="4">
                    <c:v>nRF52832</c:v>
                  </c:pt>
                  <c:pt idx="5">
                    <c:v>ESP32 (Bluetooth)</c:v>
                  </c:pt>
                  <c:pt idx="6">
                    <c:v>RN42 Bluetooth Module</c:v>
                  </c:pt>
                  <c:pt idx="7">
                    <c:v>JDY-08</c:v>
                  </c:pt>
                  <c:pt idx="8">
                    <c:v>JY-MCU Bluetooth Module</c:v>
                  </c:pt>
                  <c:pt idx="9">
                    <c:v>BTM-222 Bluetooth Module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C796-41FF-9721-F078A3B41DAC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042573551"/>
        <c:axId val="1042561551"/>
      </c:scatterChart>
      <c:valAx>
        <c:axId val="10425735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Cost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$ZAR]\ 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2561551"/>
        <c:crosses val="autoZero"/>
        <c:crossBetween val="midCat"/>
      </c:valAx>
      <c:valAx>
        <c:axId val="10425615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Accessibility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25735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RTK GPS</a:t>
            </a:r>
            <a:r>
              <a:rPr lang="en-US" baseline="0"/>
              <a:t> Module equipment cost vs accessibility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0.14932262590687484"/>
                  <c:y val="-1.514848998322528E-2"/>
                </c:manualLayout>
              </c:layout>
              <c:tx>
                <c:rich>
                  <a:bodyPr/>
                  <a:lstStyle/>
                  <a:p>
                    <a:fld id="{864ACF35-2FDE-4F15-A89A-020F65027C8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654B-485D-9C9F-A25156C582E9}"/>
                </c:ext>
              </c:extLst>
            </c:dLbl>
            <c:dLbl>
              <c:idx val="1"/>
              <c:layout>
                <c:manualLayout>
                  <c:x val="-1.3382128349232825E-3"/>
                  <c:y val="-1.6607449801958483E-3"/>
                </c:manualLayout>
              </c:layout>
              <c:tx>
                <c:rich>
                  <a:bodyPr/>
                  <a:lstStyle/>
                  <a:p>
                    <a:fld id="{2DDE6375-C22B-4966-8610-D1F9BF8C351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654B-485D-9C9F-A25156C582E9}"/>
                </c:ext>
              </c:extLst>
            </c:dLbl>
            <c:dLbl>
              <c:idx val="2"/>
              <c:layout>
                <c:manualLayout>
                  <c:x val="-5.2971818926138177E-2"/>
                  <c:y val="3.8802490028892446E-2"/>
                </c:manualLayout>
              </c:layout>
              <c:tx>
                <c:rich>
                  <a:bodyPr/>
                  <a:lstStyle/>
                  <a:p>
                    <a:fld id="{2227DDEE-0348-4EAA-910C-A68CA37AE07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654B-485D-9C9F-A25156C582E9}"/>
                </c:ext>
              </c:extLst>
            </c:dLbl>
            <c:dLbl>
              <c:idx val="3"/>
              <c:layout>
                <c:manualLayout>
                  <c:x val="-4.172480650471503E-2"/>
                  <c:y val="-3.538010748776943E-2"/>
                </c:manualLayout>
              </c:layout>
              <c:tx>
                <c:rich>
                  <a:bodyPr/>
                  <a:lstStyle/>
                  <a:p>
                    <a:fld id="{13A5722D-0073-4793-B556-9F70730799E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654B-485D-9C9F-A25156C582E9}"/>
                </c:ext>
              </c:extLst>
            </c:dLbl>
            <c:dLbl>
              <c:idx val="4"/>
              <c:layout>
                <c:manualLayout>
                  <c:x val="4.317368595993526E-2"/>
                  <c:y val="-1.8520426233982638E-2"/>
                </c:manualLayout>
              </c:layout>
              <c:tx>
                <c:rich>
                  <a:bodyPr/>
                  <a:lstStyle/>
                  <a:p>
                    <a:fld id="{36772D06-AC91-4227-8961-54A1D42AB90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654B-485D-9C9F-A25156C582E9}"/>
                </c:ext>
              </c:extLst>
            </c:dLbl>
            <c:dLbl>
              <c:idx val="5"/>
              <c:layout>
                <c:manualLayout>
                  <c:x val="-8.9253663537016401E-2"/>
                  <c:y val="3.8802490028892446E-2"/>
                </c:manualLayout>
              </c:layout>
              <c:tx>
                <c:rich>
                  <a:bodyPr/>
                  <a:lstStyle/>
                  <a:p>
                    <a:fld id="{01798FC2-AA8E-428B-B86F-65AA53213AA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654B-485D-9C9F-A25156C582E9}"/>
                </c:ext>
              </c:extLst>
            </c:dLbl>
            <c:dLbl>
              <c:idx val="6"/>
              <c:layout>
                <c:manualLayout>
                  <c:x val="-6.5520069120095656E-2"/>
                  <c:y val="-4.2123979989284147E-2"/>
                </c:manualLayout>
              </c:layout>
              <c:tx>
                <c:rich>
                  <a:bodyPr/>
                  <a:lstStyle/>
                  <a:p>
                    <a:fld id="{9D7ED1F6-BF8B-4450-8DED-FC34C285E84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654B-485D-9C9F-A25156C582E9}"/>
                </c:ext>
              </c:extLst>
            </c:dLbl>
            <c:dLbl>
              <c:idx val="7"/>
              <c:layout>
                <c:manualLayout>
                  <c:x val="-0.10735967931502539"/>
                  <c:y val="7.0861373063061575E-2"/>
                </c:manualLayout>
              </c:layout>
              <c:tx>
                <c:rich>
                  <a:bodyPr/>
                  <a:lstStyle/>
                  <a:p>
                    <a:fld id="{6B31E5FB-5C18-4F74-9203-66177B6E495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654B-485D-9C9F-A25156C582E9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5B7F9F6E-BB15-44FF-B22E-AD7AD54586B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654B-485D-9C9F-A25156C582E9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94F4A9D5-891E-458E-998E-F4C5ADF7F57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654B-485D-9C9F-A25156C582E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'RTK GPS Module'!$C$2:$C$11</c:f>
              <c:numCache>
                <c:formatCode>[$ZAR]\ #,##0.00</c:formatCode>
                <c:ptCount val="10"/>
                <c:pt idx="0">
                  <c:v>3000</c:v>
                </c:pt>
                <c:pt idx="1">
                  <c:v>4000</c:v>
                </c:pt>
                <c:pt idx="2">
                  <c:v>4500</c:v>
                </c:pt>
                <c:pt idx="3">
                  <c:v>3500</c:v>
                </c:pt>
                <c:pt idx="4">
                  <c:v>2500</c:v>
                </c:pt>
                <c:pt idx="5">
                  <c:v>3500</c:v>
                </c:pt>
                <c:pt idx="6">
                  <c:v>3000</c:v>
                </c:pt>
                <c:pt idx="7">
                  <c:v>7000</c:v>
                </c:pt>
                <c:pt idx="8">
                  <c:v>10000</c:v>
                </c:pt>
                <c:pt idx="9">
                  <c:v>2000</c:v>
                </c:pt>
              </c:numCache>
            </c:numRef>
          </c:xVal>
          <c:yVal>
            <c:numRef>
              <c:f>'RTK GPS Module'!$D$2:$D$11</c:f>
              <c:numCache>
                <c:formatCode>General</c:formatCode>
                <c:ptCount val="10"/>
                <c:pt idx="0">
                  <c:v>15</c:v>
                </c:pt>
                <c:pt idx="1">
                  <c:v>14</c:v>
                </c:pt>
                <c:pt idx="2">
                  <c:v>13</c:v>
                </c:pt>
                <c:pt idx="3">
                  <c:v>14</c:v>
                </c:pt>
                <c:pt idx="4">
                  <c:v>16</c:v>
                </c:pt>
                <c:pt idx="5">
                  <c:v>14</c:v>
                </c:pt>
                <c:pt idx="6">
                  <c:v>17</c:v>
                </c:pt>
                <c:pt idx="7">
                  <c:v>12</c:v>
                </c:pt>
                <c:pt idx="8">
                  <c:v>10</c:v>
                </c:pt>
                <c:pt idx="9">
                  <c:v>18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'RTK GPS Module'!$A$2:$A$11</c15:f>
                <c15:dlblRangeCache>
                  <c:ptCount val="10"/>
                  <c:pt idx="0">
                    <c:v>u-blox ZED-F9P</c:v>
                  </c:pt>
                  <c:pt idx="1">
                    <c:v>Here3 RTK GPS Module</c:v>
                  </c:pt>
                  <c:pt idx="2">
                    <c:v>Emlid Reach M2</c:v>
                  </c:pt>
                  <c:pt idx="3">
                    <c:v>SparkFun GPS-RTK2</c:v>
                  </c:pt>
                  <c:pt idx="4">
                    <c:v>Navspark NV08C-CSM</c:v>
                  </c:pt>
                  <c:pt idx="5">
                    <c:v>Drotek Sirius RTK GNSS</c:v>
                  </c:pt>
                  <c:pt idx="6">
                    <c:v>Ardusimple SimpleRTK2B</c:v>
                  </c:pt>
                  <c:pt idx="7">
                    <c:v>Swift Navigation Piksi Multi</c:v>
                  </c:pt>
                  <c:pt idx="8">
                    <c:v>Trimble BX940</c:v>
                  </c:pt>
                  <c:pt idx="9">
                    <c:v>Holybro Pixhawk 4 GPS Module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654B-485D-9C9F-A25156C582E9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779847535"/>
        <c:axId val="779821615"/>
      </c:scatterChart>
      <c:valAx>
        <c:axId val="7798475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Cost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$ZAR]\ 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9821615"/>
        <c:crosses val="autoZero"/>
        <c:crossBetween val="midCat"/>
      </c:valAx>
      <c:valAx>
        <c:axId val="7798216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Accessibility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98475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Software</a:t>
            </a:r>
            <a:r>
              <a:rPr lang="en-US" baseline="0"/>
              <a:t> Accessibility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1.0185067526415994E-16"/>
                  <c:y val="-4.1666666666666664E-2"/>
                </c:manualLayout>
              </c:layout>
              <c:tx>
                <c:rich>
                  <a:bodyPr/>
                  <a:lstStyle/>
                  <a:p>
                    <a:fld id="{CD7AA352-CAE5-4473-A739-A07F0338526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DEF6-4C5B-81A9-C1BF827CB58E}"/>
                </c:ext>
              </c:extLst>
            </c:dLbl>
            <c:dLbl>
              <c:idx val="1"/>
              <c:layout>
                <c:manualLayout>
                  <c:x val="8.055555555555545E-2"/>
                  <c:y val="2.3148148148148147E-2"/>
                </c:manualLayout>
              </c:layout>
              <c:tx>
                <c:rich>
                  <a:bodyPr/>
                  <a:lstStyle/>
                  <a:p>
                    <a:fld id="{1546F248-EDBE-43A3-9CD4-E0E9AB6A278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DEF6-4C5B-81A9-C1BF827CB58E}"/>
                </c:ext>
              </c:extLst>
            </c:dLbl>
            <c:dLbl>
              <c:idx val="2"/>
              <c:layout>
                <c:manualLayout>
                  <c:x val="3.6111111111111108E-2"/>
                  <c:y val="-9.2592592592591737E-3"/>
                </c:manualLayout>
              </c:layout>
              <c:tx>
                <c:rich>
                  <a:bodyPr/>
                  <a:lstStyle/>
                  <a:p>
                    <a:fld id="{8E5F12EA-73BA-476F-A2CA-0C84DA3C7B0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DEF6-4C5B-81A9-C1BF827CB58E}"/>
                </c:ext>
              </c:extLst>
            </c:dLbl>
            <c:dLbl>
              <c:idx val="3"/>
              <c:layout>
                <c:manualLayout>
                  <c:x val="4.9999999999999947E-2"/>
                  <c:y val="1.3888888888888888E-2"/>
                </c:manualLayout>
              </c:layout>
              <c:tx>
                <c:rich>
                  <a:bodyPr/>
                  <a:lstStyle/>
                  <a:p>
                    <a:fld id="{D3DE85B1-0D15-4345-B14E-0F9A4CD8386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DEF6-4C5B-81A9-C1BF827CB58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CC65455-CAFC-40A7-8D91-74971751F25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DEF6-4C5B-81A9-C1BF827CB58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8E366D0C-D1E5-45FE-BCF6-B5A496B7C79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DEF6-4C5B-81A9-C1BF827CB5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'Object Detection Softwre'!$C$2:$C$7</c:f>
              <c:numCache>
                <c:formatCode>General</c:formatCode>
                <c:ptCount val="6"/>
                <c:pt idx="0">
                  <c:v>18</c:v>
                </c:pt>
                <c:pt idx="1">
                  <c:v>19</c:v>
                </c:pt>
                <c:pt idx="2">
                  <c:v>17</c:v>
                </c:pt>
                <c:pt idx="3">
                  <c:v>16</c:v>
                </c:pt>
                <c:pt idx="4">
                  <c:v>17</c:v>
                </c:pt>
                <c:pt idx="5">
                  <c:v>16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'Object Detection Softwre'!$A$2:$A$7</c15:f>
                <c15:dlblRangeCache>
                  <c:ptCount val="6"/>
                  <c:pt idx="0">
                    <c:v>YOLO</c:v>
                  </c:pt>
                  <c:pt idx="1">
                    <c:v>TensorFlow Object Detection</c:v>
                  </c:pt>
                  <c:pt idx="2">
                    <c:v>OpenCV</c:v>
                  </c:pt>
                  <c:pt idx="3">
                    <c:v>AirSim (Microsoft)</c:v>
                  </c:pt>
                  <c:pt idx="4">
                    <c:v>NVIDIA DeepStream SDK</c:v>
                  </c:pt>
                  <c:pt idx="5">
                    <c:v>DJI SDK 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DEF6-4C5B-81A9-C1BF827CB58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70777327"/>
        <c:axId val="70770607"/>
      </c:radarChart>
      <c:catAx>
        <c:axId val="70777327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crossAx val="70770607"/>
        <c:crosses val="autoZero"/>
        <c:auto val="1"/>
        <c:lblAlgn val="ctr"/>
        <c:lblOffset val="100"/>
        <c:noMultiLvlLbl val="0"/>
      </c:catAx>
      <c:valAx>
        <c:axId val="707706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7773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Object avoidance equipment accessibility vs cost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9083850826636284E-2"/>
                  <c:y val="-4.6170327824526743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4206161B-63BF-42AE-BE31-D31AC652554F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9.7497936791406212E-2"/>
                      <c:h val="4.7249544626593809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F48D-4420-ACCF-05098221327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A7DBC14C-28C7-491D-9BB0-FBB79807751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F48D-4420-ACCF-05098221327B}"/>
                </c:ext>
              </c:extLst>
            </c:dLbl>
            <c:dLbl>
              <c:idx val="2"/>
              <c:layout>
                <c:manualLayout>
                  <c:x val="-0.15549007968720405"/>
                  <c:y val="-5.0947033260186736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9E40477C-4030-48C4-A70D-2EACCE221CCE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1248934572611412"/>
                      <c:h val="7.6393442622950822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F48D-4420-ACCF-05098221327B}"/>
                </c:ext>
              </c:extLst>
            </c:dLbl>
            <c:dLbl>
              <c:idx val="3"/>
              <c:layout>
                <c:manualLayout>
                  <c:x val="-6.7388705116757319E-2"/>
                  <c:y val="-7.8269437631771438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C83D6592-46A3-4806-B418-6165B9D21AE6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546185431717941"/>
                      <c:h val="6.5464480874316944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F48D-4420-ACCF-05098221327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D2712CDE-B622-455F-AA66-AF3B8050480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F48D-4420-ACCF-05098221327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log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'Object Avoidance '!$C$2:$C$6</c:f>
              <c:numCache>
                <c:formatCode>General</c:formatCode>
                <c:ptCount val="5"/>
                <c:pt idx="0">
                  <c:v>17</c:v>
                </c:pt>
                <c:pt idx="1">
                  <c:v>15</c:v>
                </c:pt>
                <c:pt idx="2">
                  <c:v>17</c:v>
                </c:pt>
                <c:pt idx="3">
                  <c:v>18</c:v>
                </c:pt>
                <c:pt idx="4">
                  <c:v>16</c:v>
                </c:pt>
              </c:numCache>
            </c:numRef>
          </c:xVal>
          <c:yVal>
            <c:numRef>
              <c:f>'Object Avoidance '!$D$2:$D$6</c:f>
              <c:numCache>
                <c:formatCode>[$ZAR]\ #,##0.00</c:formatCode>
                <c:ptCount val="5"/>
                <c:pt idx="0">
                  <c:v>0</c:v>
                </c:pt>
                <c:pt idx="1">
                  <c:v>64750</c:v>
                </c:pt>
                <c:pt idx="2">
                  <c:v>0</c:v>
                </c:pt>
                <c:pt idx="3">
                  <c:v>0</c:v>
                </c:pt>
                <c:pt idx="4">
                  <c:v>111000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'Object Avoidance '!$A$2:$A$6</c15:f>
                <c15:dlblRangeCache>
                  <c:ptCount val="5"/>
                  <c:pt idx="0">
                    <c:v>PX4 Autopilot - Obstacle Avoidance</c:v>
                  </c:pt>
                  <c:pt idx="1">
                    <c:v>DJI Guidance</c:v>
                  </c:pt>
                  <c:pt idx="2">
                    <c:v>OpenCV with Python/C++</c:v>
                  </c:pt>
                  <c:pt idx="3">
                    <c:v>ArduPilot Obstacle Avoidance</c:v>
                  </c:pt>
                  <c:pt idx="4">
                    <c:v>Auterion Skynode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F48D-4420-ACCF-05098221327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33027519"/>
        <c:axId val="133007839"/>
      </c:scatterChart>
      <c:valAx>
        <c:axId val="1330275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Accessibility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007839"/>
        <c:crosses val="autoZero"/>
        <c:crossBetween val="midCat"/>
      </c:valAx>
      <c:valAx>
        <c:axId val="133007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Cost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$ZAR]\ 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0275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Geotagging software equipment accessibility vs cost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3751531058617572E-2"/>
                  <c:y val="-0.15733778069408"/>
                </c:manualLayout>
              </c:layout>
              <c:tx>
                <c:rich>
                  <a:bodyPr/>
                  <a:lstStyle/>
                  <a:p>
                    <a:fld id="{3BEFA662-356F-446C-95D7-1A0EC23B907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435F-4A82-8BB6-D4C74A673BFC}"/>
                </c:ext>
              </c:extLst>
            </c:dLbl>
            <c:dLbl>
              <c:idx val="1"/>
              <c:layout>
                <c:manualLayout>
                  <c:x val="-7.3958442694663173E-2"/>
                  <c:y val="-9.4872776319626803E-2"/>
                </c:manualLayout>
              </c:layout>
              <c:tx>
                <c:rich>
                  <a:bodyPr/>
                  <a:lstStyle/>
                  <a:p>
                    <a:fld id="{FA156F76-F11D-49B0-89B8-3EEF00C4384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435F-4A82-8BB6-D4C74A673BFC}"/>
                </c:ext>
              </c:extLst>
            </c:dLbl>
            <c:dLbl>
              <c:idx val="2"/>
              <c:layout>
                <c:manualLayout>
                  <c:x val="-0.14199999999999999"/>
                  <c:y val="-0.21061351706036754"/>
                </c:manualLayout>
              </c:layout>
              <c:tx>
                <c:rich>
                  <a:bodyPr/>
                  <a:lstStyle/>
                  <a:p>
                    <a:fld id="{8A72F049-E4B5-4B14-895A-B7028B056E8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435F-4A82-8BB6-D4C74A673BF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406BFAC0-E96E-465D-8C5E-B8088736F9A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435F-4A82-8BB6-D4C74A673BF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2565E93D-03BF-467E-AE34-1D742B7E4F1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435F-4A82-8BB6-D4C74A673B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'Geotagging Software'!$B$2:$B$6</c:f>
              <c:numCache>
                <c:formatCode>General</c:formatCode>
                <c:ptCount val="5"/>
                <c:pt idx="0">
                  <c:v>18</c:v>
                </c:pt>
                <c:pt idx="1">
                  <c:v>15</c:v>
                </c:pt>
                <c:pt idx="2">
                  <c:v>14</c:v>
                </c:pt>
                <c:pt idx="3">
                  <c:v>17</c:v>
                </c:pt>
                <c:pt idx="4">
                  <c:v>6</c:v>
                </c:pt>
              </c:numCache>
            </c:numRef>
          </c:xVal>
          <c:yVal>
            <c:numRef>
              <c:f>'Geotagging Software'!$C$2:$C$6</c:f>
              <c:numCache>
                <c:formatCode>[$ZAR]\ 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27750</c:v>
                </c:pt>
                <c:pt idx="4">
                  <c:v>6105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'Geotagging Software'!$A$2:$A$6</c15:f>
                <c15:dlblRangeCache>
                  <c:ptCount val="5"/>
                  <c:pt idx="0">
                    <c:v>QGIS with GPS Tools Plugin</c:v>
                  </c:pt>
                  <c:pt idx="1">
                    <c:v>GeoSetter</c:v>
                  </c:pt>
                  <c:pt idx="2">
                    <c:v>GPS Photo Tagger</c:v>
                  </c:pt>
                  <c:pt idx="3">
                    <c:v>ArcGIS</c:v>
                  </c:pt>
                  <c:pt idx="4">
                    <c:v>Mappt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435F-4A82-8BB6-D4C74A673BFC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33028959"/>
        <c:axId val="133006879"/>
      </c:scatterChart>
      <c:valAx>
        <c:axId val="1330289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Accessibility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006879"/>
        <c:crosses val="autoZero"/>
        <c:crossBetween val="midCat"/>
      </c:valAx>
      <c:valAx>
        <c:axId val="133006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Cost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$ZAR]\ 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0289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Navigation software equipment accessibility vs cost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8.2222222222222321E-2"/>
                  <c:y val="-0.10413203557888606"/>
                </c:manualLayout>
              </c:layout>
              <c:tx>
                <c:rich>
                  <a:bodyPr/>
                  <a:lstStyle/>
                  <a:p>
                    <a:fld id="{A5A03827-2BA2-47B0-8D4A-86BF87EBBE1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F8F9-466E-B21F-B012D8B1D93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03D44741-0B1A-45B7-AC23-0377E3B0504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F8F9-466E-B21F-B012D8B1D93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B4869DB-9116-4107-B5A0-233C46BFB8C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F8F9-466E-B21F-B012D8B1D93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41D21F2E-2C39-436B-B32E-8266B0AF695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F8F9-466E-B21F-B012D8B1D9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linear"/>
            <c:intercept val="0"/>
            <c:dispRSqr val="0"/>
            <c:dispEq val="0"/>
          </c:trendline>
          <c:xVal>
            <c:numRef>
              <c:f>'Navigation Software'!$B$2:$B$5</c:f>
              <c:numCache>
                <c:formatCode>General</c:formatCode>
                <c:ptCount val="4"/>
                <c:pt idx="0">
                  <c:v>18</c:v>
                </c:pt>
                <c:pt idx="1">
                  <c:v>18</c:v>
                </c:pt>
                <c:pt idx="2">
                  <c:v>16</c:v>
                </c:pt>
                <c:pt idx="3">
                  <c:v>17</c:v>
                </c:pt>
              </c:numCache>
            </c:numRef>
          </c:xVal>
          <c:yVal>
            <c:numRef>
              <c:f>'Navigation Software'!$C$2:$C$5</c:f>
              <c:numCache>
                <c:formatCode>[$ZAR]\ 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36907.5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'Navigation Software'!$A$2:$A$5</c15:f>
                <c15:dlblRangeCache>
                  <c:ptCount val="4"/>
                  <c:pt idx="0">
                    <c:v>PX4 Autopilot</c:v>
                  </c:pt>
                  <c:pt idx="1">
                    <c:v>ArduPilot</c:v>
                  </c:pt>
                  <c:pt idx="2">
                    <c:v>DJI A3/N3 Flight Controller</c:v>
                  </c:pt>
                  <c:pt idx="3">
                    <c:v>Auterion Enterprise PX4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F8F9-466E-B21F-B012D8B1D93C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575408591"/>
        <c:axId val="1575406191"/>
      </c:scatterChart>
      <c:valAx>
        <c:axId val="15754085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Accessibility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5406191"/>
        <c:crosses val="autoZero"/>
        <c:crossBetween val="midCat"/>
      </c:valAx>
      <c:valAx>
        <c:axId val="1575406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Cost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$ZAR]\ 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54085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Path planning</a:t>
            </a:r>
            <a:r>
              <a:rPr lang="en-US" baseline="0"/>
              <a:t> software equipment accessibility vs cost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D52D3F41-673C-4935-B63D-A17ED343F00A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4054154128735832"/>
                      <c:h val="6.9433554054700572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6F16-4E37-89EF-6C99E8F08D02}"/>
                </c:ext>
              </c:extLst>
            </c:dLbl>
            <c:dLbl>
              <c:idx val="1"/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3A39ED91-B1EB-47EA-8BC7-9182890CC2AC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0643851687743365"/>
                      <c:h val="5.0880834200405158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6F16-4E37-89EF-6C99E8F08D0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737D6DF6-B6F9-46A8-8628-B7C25ABAE4C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6F16-4E37-89EF-6C99E8F08D02}"/>
                </c:ext>
              </c:extLst>
            </c:dLbl>
            <c:dLbl>
              <c:idx val="3"/>
              <c:layout>
                <c:manualLayout>
                  <c:x val="1.7135786565118643E-3"/>
                  <c:y val="-2.2144570243409494E-3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C2E293ED-A363-45A6-94A1-7A52E661B8C7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860267359854616"/>
                      <c:h val="9.2555063778626587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6F16-4E37-89EF-6C99E8F08D0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FF2F57D-46FD-4A52-B0FA-A7D49E1B5E3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6F16-4E37-89EF-6C99E8F08D02}"/>
                </c:ext>
              </c:extLst>
            </c:dLbl>
            <c:dLbl>
              <c:idx val="5"/>
              <c:layout>
                <c:manualLayout>
                  <c:x val="-4.8696645039934101E-2"/>
                  <c:y val="-0.14606797380560482"/>
                </c:manualLayout>
              </c:layout>
              <c:tx>
                <c:rich>
                  <a:bodyPr/>
                  <a:lstStyle/>
                  <a:p>
                    <a:fld id="{0E8A3F99-C61A-4B2A-8BB9-431D4390518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6F16-4E37-89EF-6C99E8F08D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'Path PlanningFlight'!$B$2:$B$7</c:f>
              <c:numCache>
                <c:formatCode>General</c:formatCode>
                <c:ptCount val="6"/>
                <c:pt idx="0">
                  <c:v>18</c:v>
                </c:pt>
                <c:pt idx="1">
                  <c:v>17</c:v>
                </c:pt>
                <c:pt idx="2">
                  <c:v>16</c:v>
                </c:pt>
                <c:pt idx="3">
                  <c:v>16</c:v>
                </c:pt>
                <c:pt idx="4">
                  <c:v>17</c:v>
                </c:pt>
                <c:pt idx="5">
                  <c:v>17</c:v>
                </c:pt>
              </c:numCache>
            </c:numRef>
          </c:xVal>
          <c:yVal>
            <c:numRef>
              <c:f>'Path PlanningFlight'!$C$2:$C$7</c:f>
              <c:numCache>
                <c:formatCode>[$ZAR]\ #,##0.00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18481.5</c:v>
                </c:pt>
                <c:pt idx="3">
                  <c:v>9065</c:v>
                </c:pt>
                <c:pt idx="4">
                  <c:v>111000</c:v>
                </c:pt>
                <c:pt idx="5">
                  <c:v>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'Path PlanningFlight'!$A$2:$A$7</c15:f>
                <c15:dlblRangeCache>
                  <c:ptCount val="6"/>
                  <c:pt idx="0">
                    <c:v>PX4 Autopilot with QGroundControl</c:v>
                  </c:pt>
                  <c:pt idx="1">
                    <c:v>ArduPilot with Mission Planner</c:v>
                  </c:pt>
                  <c:pt idx="2">
                    <c:v>DJI Ground Station Pro</c:v>
                  </c:pt>
                  <c:pt idx="3">
                    <c:v>UGCS (Universal Ground Control Software)</c:v>
                  </c:pt>
                  <c:pt idx="4">
                    <c:v>Auterion Skynode</c:v>
                  </c:pt>
                  <c:pt idx="5">
                    <c:v>ROS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6F16-4E37-89EF-6C99E8F08D02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32908960"/>
        <c:axId val="32909440"/>
      </c:scatterChart>
      <c:valAx>
        <c:axId val="32908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Accessibility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909440"/>
        <c:crosses val="autoZero"/>
        <c:crossBetween val="midCat"/>
      </c:valAx>
      <c:valAx>
        <c:axId val="3290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Cost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$ZAR]\ 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908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GIS Equipment cost</a:t>
            </a:r>
            <a:r>
              <a:rPr lang="en-US" baseline="0"/>
              <a:t> </a:t>
            </a:r>
            <a:r>
              <a:rPr lang="en-US"/>
              <a:t>vs accessibility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GIS!$D$2</c:f>
              <c:strCache>
                <c:ptCount val="1"/>
                <c:pt idx="0">
                  <c:v>Total Accessibility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6.0209419981078335E-3"/>
                  <c:y val="-5.0633349013897426E-2"/>
                </c:manualLayout>
              </c:layout>
              <c:tx>
                <c:rich>
                  <a:bodyPr/>
                  <a:lstStyle/>
                  <a:p>
                    <a:fld id="{77FE6555-F421-4970-A718-655E7E414C95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DFC46296-D2A1-4082-B5A2-9C824E209920}" type="XVALUE">
                      <a:rPr lang="en-US" baseline="0"/>
                      <a:pPr/>
                      <a:t>[X VALUE]</a:t>
                    </a:fld>
                    <a:endParaRPr lang="en-US" baseline="0"/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E99C-4085-BA6C-623C3D1D71CF}"/>
                </c:ext>
              </c:extLst>
            </c:dLbl>
            <c:dLbl>
              <c:idx val="1"/>
              <c:layout>
                <c:manualLayout>
                  <c:x val="-0.15456647598144618"/>
                  <c:y val="1.13145316278553E-2"/>
                </c:manualLayout>
              </c:layout>
              <c:tx>
                <c:rich>
                  <a:bodyPr/>
                  <a:lstStyle/>
                  <a:p>
                    <a:fld id="{25926E4D-5B8A-43B2-BC3A-44262FA6CEB0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A18FA8A6-1536-4F5B-909D-111B5CD9EB0B}" type="XVALUE">
                      <a:rPr lang="en-US" baseline="0"/>
                      <a:pPr/>
                      <a:t>[X VALUE]</a:t>
                    </a:fld>
                    <a:endParaRPr lang="en-US" baseline="0"/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E99C-4085-BA6C-623C3D1D71CF}"/>
                </c:ext>
              </c:extLst>
            </c:dLbl>
            <c:dLbl>
              <c:idx val="2"/>
              <c:layout>
                <c:manualLayout>
                  <c:x val="-0.10984457799162509"/>
                  <c:y val="-5.9656371076214632E-2"/>
                </c:manualLayout>
              </c:layout>
              <c:tx>
                <c:rich>
                  <a:bodyPr/>
                  <a:lstStyle/>
                  <a:p>
                    <a:fld id="{ECF79E26-9A7D-47EB-8AB1-FBB94FB8AF0C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465E7EE0-E84C-4A45-9DEC-2C182301CFC5}" type="XVALUE">
                      <a:rPr lang="en-US" baseline="0"/>
                      <a:pPr/>
                      <a:t>[X VALUE]</a:t>
                    </a:fld>
                    <a:endParaRPr lang="en-US" baseline="0"/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E99C-4085-BA6C-623C3D1D71CF}"/>
                </c:ext>
              </c:extLst>
            </c:dLbl>
            <c:dLbl>
              <c:idx val="3"/>
              <c:layout>
                <c:manualLayout>
                  <c:x val="2.2789760010364601E-2"/>
                  <c:y val="7.5618338222675045E-3"/>
                </c:manualLayout>
              </c:layout>
              <c:tx>
                <c:rich>
                  <a:bodyPr/>
                  <a:lstStyle/>
                  <a:p>
                    <a:fld id="{9F2EDFEF-8073-461D-84AE-B759EC47E2F6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15383C04-6665-4F0D-967D-01F0B4876498}" type="XVALUE">
                      <a:rPr lang="en-US" baseline="0"/>
                      <a:pPr/>
                      <a:t>[X VALUE]</a:t>
                    </a:fld>
                    <a:endParaRPr lang="en-US" baseline="0"/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E99C-4085-BA6C-623C3D1D71CF}"/>
                </c:ext>
              </c:extLst>
            </c:dLbl>
            <c:dLbl>
              <c:idx val="4"/>
              <c:layout>
                <c:manualLayout>
                  <c:x val="-5.8255608978684476E-3"/>
                  <c:y val="5.0262216065565246E-2"/>
                </c:manualLayout>
              </c:layout>
              <c:tx>
                <c:rich>
                  <a:bodyPr/>
                  <a:lstStyle/>
                  <a:p>
                    <a:fld id="{E98F31C8-B0C9-4D2F-9BFE-E99463F35E40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2376E223-D596-4FBD-A3FC-FFDF1C8C2BB5}" type="XVALUE">
                      <a:rPr lang="en-US" baseline="0"/>
                      <a:pPr/>
                      <a:t>[X VALUE]</a:t>
                    </a:fld>
                    <a:endParaRPr lang="en-US" baseline="0"/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E99C-4085-BA6C-623C3D1D71C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GIS!$C$3:$C$7</c:f>
              <c:numCache>
                <c:formatCode>[$ZAR]\ #,##0.00</c:formatCode>
                <c:ptCount val="5"/>
                <c:pt idx="0">
                  <c:v>0</c:v>
                </c:pt>
                <c:pt idx="1">
                  <c:v>27750</c:v>
                </c:pt>
                <c:pt idx="2">
                  <c:v>9250</c:v>
                </c:pt>
                <c:pt idx="3">
                  <c:v>11100</c:v>
                </c:pt>
                <c:pt idx="4">
                  <c:v>0</c:v>
                </c:pt>
              </c:numCache>
            </c:numRef>
          </c:xVal>
          <c:yVal>
            <c:numRef>
              <c:f>GIS!$D$3:$D$7</c:f>
              <c:numCache>
                <c:formatCode>General</c:formatCode>
                <c:ptCount val="5"/>
                <c:pt idx="0">
                  <c:v>18</c:v>
                </c:pt>
                <c:pt idx="1">
                  <c:v>17</c:v>
                </c:pt>
                <c:pt idx="2">
                  <c:v>16</c:v>
                </c:pt>
                <c:pt idx="3">
                  <c:v>16</c:v>
                </c:pt>
                <c:pt idx="4">
                  <c:v>15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GIS!$B$3:$B$7</c15:f>
                <c15:dlblRangeCache>
                  <c:ptCount val="5"/>
                  <c:pt idx="0">
                    <c:v>QGIS</c:v>
                  </c:pt>
                  <c:pt idx="1">
                    <c:v>ArcGIS Online</c:v>
                  </c:pt>
                  <c:pt idx="2">
                    <c:v>Google Earth Engine</c:v>
                  </c:pt>
                  <c:pt idx="3">
                    <c:v>Mapbox</c:v>
                  </c:pt>
                  <c:pt idx="4">
                    <c:v>GRASS GIS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E99C-4085-BA6C-623C3D1D71CF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648357408"/>
        <c:axId val="1648355488"/>
      </c:scatterChart>
      <c:valAx>
        <c:axId val="1648357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Coost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$ZAR]\ 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8355488"/>
        <c:crosses val="autoZero"/>
        <c:crossBetween val="midCat"/>
      </c:valAx>
      <c:valAx>
        <c:axId val="1648355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Accessibility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83574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API</a:t>
            </a:r>
            <a:r>
              <a:rPr lang="en-US" baseline="0"/>
              <a:t> equipment accessibility vs cost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6.6388888888888997E-2"/>
                  <c:y val="-5.3206109652960132E-2"/>
                </c:manualLayout>
              </c:layout>
              <c:tx>
                <c:rich>
                  <a:bodyPr/>
                  <a:lstStyle/>
                  <a:p>
                    <a:fld id="{2D7EC663-5B92-4F6E-802F-172AF6CADB8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9262-46CF-B333-3E2A35986956}"/>
                </c:ext>
              </c:extLst>
            </c:dLbl>
            <c:dLbl>
              <c:idx val="1"/>
              <c:layout>
                <c:manualLayout>
                  <c:x val="-6.705555555555566E-2"/>
                  <c:y val="-9.9502405949256426E-2"/>
                </c:manualLayout>
              </c:layout>
              <c:tx>
                <c:rich>
                  <a:bodyPr/>
                  <a:lstStyle/>
                  <a:p>
                    <a:fld id="{4D316CBF-1EC5-44ED-8E49-918F3C1AC58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9262-46CF-B333-3E2A3598695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72CAF587-794B-4D5D-BCE2-20C4C32BA9C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9262-46CF-B333-3E2A3598695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A2654E66-81F6-48BE-BC53-915D54DFB4E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9262-46CF-B333-3E2A3598695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215E44C2-F0AE-4F3A-B4A1-F2D09415DA4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9262-46CF-B333-3E2A3598695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184AD771-71F8-4D0B-BC19-E85339D4D8C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9262-46CF-B333-3E2A3598695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API!$B$2:$B$7</c:f>
              <c:numCache>
                <c:formatCode>General</c:formatCode>
                <c:ptCount val="6"/>
                <c:pt idx="0">
                  <c:v>18</c:v>
                </c:pt>
                <c:pt idx="1">
                  <c:v>18</c:v>
                </c:pt>
                <c:pt idx="2">
                  <c:v>17</c:v>
                </c:pt>
                <c:pt idx="3">
                  <c:v>16</c:v>
                </c:pt>
                <c:pt idx="4">
                  <c:v>16</c:v>
                </c:pt>
                <c:pt idx="5">
                  <c:v>18</c:v>
                </c:pt>
              </c:numCache>
            </c:numRef>
          </c:xVal>
          <c:yVal>
            <c:numRef>
              <c:f>API!$C$2:$C$7</c:f>
              <c:numCache>
                <c:formatCode>[$ZAR]\ #,##0.00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1250</c:v>
                </c:pt>
                <c:pt idx="5">
                  <c:v>925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API!$A$2:$A$7</c15:f>
                <c15:dlblRangeCache>
                  <c:ptCount val="6"/>
                  <c:pt idx="0">
                    <c:v>MAVLink</c:v>
                  </c:pt>
                  <c:pt idx="1">
                    <c:v>DroneKit</c:v>
                  </c:pt>
                  <c:pt idx="2">
                    <c:v>QGroundControl API</c:v>
                  </c:pt>
                  <c:pt idx="3">
                    <c:v>DJI SDK</c:v>
                  </c:pt>
                  <c:pt idx="4">
                    <c:v>Auterion SDK</c:v>
                  </c:pt>
                  <c:pt idx="5">
                    <c:v>Mapbox API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9262-46CF-B333-3E2A35986956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905301120"/>
        <c:axId val="905301600"/>
      </c:scatterChart>
      <c:valAx>
        <c:axId val="905301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Accessibility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5301600"/>
        <c:crosses val="autoZero"/>
        <c:crossBetween val="midCat"/>
      </c:valAx>
      <c:valAx>
        <c:axId val="90530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Cost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$ZAR]\ 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5301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129540</xdr:colOff>
      <xdr:row>3</xdr:row>
      <xdr:rowOff>201930</xdr:rowOff>
    </xdr:from>
    <xdr:to>
      <xdr:col>12</xdr:col>
      <xdr:colOff>434340</xdr:colOff>
      <xdr:row>15</xdr:row>
      <xdr:rowOff>156210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837284C-4D8B-A679-FFD2-F4A9351294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144780</xdr:colOff>
      <xdr:row>2</xdr:row>
      <xdr:rowOff>209550</xdr:rowOff>
    </xdr:from>
    <xdr:to>
      <xdr:col>12</xdr:col>
      <xdr:colOff>449580</xdr:colOff>
      <xdr:row>12</xdr:row>
      <xdr:rowOff>179070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FF997C3-8FA0-54AC-B969-2FD0A97675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549088</xdr:colOff>
      <xdr:row>4</xdr:row>
      <xdr:rowOff>78442</xdr:rowOff>
    </xdr:from>
    <xdr:to>
      <xdr:col>20</xdr:col>
      <xdr:colOff>435236</xdr:colOff>
      <xdr:row>7</xdr:row>
      <xdr:rowOff>570379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609BEAB-DF96-D876-BE17-1EC8E063E4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492849</xdr:colOff>
      <xdr:row>11</xdr:row>
      <xdr:rowOff>82459</xdr:rowOff>
    </xdr:from>
    <xdr:to>
      <xdr:col>15</xdr:col>
      <xdr:colOff>585107</xdr:colOff>
      <xdr:row>31</xdr:row>
      <xdr:rowOff>163286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7270B49-8168-8FEA-1A76-B48E63586E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218802</xdr:colOff>
      <xdr:row>11</xdr:row>
      <xdr:rowOff>16326</xdr:rowOff>
    </xdr:from>
    <xdr:to>
      <xdr:col>27</xdr:col>
      <xdr:colOff>462643</xdr:colOff>
      <xdr:row>32</xdr:row>
      <xdr:rowOff>-1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E40C32B-0301-C55D-8ECA-4C4E7DFFD5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368617</xdr:colOff>
      <xdr:row>2</xdr:row>
      <xdr:rowOff>466725</xdr:rowOff>
    </xdr:from>
    <xdr:to>
      <xdr:col>18</xdr:col>
      <xdr:colOff>257175</xdr:colOff>
      <xdr:row>11</xdr:row>
      <xdr:rowOff>84772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F2C7B24-757A-358F-5769-16AA0DF6C4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533400</xdr:colOff>
      <xdr:row>4</xdr:row>
      <xdr:rowOff>14287</xdr:rowOff>
    </xdr:from>
    <xdr:to>
      <xdr:col>18</xdr:col>
      <xdr:colOff>228600</xdr:colOff>
      <xdr:row>13</xdr:row>
      <xdr:rowOff>80962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BA3BE56-5F69-9827-FEEC-2B317C95CA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164684</xdr:colOff>
      <xdr:row>4</xdr:row>
      <xdr:rowOff>1793501</xdr:rowOff>
    </xdr:from>
    <xdr:to>
      <xdr:col>40</xdr:col>
      <xdr:colOff>505343</xdr:colOff>
      <xdr:row>5</xdr:row>
      <xdr:rowOff>2254287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1AA8A7F-0391-A4EB-D6B0-49B14919CB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533400</xdr:colOff>
      <xdr:row>3</xdr:row>
      <xdr:rowOff>319087</xdr:rowOff>
    </xdr:from>
    <xdr:to>
      <xdr:col>18</xdr:col>
      <xdr:colOff>228600</xdr:colOff>
      <xdr:row>12</xdr:row>
      <xdr:rowOff>138112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94D4BB4-125E-A120-6741-B9472657F1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533400</xdr:colOff>
      <xdr:row>3</xdr:row>
      <xdr:rowOff>319087</xdr:rowOff>
    </xdr:from>
    <xdr:to>
      <xdr:col>18</xdr:col>
      <xdr:colOff>228600</xdr:colOff>
      <xdr:row>12</xdr:row>
      <xdr:rowOff>138112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1349915-943B-B0AC-1CD5-750BF37D5B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533400</xdr:colOff>
      <xdr:row>4</xdr:row>
      <xdr:rowOff>1028701</xdr:rowOff>
    </xdr:from>
    <xdr:to>
      <xdr:col>24</xdr:col>
      <xdr:colOff>209550</xdr:colOff>
      <xdr:row>6</xdr:row>
      <xdr:rowOff>463868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8314CD9-D3D9-5CED-9B7A-70C8CF366C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4</xdr:row>
      <xdr:rowOff>422910</xdr:rowOff>
    </xdr:from>
    <xdr:to>
      <xdr:col>12</xdr:col>
      <xdr:colOff>495300</xdr:colOff>
      <xdr:row>8</xdr:row>
      <xdr:rowOff>681990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11DD942-3FEA-FC37-EC7C-2D309066BAB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402980</xdr:colOff>
      <xdr:row>1</xdr:row>
      <xdr:rowOff>202223</xdr:rowOff>
    </xdr:from>
    <xdr:to>
      <xdr:col>13</xdr:col>
      <xdr:colOff>98181</xdr:colOff>
      <xdr:row>6</xdr:row>
      <xdr:rowOff>30811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96A1A24-E8E8-EC04-8334-775A4B69AE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58102</xdr:colOff>
      <xdr:row>7</xdr:row>
      <xdr:rowOff>6666</xdr:rowOff>
    </xdr:from>
    <xdr:to>
      <xdr:col>19</xdr:col>
      <xdr:colOff>323850</xdr:colOff>
      <xdr:row>26</xdr:row>
      <xdr:rowOff>104774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1465A41-FD2D-E4E7-B542-75ECDD4284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393433</xdr:colOff>
      <xdr:row>6</xdr:row>
      <xdr:rowOff>99261</xdr:rowOff>
    </xdr:from>
    <xdr:to>
      <xdr:col>15</xdr:col>
      <xdr:colOff>88633</xdr:colOff>
      <xdr:row>21</xdr:row>
      <xdr:rowOff>97256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FFA26DF-E3D2-5B78-EAAE-DF4E43D8AD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322386</xdr:colOff>
      <xdr:row>5</xdr:row>
      <xdr:rowOff>256442</xdr:rowOff>
    </xdr:from>
    <xdr:to>
      <xdr:col>18</xdr:col>
      <xdr:colOff>228601</xdr:colOff>
      <xdr:row>12</xdr:row>
      <xdr:rowOff>616267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45F9994-8B45-EA76-1E92-9C2FC3F053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564695</xdr:colOff>
      <xdr:row>4</xdr:row>
      <xdr:rowOff>212816</xdr:rowOff>
    </xdr:from>
    <xdr:to>
      <xdr:col>41</xdr:col>
      <xdr:colOff>108856</xdr:colOff>
      <xdr:row>7</xdr:row>
      <xdr:rowOff>571500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E370CC8-5083-218E-8DEB-57F6DE539E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489855</xdr:colOff>
      <xdr:row>8</xdr:row>
      <xdr:rowOff>361541</xdr:rowOff>
    </xdr:from>
    <xdr:to>
      <xdr:col>24</xdr:col>
      <xdr:colOff>604156</xdr:colOff>
      <xdr:row>14</xdr:row>
      <xdr:rowOff>103414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20A21C0-4CA7-A053-78DB-B6939D7FDF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380999</xdr:colOff>
      <xdr:row>5</xdr:row>
      <xdr:rowOff>886950</xdr:rowOff>
    </xdr:from>
    <xdr:to>
      <xdr:col>28</xdr:col>
      <xdr:colOff>568036</xdr:colOff>
      <xdr:row>8</xdr:row>
      <xdr:rowOff>1094509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8DFCA26-8A9D-F232-C4BE-9F2FD1D3F4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268468</xdr:colOff>
      <xdr:row>7</xdr:row>
      <xdr:rowOff>417872</xdr:rowOff>
    </xdr:from>
    <xdr:to>
      <xdr:col>23</xdr:col>
      <xdr:colOff>331694</xdr:colOff>
      <xdr:row>25</xdr:row>
      <xdr:rowOff>134471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4C2D471-E3FB-C4D8-623E-0A5FB65151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198783</xdr:colOff>
      <xdr:row>2</xdr:row>
      <xdr:rowOff>76200</xdr:rowOff>
    </xdr:from>
    <xdr:to>
      <xdr:col>13</xdr:col>
      <xdr:colOff>503583</xdr:colOff>
      <xdr:row>8</xdr:row>
      <xdr:rowOff>36443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856C41F-22E9-3377-8386-BA279ADEA3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198120</xdr:colOff>
      <xdr:row>0</xdr:row>
      <xdr:rowOff>213360</xdr:rowOff>
    </xdr:from>
    <xdr:to>
      <xdr:col>17</xdr:col>
      <xdr:colOff>15240</xdr:colOff>
      <xdr:row>5</xdr:row>
      <xdr:rowOff>331470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2180799-E7B0-5922-B282-65FEE86969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533400</xdr:colOff>
      <xdr:row>1</xdr:row>
      <xdr:rowOff>422910</xdr:rowOff>
    </xdr:from>
    <xdr:to>
      <xdr:col>15</xdr:col>
      <xdr:colOff>228600</xdr:colOff>
      <xdr:row>14</xdr:row>
      <xdr:rowOff>64770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6521C3B-C900-AE7A-0699-7397752D10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533400</xdr:colOff>
      <xdr:row>2</xdr:row>
      <xdr:rowOff>64770</xdr:rowOff>
    </xdr:from>
    <xdr:to>
      <xdr:col>15</xdr:col>
      <xdr:colOff>228600</xdr:colOff>
      <xdr:row>12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DD5CD82-5264-32DA-7567-99B090D0D5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520291</xdr:colOff>
      <xdr:row>3</xdr:row>
      <xdr:rowOff>92996</xdr:rowOff>
    </xdr:from>
    <xdr:to>
      <xdr:col>18</xdr:col>
      <xdr:colOff>176162</xdr:colOff>
      <xdr:row>12</xdr:row>
      <xdr:rowOff>122083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ED03066-FA01-B2DC-401E-6B5953E4A8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368617</xdr:colOff>
      <xdr:row>4</xdr:row>
      <xdr:rowOff>194310</xdr:rowOff>
    </xdr:from>
    <xdr:to>
      <xdr:col>18</xdr:col>
      <xdr:colOff>17145</xdr:colOff>
      <xdr:row>20</xdr:row>
      <xdr:rowOff>105727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FFDC961-F759-D989-6DD8-D1D22C6875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541020</xdr:colOff>
      <xdr:row>3</xdr:row>
      <xdr:rowOff>49530</xdr:rowOff>
    </xdr:from>
    <xdr:to>
      <xdr:col>15</xdr:col>
      <xdr:colOff>236220</xdr:colOff>
      <xdr:row>14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C89EE7C-855A-2FD7-13BF-19E40557B8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hyperlink" Target="https://www.digikey.co.za/en/products/detail/isl-products-international/MOT-IG-30GM-1-189/16553983" TargetMode="Externa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E125F-878F-4B34-AC67-97B97AAA48FC}">
  <dimension ref="B1:U9"/>
  <sheetViews>
    <sheetView zoomScale="60" zoomScaleNormal="115" workbookViewId="0">
      <selection activeCell="Q15" sqref="Q15"/>
    </sheetView>
  </sheetViews>
  <sheetFormatPr defaultRowHeight="14.4" x14ac:dyDescent="0.3"/>
  <cols>
    <col min="2" max="2" width="26.33203125" customWidth="1"/>
    <col min="4" max="4" width="15.44140625" bestFit="1" customWidth="1"/>
  </cols>
  <sheetData>
    <row r="1" spans="2:21" ht="15" thickBot="1" x14ac:dyDescent="0.35"/>
    <row r="2" spans="2:21" ht="29.4" thickBot="1" x14ac:dyDescent="0.35">
      <c r="B2" s="1" t="s">
        <v>83</v>
      </c>
      <c r="C2" s="1" t="s">
        <v>9</v>
      </c>
      <c r="D2" s="1" t="s">
        <v>8</v>
      </c>
    </row>
    <row r="3" spans="2:21" ht="15" thickBot="1" x14ac:dyDescent="0.35">
      <c r="B3" s="29" t="s">
        <v>84</v>
      </c>
      <c r="C3" s="29">
        <v>7</v>
      </c>
      <c r="D3" s="30">
        <f>1380*18.5</f>
        <v>25530</v>
      </c>
    </row>
    <row r="4" spans="2:21" ht="29.4" thickBot="1" x14ac:dyDescent="0.35">
      <c r="B4" s="29" t="s">
        <v>85</v>
      </c>
      <c r="C4" s="29">
        <v>7</v>
      </c>
      <c r="D4" s="30">
        <f>1380*18.5</f>
        <v>25530</v>
      </c>
      <c r="S4" s="1" t="s">
        <v>83</v>
      </c>
      <c r="T4" s="1" t="s">
        <v>8</v>
      </c>
      <c r="U4" s="1" t="s">
        <v>9</v>
      </c>
    </row>
    <row r="5" spans="2:21" ht="29.4" thickBot="1" x14ac:dyDescent="0.35">
      <c r="B5" s="29" t="s">
        <v>86</v>
      </c>
      <c r="C5" s="29">
        <v>6</v>
      </c>
      <c r="D5" s="30">
        <f>1380*18.5</f>
        <v>25530</v>
      </c>
      <c r="S5" s="1" t="s">
        <v>84</v>
      </c>
      <c r="T5" s="1">
        <v>4</v>
      </c>
      <c r="U5" s="1">
        <v>7</v>
      </c>
    </row>
    <row r="6" spans="2:21" ht="15" thickBot="1" x14ac:dyDescent="0.35">
      <c r="B6" s="1" t="s">
        <v>87</v>
      </c>
      <c r="C6" s="1">
        <v>6</v>
      </c>
      <c r="D6" s="15">
        <f>15000*18.5</f>
        <v>277500</v>
      </c>
      <c r="S6" s="1" t="s">
        <v>85</v>
      </c>
      <c r="T6" s="1">
        <v>6</v>
      </c>
      <c r="U6" s="1">
        <v>7</v>
      </c>
    </row>
    <row r="7" spans="2:21" ht="15" thickBot="1" x14ac:dyDescent="0.35">
      <c r="B7" s="29" t="s">
        <v>88</v>
      </c>
      <c r="C7" s="29">
        <v>7</v>
      </c>
      <c r="D7" s="30">
        <f>1380*18.5</f>
        <v>25530</v>
      </c>
      <c r="S7" s="1" t="s">
        <v>86</v>
      </c>
      <c r="T7" s="1">
        <v>2</v>
      </c>
      <c r="U7" s="1">
        <v>6</v>
      </c>
    </row>
    <row r="8" spans="2:21" ht="29.4" thickBot="1" x14ac:dyDescent="0.35">
      <c r="S8" s="1" t="s">
        <v>87</v>
      </c>
      <c r="T8" s="1">
        <v>8</v>
      </c>
      <c r="U8" s="1">
        <v>6</v>
      </c>
    </row>
    <row r="9" spans="2:21" ht="15" thickBot="1" x14ac:dyDescent="0.35">
      <c r="S9" s="1" t="s">
        <v>88</v>
      </c>
      <c r="T9" s="1">
        <v>4</v>
      </c>
      <c r="U9" s="1">
        <v>7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D5A715-A0FA-461A-B281-FE4126D8983E}">
  <dimension ref="A1:C8"/>
  <sheetViews>
    <sheetView zoomScale="61" workbookViewId="0">
      <selection activeCell="Q10" sqref="Q10"/>
    </sheetView>
  </sheetViews>
  <sheetFormatPr defaultRowHeight="14.4" x14ac:dyDescent="0.3"/>
  <sheetData>
    <row r="1" spans="1:3" ht="43.8" thickBot="1" x14ac:dyDescent="0.35">
      <c r="A1" s="4" t="s">
        <v>37</v>
      </c>
      <c r="B1" s="4" t="s">
        <v>16</v>
      </c>
      <c r="C1" s="4" t="s">
        <v>8</v>
      </c>
    </row>
    <row r="2" spans="1:3" ht="15" thickBot="1" x14ac:dyDescent="0.35">
      <c r="A2" s="41" t="s">
        <v>38</v>
      </c>
      <c r="B2" s="41">
        <v>18</v>
      </c>
      <c r="C2" s="42">
        <v>0</v>
      </c>
    </row>
    <row r="3" spans="1:3" ht="15" thickBot="1" x14ac:dyDescent="0.35">
      <c r="A3" s="41" t="s">
        <v>39</v>
      </c>
      <c r="B3" s="41">
        <v>18</v>
      </c>
      <c r="C3" s="42">
        <v>0</v>
      </c>
    </row>
    <row r="4" spans="1:3" ht="43.8" thickBot="1" x14ac:dyDescent="0.35">
      <c r="A4" s="41" t="s">
        <v>40</v>
      </c>
      <c r="B4" s="41">
        <v>17</v>
      </c>
      <c r="C4" s="42">
        <v>0</v>
      </c>
    </row>
    <row r="5" spans="1:3" ht="15" thickBot="1" x14ac:dyDescent="0.35">
      <c r="A5" s="43" t="s">
        <v>13</v>
      </c>
      <c r="B5" s="43">
        <v>16</v>
      </c>
      <c r="C5" s="44">
        <v>0</v>
      </c>
    </row>
    <row r="6" spans="1:3" ht="29.4" thickBot="1" x14ac:dyDescent="0.35">
      <c r="A6" s="4" t="s">
        <v>41</v>
      </c>
      <c r="B6" s="4">
        <v>16</v>
      </c>
      <c r="C6" s="22">
        <v>1250</v>
      </c>
    </row>
    <row r="7" spans="1:3" ht="29.4" thickBot="1" x14ac:dyDescent="0.35">
      <c r="A7" s="4" t="s">
        <v>42</v>
      </c>
      <c r="B7" s="4">
        <v>18</v>
      </c>
      <c r="C7" s="22">
        <f>50*18.5</f>
        <v>925</v>
      </c>
    </row>
    <row r="8" spans="1:3" x14ac:dyDescent="0.3">
      <c r="A8" s="69" t="s">
        <v>242</v>
      </c>
      <c r="B8" s="69"/>
      <c r="C8" s="69"/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FD900E-0902-4537-AB70-4FA063C982EB}">
  <dimension ref="A1:C7"/>
  <sheetViews>
    <sheetView workbookViewId="0">
      <selection activeCell="O6" sqref="O6"/>
    </sheetView>
  </sheetViews>
  <sheetFormatPr defaultRowHeight="14.4" x14ac:dyDescent="0.3"/>
  <cols>
    <col min="3" max="3" width="12.5546875" bestFit="1" customWidth="1"/>
  </cols>
  <sheetData>
    <row r="1" spans="1:3" ht="29.4" thickBot="1" x14ac:dyDescent="0.35">
      <c r="A1" s="4" t="s">
        <v>0</v>
      </c>
      <c r="B1" s="4" t="s">
        <v>2</v>
      </c>
      <c r="C1" s="4" t="s">
        <v>1</v>
      </c>
    </row>
    <row r="2" spans="1:3" ht="29.4" thickBot="1" x14ac:dyDescent="0.35">
      <c r="A2" s="41" t="s">
        <v>43</v>
      </c>
      <c r="B2" s="41">
        <v>18</v>
      </c>
      <c r="C2" s="42">
        <v>0</v>
      </c>
    </row>
    <row r="3" spans="1:3" ht="29.4" thickBot="1" x14ac:dyDescent="0.35">
      <c r="A3" s="41" t="s">
        <v>44</v>
      </c>
      <c r="B3" s="41">
        <v>17</v>
      </c>
      <c r="C3" s="42">
        <v>0</v>
      </c>
    </row>
    <row r="4" spans="1:3" ht="58.2" thickBot="1" x14ac:dyDescent="0.35">
      <c r="A4" s="4" t="s">
        <v>31</v>
      </c>
      <c r="B4" s="4">
        <v>16</v>
      </c>
      <c r="C4" s="22">
        <f>999*18.5</f>
        <v>18481.5</v>
      </c>
    </row>
    <row r="5" spans="1:3" ht="15" thickBot="1" x14ac:dyDescent="0.35">
      <c r="A5" s="4" t="s">
        <v>45</v>
      </c>
      <c r="B5" s="4">
        <v>16</v>
      </c>
      <c r="C5" s="22">
        <f>299*18.5</f>
        <v>5531.5</v>
      </c>
    </row>
    <row r="6" spans="1:3" ht="29.4" thickBot="1" x14ac:dyDescent="0.35">
      <c r="A6" s="41" t="s">
        <v>90</v>
      </c>
      <c r="B6" s="41">
        <v>15</v>
      </c>
      <c r="C6" s="42">
        <v>0</v>
      </c>
    </row>
    <row r="7" spans="1:3" x14ac:dyDescent="0.3">
      <c r="A7" s="125" t="s">
        <v>241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CBE446-D2F1-4FD5-AD51-519CE303AC97}">
  <dimension ref="A1:AL11"/>
  <sheetViews>
    <sheetView topLeftCell="F3" zoomScale="85" zoomScaleNormal="85" workbookViewId="0">
      <selection activeCell="U10" sqref="U10"/>
    </sheetView>
  </sheetViews>
  <sheetFormatPr defaultRowHeight="14.4" x14ac:dyDescent="0.3"/>
  <cols>
    <col min="2" max="2" width="12.6640625" bestFit="1" customWidth="1"/>
    <col min="25" max="25" width="10.6640625" bestFit="1" customWidth="1"/>
    <col min="26" max="26" width="9" bestFit="1" customWidth="1"/>
    <col min="27" max="27" width="14.44140625" bestFit="1" customWidth="1"/>
    <col min="28" max="28" width="16" bestFit="1" customWidth="1"/>
    <col min="29" max="29" width="19.109375" bestFit="1" customWidth="1"/>
    <col min="30" max="30" width="26.5546875" bestFit="1" customWidth="1"/>
    <col min="31" max="31" width="8" bestFit="1" customWidth="1"/>
    <col min="32" max="32" width="10.21875" bestFit="1" customWidth="1"/>
    <col min="33" max="33" width="12.6640625" bestFit="1" customWidth="1"/>
    <col min="34" max="34" width="17.77734375" bestFit="1" customWidth="1"/>
    <col min="35" max="35" width="22.44140625" bestFit="1" customWidth="1"/>
    <col min="36" max="36" width="16" bestFit="1" customWidth="1"/>
    <col min="37" max="37" width="17.6640625" bestFit="1" customWidth="1"/>
    <col min="38" max="38" width="21.33203125" bestFit="1" customWidth="1"/>
  </cols>
  <sheetData>
    <row r="1" spans="1:38" ht="42" thickBot="1" x14ac:dyDescent="0.35">
      <c r="A1" s="2" t="s">
        <v>3</v>
      </c>
      <c r="B1" s="17">
        <f>299*18.5</f>
        <v>5531.5</v>
      </c>
      <c r="C1" s="2">
        <v>4</v>
      </c>
    </row>
    <row r="2" spans="1:38" ht="69.599999999999994" thickBot="1" x14ac:dyDescent="0.4">
      <c r="A2" s="2" t="s">
        <v>4</v>
      </c>
      <c r="B2" s="17">
        <f>1500*18.5</f>
        <v>27750</v>
      </c>
      <c r="C2" s="2">
        <v>2</v>
      </c>
      <c r="Y2" s="76" t="s">
        <v>199</v>
      </c>
      <c r="Z2" s="77" t="s">
        <v>200</v>
      </c>
      <c r="AA2" s="66" t="s">
        <v>210</v>
      </c>
      <c r="AB2" s="66" t="s">
        <v>211</v>
      </c>
      <c r="AC2" s="67" t="s">
        <v>212</v>
      </c>
      <c r="AD2" s="67" t="s">
        <v>230</v>
      </c>
      <c r="AE2" s="78" t="s">
        <v>215</v>
      </c>
      <c r="AF2" s="78" t="s">
        <v>217</v>
      </c>
      <c r="AG2" s="78" t="s">
        <v>226</v>
      </c>
      <c r="AH2" s="53" t="s">
        <v>232</v>
      </c>
      <c r="AI2" s="80" t="s">
        <v>233</v>
      </c>
      <c r="AJ2" s="83" t="s">
        <v>234</v>
      </c>
      <c r="AK2" s="91" t="s">
        <v>235</v>
      </c>
      <c r="AL2" s="92" t="s">
        <v>236</v>
      </c>
    </row>
    <row r="3" spans="1:38" ht="69.599999999999994" thickBot="1" x14ac:dyDescent="0.35">
      <c r="A3" s="2" t="s">
        <v>5</v>
      </c>
      <c r="B3" s="17">
        <f>2499.99*18.5</f>
        <v>46249.814999999995</v>
      </c>
      <c r="C3" s="2">
        <v>3</v>
      </c>
      <c r="Y3" s="72" t="s">
        <v>201</v>
      </c>
      <c r="Z3" s="73">
        <v>6</v>
      </c>
      <c r="AA3" s="74">
        <f>69.99*18.5</f>
        <v>1294.8149999999998</v>
      </c>
      <c r="AB3" s="75">
        <v>148.44</v>
      </c>
      <c r="AC3" s="68" t="s">
        <v>213</v>
      </c>
      <c r="AD3" s="68">
        <v>148.44</v>
      </c>
      <c r="AE3" s="69"/>
      <c r="AF3" s="69"/>
      <c r="AG3" s="69" t="s">
        <v>227</v>
      </c>
      <c r="AH3" s="71">
        <v>746.64</v>
      </c>
      <c r="AI3" s="81">
        <v>448.37</v>
      </c>
      <c r="AJ3" s="84">
        <f>9.99*2*18.5</f>
        <v>369.63</v>
      </c>
      <c r="AK3" s="89">
        <f>AA3+AH3+AJ3</f>
        <v>2411.085</v>
      </c>
      <c r="AL3" s="90">
        <f>AA3+AI3+AJ3</f>
        <v>2112.8150000000001</v>
      </c>
    </row>
    <row r="4" spans="1:38" ht="69.599999999999994" thickBot="1" x14ac:dyDescent="0.35">
      <c r="A4" s="2" t="s">
        <v>6</v>
      </c>
      <c r="B4" s="17">
        <f>280*18.5</f>
        <v>5180</v>
      </c>
      <c r="C4" s="2">
        <v>4</v>
      </c>
      <c r="Y4" s="62" t="s">
        <v>202</v>
      </c>
      <c r="Z4" s="63">
        <v>8</v>
      </c>
      <c r="AA4" s="64">
        <f>250*18.5</f>
        <v>4625</v>
      </c>
      <c r="AB4" s="65">
        <v>60</v>
      </c>
      <c r="AC4" s="68" t="s">
        <v>214</v>
      </c>
      <c r="AD4" s="68">
        <v>60</v>
      </c>
      <c r="AE4" s="69" t="s">
        <v>216</v>
      </c>
      <c r="AF4" s="69" t="s">
        <v>218</v>
      </c>
      <c r="AG4" s="69" t="s">
        <v>228</v>
      </c>
      <c r="AH4" s="71">
        <v>2700.34</v>
      </c>
      <c r="AI4" s="81">
        <v>1621.62</v>
      </c>
      <c r="AJ4" s="84">
        <v>0</v>
      </c>
      <c r="AK4" s="89">
        <f t="shared" ref="AK4:AK10" si="0">AA4+AH4+AJ4</f>
        <v>7325.34</v>
      </c>
      <c r="AL4" s="90">
        <f t="shared" ref="AL4:AL10" si="1">AA4+AI4+AJ4</f>
        <v>6246.62</v>
      </c>
    </row>
    <row r="5" spans="1:38" ht="83.4" thickBot="1" x14ac:dyDescent="0.35">
      <c r="A5" s="2" t="s">
        <v>7</v>
      </c>
      <c r="B5" s="17">
        <f>249*18.5</f>
        <v>4606.5</v>
      </c>
      <c r="C5" s="2">
        <v>4</v>
      </c>
      <c r="Y5" s="62" t="s">
        <v>203</v>
      </c>
      <c r="Z5" s="63">
        <v>7</v>
      </c>
      <c r="AA5" s="64">
        <f>449.95*18.5</f>
        <v>8324.0749999999989</v>
      </c>
      <c r="AB5" s="65">
        <v>69.849999999999994</v>
      </c>
      <c r="AC5" s="68" t="s">
        <v>219</v>
      </c>
      <c r="AD5" s="68">
        <v>80</v>
      </c>
      <c r="AE5" s="69"/>
      <c r="AF5" s="69"/>
      <c r="AG5" s="69" t="s">
        <v>228</v>
      </c>
      <c r="AH5" s="71">
        <v>1659.19</v>
      </c>
      <c r="AI5" s="81">
        <v>996.39</v>
      </c>
      <c r="AJ5" s="84">
        <v>0</v>
      </c>
      <c r="AK5" s="89">
        <f t="shared" si="0"/>
        <v>9983.2649999999994</v>
      </c>
      <c r="AL5" s="90">
        <f t="shared" si="1"/>
        <v>9320.4649999999983</v>
      </c>
    </row>
    <row r="6" spans="1:38" ht="55.2" x14ac:dyDescent="0.3">
      <c r="Y6" s="58" t="s">
        <v>204</v>
      </c>
      <c r="Z6" s="60">
        <v>7</v>
      </c>
      <c r="AA6" s="56">
        <f>399.95*18.5</f>
        <v>7399.0749999999998</v>
      </c>
      <c r="AB6" s="54">
        <v>54.61</v>
      </c>
      <c r="AC6" s="51" t="s">
        <v>220</v>
      </c>
      <c r="AD6" s="51">
        <v>70</v>
      </c>
      <c r="AG6" t="s">
        <v>228</v>
      </c>
      <c r="AH6" s="70"/>
      <c r="AI6" s="82"/>
      <c r="AJ6" s="85"/>
      <c r="AK6" s="93"/>
      <c r="AL6" s="94"/>
    </row>
    <row r="7" spans="1:38" ht="110.4" x14ac:dyDescent="0.3">
      <c r="Y7" s="58" t="s">
        <v>205</v>
      </c>
      <c r="Z7" s="60">
        <v>6</v>
      </c>
      <c r="AA7" s="56">
        <v>1683.36</v>
      </c>
      <c r="AB7" s="54">
        <v>60</v>
      </c>
      <c r="AC7" s="51" t="s">
        <v>221</v>
      </c>
      <c r="AD7" s="51">
        <v>80</v>
      </c>
      <c r="AF7">
        <v>5</v>
      </c>
      <c r="AG7" t="s">
        <v>227</v>
      </c>
      <c r="AH7" s="70"/>
      <c r="AI7" s="82"/>
      <c r="AJ7" s="85"/>
      <c r="AK7" s="93"/>
      <c r="AL7" s="94"/>
    </row>
    <row r="8" spans="1:38" ht="41.4" x14ac:dyDescent="0.3">
      <c r="Y8" s="58" t="s">
        <v>206</v>
      </c>
      <c r="Z8" s="60">
        <v>5</v>
      </c>
      <c r="AA8" s="56">
        <f>28.99*18.5</f>
        <v>536.31499999999994</v>
      </c>
      <c r="AB8" s="54">
        <v>32.799999999999997</v>
      </c>
      <c r="AC8" s="51" t="s">
        <v>222</v>
      </c>
      <c r="AD8" s="51">
        <v>32.799999999999997</v>
      </c>
      <c r="AG8" t="s">
        <v>228</v>
      </c>
      <c r="AH8" s="70"/>
      <c r="AI8" s="82"/>
      <c r="AJ8" s="85"/>
      <c r="AK8" s="93"/>
      <c r="AL8" s="94"/>
    </row>
    <row r="9" spans="1:38" ht="41.4" x14ac:dyDescent="0.3">
      <c r="Y9" s="62" t="s">
        <v>207</v>
      </c>
      <c r="Z9" s="63">
        <v>5</v>
      </c>
      <c r="AA9" s="64">
        <f>599.99*18.5</f>
        <v>11099.815000000001</v>
      </c>
      <c r="AB9" s="65">
        <v>24</v>
      </c>
      <c r="AC9" s="68" t="s">
        <v>223</v>
      </c>
      <c r="AD9" s="68">
        <v>150</v>
      </c>
      <c r="AE9" s="69"/>
      <c r="AF9" s="69"/>
      <c r="AG9" s="69" t="s">
        <v>229</v>
      </c>
      <c r="AH9" s="71">
        <v>3555.19</v>
      </c>
      <c r="AI9" s="81">
        <v>2134.98</v>
      </c>
      <c r="AJ9" s="84">
        <f>800*4</f>
        <v>3200</v>
      </c>
      <c r="AK9" s="89">
        <f t="shared" si="0"/>
        <v>17855.005000000001</v>
      </c>
      <c r="AL9" s="90">
        <f t="shared" si="1"/>
        <v>16434.794999999998</v>
      </c>
    </row>
    <row r="10" spans="1:38" ht="41.4" x14ac:dyDescent="0.3">
      <c r="Y10" s="62" t="s">
        <v>208</v>
      </c>
      <c r="Z10" s="63">
        <v>7</v>
      </c>
      <c r="AA10" s="64">
        <f>399.99*18.5</f>
        <v>7399.8150000000005</v>
      </c>
      <c r="AB10" s="65">
        <v>81</v>
      </c>
      <c r="AC10" s="68" t="s">
        <v>225</v>
      </c>
      <c r="AD10" s="68">
        <v>146</v>
      </c>
      <c r="AE10" s="69"/>
      <c r="AF10" s="69"/>
      <c r="AG10" s="69" t="s">
        <v>229</v>
      </c>
      <c r="AH10" s="71">
        <v>1591.74</v>
      </c>
      <c r="AI10" s="81">
        <v>955.88</v>
      </c>
      <c r="AJ10" s="84">
        <f>800*4</f>
        <v>3200</v>
      </c>
      <c r="AK10" s="89">
        <f t="shared" si="0"/>
        <v>12191.555</v>
      </c>
      <c r="AL10" s="90">
        <f t="shared" si="1"/>
        <v>11555.695</v>
      </c>
    </row>
    <row r="11" spans="1:38" ht="28.2" thickBot="1" x14ac:dyDescent="0.35">
      <c r="Y11" s="59" t="s">
        <v>209</v>
      </c>
      <c r="Z11" s="61">
        <v>7</v>
      </c>
      <c r="AA11" s="57">
        <f>299.95*18.5</f>
        <v>5549.0749999999998</v>
      </c>
      <c r="AB11" s="55">
        <f>135/2</f>
        <v>67.5</v>
      </c>
      <c r="AC11" s="52" t="s">
        <v>224</v>
      </c>
      <c r="AD11" s="52">
        <v>80</v>
      </c>
      <c r="AG11" t="s">
        <v>231</v>
      </c>
      <c r="AH11" s="52"/>
      <c r="AI11" s="79"/>
      <c r="AJ11" s="86"/>
      <c r="AK11" s="95"/>
      <c r="AL11" s="96"/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29044-A6CB-439E-B651-35D475DA162C}">
  <dimension ref="A1:N9"/>
  <sheetViews>
    <sheetView topLeftCell="I4" zoomScale="70" zoomScaleNormal="70" workbookViewId="0">
      <selection activeCell="S6" sqref="S6"/>
    </sheetView>
  </sheetViews>
  <sheetFormatPr defaultRowHeight="14.4" x14ac:dyDescent="0.3"/>
  <cols>
    <col min="2" max="2" width="11.33203125" bestFit="1" customWidth="1"/>
    <col min="3" max="3" width="14.44140625" bestFit="1" customWidth="1"/>
    <col min="4" max="4" width="16" bestFit="1" customWidth="1"/>
    <col min="5" max="5" width="18.77734375" bestFit="1" customWidth="1"/>
    <col min="6" max="6" width="25.77734375" bestFit="1" customWidth="1"/>
    <col min="7" max="7" width="8" bestFit="1" customWidth="1"/>
    <col min="8" max="8" width="10.21875" bestFit="1" customWidth="1"/>
    <col min="9" max="9" width="12.6640625" bestFit="1" customWidth="1"/>
    <col min="10" max="10" width="17.77734375" bestFit="1" customWidth="1"/>
    <col min="11" max="11" width="17.109375" bestFit="1" customWidth="1"/>
    <col min="12" max="12" width="12.33203125" bestFit="1" customWidth="1"/>
    <col min="13" max="13" width="17.6640625" bestFit="1" customWidth="1"/>
    <col min="14" max="14" width="21.33203125" bestFit="1" customWidth="1"/>
  </cols>
  <sheetData>
    <row r="1" spans="1:14" ht="31.8" thickBot="1" x14ac:dyDescent="0.4">
      <c r="A1" s="76" t="s">
        <v>199</v>
      </c>
      <c r="B1" s="77" t="s">
        <v>200</v>
      </c>
      <c r="C1" s="66" t="s">
        <v>210</v>
      </c>
      <c r="D1" s="66" t="s">
        <v>211</v>
      </c>
      <c r="E1" s="67" t="s">
        <v>212</v>
      </c>
      <c r="F1" s="67" t="s">
        <v>230</v>
      </c>
      <c r="G1" s="78" t="s">
        <v>215</v>
      </c>
      <c r="H1" s="78" t="s">
        <v>217</v>
      </c>
      <c r="I1" s="78" t="s">
        <v>226</v>
      </c>
      <c r="J1" s="53" t="s">
        <v>232</v>
      </c>
      <c r="K1" s="80" t="s">
        <v>233</v>
      </c>
      <c r="L1" s="83" t="s">
        <v>234</v>
      </c>
      <c r="M1" s="91" t="s">
        <v>235</v>
      </c>
      <c r="N1" s="92" t="s">
        <v>236</v>
      </c>
    </row>
    <row r="2" spans="1:14" ht="69" x14ac:dyDescent="0.3">
      <c r="A2" s="106" t="s">
        <v>201</v>
      </c>
      <c r="B2" s="107">
        <v>6</v>
      </c>
      <c r="C2" s="108">
        <f>69.99*18.5</f>
        <v>1294.8149999999998</v>
      </c>
      <c r="D2" s="109">
        <v>148.44</v>
      </c>
      <c r="E2" s="110" t="s">
        <v>213</v>
      </c>
      <c r="F2" s="110">
        <v>148.44</v>
      </c>
      <c r="G2" s="111"/>
      <c r="H2" s="111"/>
      <c r="I2" s="111" t="s">
        <v>227</v>
      </c>
      <c r="J2" s="112">
        <v>746.64</v>
      </c>
      <c r="K2" s="113">
        <v>448.37</v>
      </c>
      <c r="L2" s="114">
        <f>9.99*2*18.5</f>
        <v>369.63</v>
      </c>
      <c r="M2" s="115">
        <f>C2+J2+L2</f>
        <v>2411.085</v>
      </c>
      <c r="N2" s="116">
        <f>C2+K2+L2</f>
        <v>2112.8150000000001</v>
      </c>
    </row>
    <row r="3" spans="1:14" ht="69" x14ac:dyDescent="0.3">
      <c r="A3" s="62" t="s">
        <v>202</v>
      </c>
      <c r="B3" s="63">
        <v>8</v>
      </c>
      <c r="C3" s="64">
        <f>250*18.5</f>
        <v>4625</v>
      </c>
      <c r="D3" s="65">
        <v>60</v>
      </c>
      <c r="E3" s="68" t="s">
        <v>214</v>
      </c>
      <c r="F3" s="68">
        <v>60</v>
      </c>
      <c r="G3" s="69" t="s">
        <v>216</v>
      </c>
      <c r="H3" s="69" t="s">
        <v>218</v>
      </c>
      <c r="I3" s="69" t="s">
        <v>228</v>
      </c>
      <c r="J3" s="71">
        <v>2700.34</v>
      </c>
      <c r="K3" s="81">
        <v>1621.62</v>
      </c>
      <c r="L3" s="84">
        <v>0</v>
      </c>
      <c r="M3" s="87">
        <f>C3+J3+L3</f>
        <v>7325.34</v>
      </c>
      <c r="N3" s="88">
        <f>C3+K3+L3</f>
        <v>6246.62</v>
      </c>
    </row>
    <row r="4" spans="1:14" ht="82.8" x14ac:dyDescent="0.3">
      <c r="A4" s="62" t="s">
        <v>203</v>
      </c>
      <c r="B4" s="63">
        <v>7</v>
      </c>
      <c r="C4" s="64">
        <f>449.95*18.5</f>
        <v>8324.0749999999989</v>
      </c>
      <c r="D4" s="65">
        <v>69.849999999999994</v>
      </c>
      <c r="E4" s="68" t="s">
        <v>219</v>
      </c>
      <c r="F4" s="68">
        <v>80</v>
      </c>
      <c r="G4" s="69"/>
      <c r="H4" s="69"/>
      <c r="I4" s="69" t="s">
        <v>228</v>
      </c>
      <c r="J4" s="71">
        <v>1659.19</v>
      </c>
      <c r="K4" s="81">
        <v>996.39</v>
      </c>
      <c r="L4" s="84">
        <v>0</v>
      </c>
      <c r="M4" s="87">
        <f>C4+J4+L4</f>
        <v>9983.2649999999994</v>
      </c>
      <c r="N4" s="88">
        <f>C4+K4+L4</f>
        <v>9320.4649999999983</v>
      </c>
    </row>
    <row r="5" spans="1:14" ht="41.4" x14ac:dyDescent="0.3">
      <c r="A5" s="117" t="s">
        <v>207</v>
      </c>
      <c r="B5" s="118">
        <v>5</v>
      </c>
      <c r="C5" s="119">
        <f>599.99*18.5</f>
        <v>11099.815000000001</v>
      </c>
      <c r="D5" s="120">
        <v>24</v>
      </c>
      <c r="E5" s="110" t="s">
        <v>223</v>
      </c>
      <c r="F5" s="110">
        <v>150</v>
      </c>
      <c r="G5" s="111"/>
      <c r="H5" s="111"/>
      <c r="I5" s="111" t="s">
        <v>229</v>
      </c>
      <c r="J5" s="112">
        <v>3555.19</v>
      </c>
      <c r="K5" s="113">
        <v>2134.98</v>
      </c>
      <c r="L5" s="114">
        <f>800*4</f>
        <v>3200</v>
      </c>
      <c r="M5" s="115">
        <f>C5+J5+L5</f>
        <v>17855.005000000001</v>
      </c>
      <c r="N5" s="116">
        <f>C5+K5+L5</f>
        <v>16434.794999999998</v>
      </c>
    </row>
    <row r="6" spans="1:14" ht="55.8" thickBot="1" x14ac:dyDescent="0.35">
      <c r="A6" s="97" t="s">
        <v>208</v>
      </c>
      <c r="B6" s="98">
        <v>7</v>
      </c>
      <c r="C6" s="99">
        <f>399.99*18.5</f>
        <v>7399.8150000000005</v>
      </c>
      <c r="D6" s="100">
        <v>81</v>
      </c>
      <c r="E6" s="101" t="s">
        <v>225</v>
      </c>
      <c r="F6" s="101">
        <v>146</v>
      </c>
      <c r="G6" s="102"/>
      <c r="H6" s="102"/>
      <c r="I6" s="102" t="s">
        <v>229</v>
      </c>
      <c r="J6" s="103">
        <v>1591.74</v>
      </c>
      <c r="K6" s="104">
        <v>955.88</v>
      </c>
      <c r="L6" s="105">
        <f>800*4</f>
        <v>3200</v>
      </c>
      <c r="M6" s="121">
        <f>C6+J6+L6</f>
        <v>12191.555</v>
      </c>
      <c r="N6" s="122">
        <f>C6+K6+L6</f>
        <v>11555.695</v>
      </c>
    </row>
    <row r="7" spans="1:14" x14ac:dyDescent="0.3">
      <c r="N7" s="123"/>
    </row>
    <row r="9" spans="1:14" x14ac:dyDescent="0.3">
      <c r="K9">
        <f>J6/K6</f>
        <v>1.6652090220529774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B3CCAE-09D8-40C2-B973-E40A5A1ABCC2}">
  <dimension ref="A1:C5"/>
  <sheetViews>
    <sheetView workbookViewId="0">
      <selection activeCell="A2" sqref="A2"/>
    </sheetView>
  </sheetViews>
  <sheetFormatPr defaultRowHeight="14.4" x14ac:dyDescent="0.3"/>
  <cols>
    <col min="2" max="2" width="11.6640625" bestFit="1" customWidth="1"/>
  </cols>
  <sheetData>
    <row r="1" spans="1:3" ht="28.2" thickBot="1" x14ac:dyDescent="0.35">
      <c r="A1" s="5" t="s">
        <v>46</v>
      </c>
      <c r="B1" s="5" t="s">
        <v>1</v>
      </c>
      <c r="C1" s="5" t="s">
        <v>2</v>
      </c>
    </row>
    <row r="2" spans="1:3" ht="69.599999999999994" thickBot="1" x14ac:dyDescent="0.35">
      <c r="A2" s="2" t="s">
        <v>47</v>
      </c>
      <c r="B2" s="17">
        <f>(25.95*18.5)*4</f>
        <v>1920.3</v>
      </c>
      <c r="C2" s="2">
        <v>4</v>
      </c>
    </row>
    <row r="3" spans="1:3" ht="69.599999999999994" thickBot="1" x14ac:dyDescent="0.35">
      <c r="A3" s="2" t="s">
        <v>48</v>
      </c>
      <c r="B3" s="17">
        <f>(21.95*4)*18.5</f>
        <v>1624.3</v>
      </c>
      <c r="C3" s="2">
        <v>3</v>
      </c>
    </row>
    <row r="4" spans="1:3" ht="55.8" thickBot="1" x14ac:dyDescent="0.35">
      <c r="A4" s="2" t="s">
        <v>49</v>
      </c>
      <c r="B4" s="17">
        <f>45.99*18.5*4</f>
        <v>3403.26</v>
      </c>
      <c r="C4" s="2">
        <v>3</v>
      </c>
    </row>
    <row r="5" spans="1:3" ht="69.599999999999994" thickBot="1" x14ac:dyDescent="0.35">
      <c r="A5" s="2" t="s">
        <v>50</v>
      </c>
      <c r="B5" s="17">
        <f>17*18.5*4</f>
        <v>1258</v>
      </c>
      <c r="C5" s="2">
        <v>2</v>
      </c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BDEF78-A2EC-451A-87B8-E6D95D97B441}">
  <dimension ref="A1:AD7"/>
  <sheetViews>
    <sheetView topLeftCell="AD5" zoomScale="130" zoomScaleNormal="130" workbookViewId="0">
      <selection activeCell="AQ6" sqref="AQ6"/>
    </sheetView>
  </sheetViews>
  <sheetFormatPr defaultRowHeight="14.4" x14ac:dyDescent="0.3"/>
  <sheetData>
    <row r="1" spans="1:30" ht="28.2" thickBot="1" x14ac:dyDescent="0.35">
      <c r="A1" s="141" t="s">
        <v>51</v>
      </c>
      <c r="B1" s="141" t="s">
        <v>1</v>
      </c>
      <c r="C1" s="13" t="s">
        <v>2</v>
      </c>
      <c r="D1" s="142" t="s">
        <v>244</v>
      </c>
      <c r="E1" s="142" t="s">
        <v>245</v>
      </c>
      <c r="F1" s="142" t="s">
        <v>246</v>
      </c>
      <c r="G1" s="142" t="s">
        <v>247</v>
      </c>
      <c r="H1" s="127" t="s">
        <v>252</v>
      </c>
      <c r="I1" s="127" t="s">
        <v>253</v>
      </c>
    </row>
    <row r="2" spans="1:30" ht="41.4" x14ac:dyDescent="0.3">
      <c r="A2" s="143" t="s">
        <v>243</v>
      </c>
      <c r="B2" s="144">
        <v>2809.07</v>
      </c>
      <c r="C2" s="144">
        <v>6</v>
      </c>
      <c r="D2" s="145" t="s">
        <v>248</v>
      </c>
      <c r="E2" s="145" t="s">
        <v>249</v>
      </c>
      <c r="F2" s="144">
        <v>1765.2</v>
      </c>
      <c r="G2" s="144">
        <v>12</v>
      </c>
      <c r="H2" s="144">
        <v>58</v>
      </c>
      <c r="I2" s="146">
        <v>1.5</v>
      </c>
    </row>
    <row r="3" spans="1:30" x14ac:dyDescent="0.3">
      <c r="A3" s="147" t="s">
        <v>276</v>
      </c>
      <c r="B3" s="129">
        <v>2714.67</v>
      </c>
      <c r="C3" s="129">
        <v>6</v>
      </c>
      <c r="D3" s="126" t="s">
        <v>248</v>
      </c>
      <c r="E3" s="126" t="s">
        <v>249</v>
      </c>
      <c r="F3" s="126">
        <v>1863.26</v>
      </c>
      <c r="G3" s="126" t="s">
        <v>250</v>
      </c>
      <c r="H3" s="126">
        <v>33</v>
      </c>
      <c r="I3" s="148">
        <v>1.6</v>
      </c>
    </row>
    <row r="4" spans="1:30" ht="179.4" x14ac:dyDescent="0.3">
      <c r="A4" s="149" t="s">
        <v>277</v>
      </c>
      <c r="B4" s="137">
        <v>1287.95</v>
      </c>
      <c r="C4" s="137">
        <v>18</v>
      </c>
      <c r="D4" s="128" t="s">
        <v>248</v>
      </c>
      <c r="E4" s="128" t="s">
        <v>249</v>
      </c>
      <c r="F4" s="128" t="s">
        <v>278</v>
      </c>
      <c r="G4" s="128" t="s">
        <v>250</v>
      </c>
      <c r="H4" s="128">
        <v>24</v>
      </c>
      <c r="I4" s="150">
        <v>2.81</v>
      </c>
      <c r="AA4" s="8" t="s">
        <v>245</v>
      </c>
      <c r="AB4" s="8" t="s">
        <v>304</v>
      </c>
      <c r="AC4" s="8" t="s">
        <v>53</v>
      </c>
      <c r="AD4" s="8" t="s">
        <v>304</v>
      </c>
    </row>
    <row r="5" spans="1:30" ht="179.4" x14ac:dyDescent="0.3">
      <c r="A5" s="149" t="s">
        <v>279</v>
      </c>
      <c r="B5" s="137">
        <v>837.28</v>
      </c>
      <c r="C5" s="137">
        <v>18</v>
      </c>
      <c r="D5" s="128" t="s">
        <v>248</v>
      </c>
      <c r="E5" s="128" t="s">
        <v>249</v>
      </c>
      <c r="F5" s="137">
        <v>1.8</v>
      </c>
      <c r="G5" s="128">
        <v>12</v>
      </c>
      <c r="H5" s="128">
        <v>116</v>
      </c>
      <c r="I5" s="150">
        <v>5.5</v>
      </c>
      <c r="AA5" s="165" t="s">
        <v>305</v>
      </c>
      <c r="AB5" s="165">
        <v>70</v>
      </c>
      <c r="AC5" s="165">
        <v>1200</v>
      </c>
      <c r="AD5" s="165">
        <v>70</v>
      </c>
    </row>
    <row r="6" spans="1:30" ht="180" thickBot="1" x14ac:dyDescent="0.35">
      <c r="A6" s="151" t="s">
        <v>280</v>
      </c>
      <c r="B6" s="152">
        <v>1391.47</v>
      </c>
      <c r="C6" s="152">
        <v>18</v>
      </c>
      <c r="D6" s="153" t="s">
        <v>248</v>
      </c>
      <c r="E6" s="153" t="s">
        <v>249</v>
      </c>
      <c r="F6" s="153">
        <v>2</v>
      </c>
      <c r="G6" s="153">
        <v>55</v>
      </c>
      <c r="H6" s="153" t="s">
        <v>251</v>
      </c>
      <c r="I6" s="154">
        <v>5.5</v>
      </c>
      <c r="AA6" s="165" t="s">
        <v>306</v>
      </c>
      <c r="AB6" s="165">
        <v>90</v>
      </c>
      <c r="AC6" s="165">
        <v>800</v>
      </c>
      <c r="AD6" s="165">
        <v>90</v>
      </c>
    </row>
    <row r="7" spans="1:30" ht="28.8" x14ac:dyDescent="0.3">
      <c r="AA7" s="165" t="s">
        <v>307</v>
      </c>
      <c r="AB7" s="165">
        <v>80</v>
      </c>
      <c r="AC7" s="165">
        <v>1500</v>
      </c>
      <c r="AD7" s="165">
        <v>80</v>
      </c>
    </row>
  </sheetData>
  <hyperlinks>
    <hyperlink ref="A3" r:id="rId1" display="https://www.digikey.co.za/en/products/detail/isl-products-international/MOT-IG-30GM-1-189/16553983" xr:uid="{3511CB41-FE90-4A4C-8A42-254A704F90AA}"/>
  </hyperlinks>
  <pageMargins left="0.7" right="0.7" top="0.75" bottom="0.75" header="0.3" footer="0.3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BF4819-1F29-4315-8565-FF1F8BD1DD31}">
  <dimension ref="A1"/>
  <sheetViews>
    <sheetView zoomScale="40" zoomScaleNormal="40" workbookViewId="0"/>
  </sheetViews>
  <sheetFormatPr defaultRowHeight="14.4" x14ac:dyDescent="0.3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3EBC82-532A-481C-88D7-3F8F1D6ADAD1}">
  <dimension ref="A1:C6"/>
  <sheetViews>
    <sheetView zoomScale="67" workbookViewId="0">
      <selection activeCell="T11" sqref="T11"/>
    </sheetView>
  </sheetViews>
  <sheetFormatPr defaultRowHeight="14.4" x14ac:dyDescent="0.3"/>
  <cols>
    <col min="2" max="2" width="12.21875" bestFit="1" customWidth="1"/>
  </cols>
  <sheetData>
    <row r="1" spans="1:3" ht="28.8" x14ac:dyDescent="0.3">
      <c r="A1" s="9" t="s">
        <v>52</v>
      </c>
      <c r="B1" s="9" t="s">
        <v>53</v>
      </c>
      <c r="C1" s="9" t="s">
        <v>2</v>
      </c>
    </row>
    <row r="2" spans="1:3" ht="57.6" x14ac:dyDescent="0.3">
      <c r="A2" s="10" t="s">
        <v>54</v>
      </c>
      <c r="B2" s="10">
        <v>4000</v>
      </c>
      <c r="C2" s="10">
        <v>4</v>
      </c>
    </row>
    <row r="3" spans="1:3" ht="57.6" x14ac:dyDescent="0.3">
      <c r="A3" s="10" t="s">
        <v>55</v>
      </c>
      <c r="B3" s="166">
        <v>3250</v>
      </c>
      <c r="C3" s="10">
        <v>4</v>
      </c>
    </row>
    <row r="4" spans="1:3" ht="43.2" x14ac:dyDescent="0.3">
      <c r="A4" s="10" t="s">
        <v>56</v>
      </c>
      <c r="B4" s="166">
        <v>2250</v>
      </c>
      <c r="C4" s="10">
        <v>5</v>
      </c>
    </row>
    <row r="5" spans="1:3" ht="43.2" x14ac:dyDescent="0.3">
      <c r="A5" s="10" t="s">
        <v>57</v>
      </c>
      <c r="B5" s="166">
        <v>6500</v>
      </c>
      <c r="C5" s="10">
        <v>3</v>
      </c>
    </row>
    <row r="6" spans="1:3" ht="57.6" x14ac:dyDescent="0.3">
      <c r="A6" s="10" t="s">
        <v>58</v>
      </c>
      <c r="B6" s="166">
        <v>1500</v>
      </c>
      <c r="C6" s="10">
        <v>5</v>
      </c>
    </row>
  </sheetData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7C57C-7957-45C2-B9F8-5AE54ED2E917}">
  <dimension ref="A1:E7"/>
  <sheetViews>
    <sheetView topLeftCell="A4" zoomScale="70" zoomScaleNormal="70" workbookViewId="0">
      <selection activeCell="T11" sqref="T11"/>
    </sheetView>
  </sheetViews>
  <sheetFormatPr defaultRowHeight="14.4" x14ac:dyDescent="0.3"/>
  <cols>
    <col min="1" max="1" width="9.6640625" bestFit="1" customWidth="1"/>
    <col min="2" max="2" width="5.6640625" bestFit="1" customWidth="1"/>
    <col min="3" max="3" width="8.77734375" bestFit="1" customWidth="1"/>
    <col min="4" max="4" width="19.6640625" bestFit="1" customWidth="1"/>
  </cols>
  <sheetData>
    <row r="1" spans="1:5" ht="28.8" x14ac:dyDescent="0.3">
      <c r="A1" s="8" t="s">
        <v>59</v>
      </c>
      <c r="B1" s="8" t="s">
        <v>53</v>
      </c>
      <c r="C1" s="8" t="s">
        <v>2</v>
      </c>
      <c r="D1" s="8" t="s">
        <v>282</v>
      </c>
    </row>
    <row r="2" spans="1:5" ht="216.6" x14ac:dyDescent="0.3">
      <c r="A2" s="155" t="s">
        <v>281</v>
      </c>
      <c r="B2" s="156">
        <v>995</v>
      </c>
      <c r="C2" s="156">
        <v>16</v>
      </c>
      <c r="D2" s="128" t="s">
        <v>288</v>
      </c>
    </row>
    <row r="3" spans="1:5" ht="158.4" x14ac:dyDescent="0.3">
      <c r="A3" s="157" t="s">
        <v>283</v>
      </c>
      <c r="B3" s="10">
        <v>4995</v>
      </c>
      <c r="C3" s="10">
        <v>12</v>
      </c>
      <c r="D3" s="126" t="s">
        <v>291</v>
      </c>
      <c r="E3" t="s">
        <v>285</v>
      </c>
    </row>
    <row r="4" spans="1:5" ht="115.2" x14ac:dyDescent="0.3">
      <c r="A4" s="156" t="s">
        <v>284</v>
      </c>
      <c r="B4" s="156">
        <v>2995</v>
      </c>
      <c r="C4" s="156">
        <v>15</v>
      </c>
      <c r="D4" s="128" t="s">
        <v>292</v>
      </c>
    </row>
    <row r="5" spans="1:5" ht="228" x14ac:dyDescent="0.3">
      <c r="A5" s="155" t="s">
        <v>286</v>
      </c>
      <c r="B5" s="156">
        <v>2495</v>
      </c>
      <c r="C5" s="128">
        <v>16</v>
      </c>
      <c r="D5" s="128" t="s">
        <v>293</v>
      </c>
    </row>
    <row r="6" spans="1:5" ht="105.6" x14ac:dyDescent="0.3">
      <c r="A6" s="157" t="s">
        <v>287</v>
      </c>
      <c r="B6" s="10">
        <v>1396</v>
      </c>
      <c r="C6" s="10">
        <v>13</v>
      </c>
      <c r="D6" s="126" t="s">
        <v>294</v>
      </c>
    </row>
    <row r="7" spans="1:5" ht="92.4" x14ac:dyDescent="0.3">
      <c r="A7" s="158" t="s">
        <v>290</v>
      </c>
      <c r="B7" s="156">
        <v>1261</v>
      </c>
      <c r="C7" s="156">
        <v>14</v>
      </c>
      <c r="D7" s="128" t="s">
        <v>289</v>
      </c>
    </row>
  </sheetData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4074AF-1B49-4FCF-9A68-56C22CC75FED}">
  <dimension ref="A1:Y11"/>
  <sheetViews>
    <sheetView topLeftCell="D4" zoomScale="130" zoomScaleNormal="130" workbookViewId="0">
      <selection activeCell="O8" sqref="O8"/>
    </sheetView>
  </sheetViews>
  <sheetFormatPr defaultRowHeight="14.4" x14ac:dyDescent="0.3"/>
  <cols>
    <col min="2" max="2" width="11.88671875" bestFit="1" customWidth="1"/>
  </cols>
  <sheetData>
    <row r="1" spans="1:25" ht="42" thickBot="1" x14ac:dyDescent="0.35">
      <c r="A1" s="5" t="s">
        <v>60</v>
      </c>
      <c r="B1" s="5" t="s">
        <v>93</v>
      </c>
      <c r="C1" s="5" t="s">
        <v>107</v>
      </c>
    </row>
    <row r="2" spans="1:25" ht="42" thickBot="1" x14ac:dyDescent="0.35">
      <c r="A2" s="37" t="s">
        <v>94</v>
      </c>
      <c r="B2" s="167">
        <v>750</v>
      </c>
      <c r="C2" s="37">
        <v>18</v>
      </c>
      <c r="W2" s="5" t="s">
        <v>60</v>
      </c>
      <c r="X2" s="5" t="s">
        <v>93</v>
      </c>
      <c r="Y2" s="5" t="s">
        <v>107</v>
      </c>
    </row>
    <row r="3" spans="1:25" ht="42" thickBot="1" x14ac:dyDescent="0.35">
      <c r="A3" s="5" t="s">
        <v>61</v>
      </c>
      <c r="B3" s="168">
        <v>1500</v>
      </c>
      <c r="C3" s="5">
        <v>15</v>
      </c>
      <c r="W3" s="5" t="s">
        <v>94</v>
      </c>
      <c r="X3" s="5" t="s">
        <v>96</v>
      </c>
      <c r="Y3" s="5">
        <v>18</v>
      </c>
    </row>
    <row r="4" spans="1:25" ht="42" thickBot="1" x14ac:dyDescent="0.35">
      <c r="A4" s="5" t="s">
        <v>62</v>
      </c>
      <c r="B4" s="168">
        <v>1750</v>
      </c>
      <c r="C4" s="5">
        <v>12</v>
      </c>
      <c r="W4" s="5" t="s">
        <v>61</v>
      </c>
      <c r="X4" s="5" t="s">
        <v>97</v>
      </c>
      <c r="Y4" s="5">
        <v>15</v>
      </c>
    </row>
    <row r="5" spans="1:25" ht="42" thickBot="1" x14ac:dyDescent="0.35">
      <c r="A5" s="37" t="s">
        <v>99</v>
      </c>
      <c r="B5" s="167">
        <v>600</v>
      </c>
      <c r="C5" s="37">
        <v>16</v>
      </c>
      <c r="W5" s="5" t="s">
        <v>62</v>
      </c>
      <c r="X5" s="5" t="s">
        <v>98</v>
      </c>
      <c r="Y5" s="5">
        <v>12</v>
      </c>
    </row>
    <row r="6" spans="1:25" ht="55.8" thickBot="1" x14ac:dyDescent="0.35">
      <c r="A6" s="5" t="s">
        <v>63</v>
      </c>
      <c r="B6" s="168">
        <v>4000</v>
      </c>
      <c r="C6" s="5">
        <v>10</v>
      </c>
      <c r="W6" s="5" t="s">
        <v>99</v>
      </c>
      <c r="X6" s="5" t="s">
        <v>100</v>
      </c>
      <c r="Y6" s="5">
        <v>16</v>
      </c>
    </row>
    <row r="7" spans="1:25" ht="55.8" thickBot="1" x14ac:dyDescent="0.35">
      <c r="A7" s="5" t="s">
        <v>102</v>
      </c>
      <c r="B7" s="168">
        <v>950</v>
      </c>
      <c r="C7" s="5">
        <v>14</v>
      </c>
      <c r="W7" s="5" t="s">
        <v>63</v>
      </c>
      <c r="X7" s="5" t="s">
        <v>101</v>
      </c>
      <c r="Y7" s="5">
        <v>10</v>
      </c>
    </row>
    <row r="8" spans="1:25" ht="42" thickBot="1" x14ac:dyDescent="0.35">
      <c r="A8" s="37" t="s">
        <v>104</v>
      </c>
      <c r="B8" s="167">
        <v>750</v>
      </c>
      <c r="C8" s="37">
        <v>17</v>
      </c>
      <c r="W8" s="5" t="s">
        <v>102</v>
      </c>
      <c r="X8" s="5" t="s">
        <v>103</v>
      </c>
      <c r="Y8" s="5">
        <v>14</v>
      </c>
    </row>
    <row r="9" spans="1:25" ht="55.8" thickBot="1" x14ac:dyDescent="0.35">
      <c r="A9" s="37" t="s">
        <v>105</v>
      </c>
      <c r="B9" s="167">
        <v>900</v>
      </c>
      <c r="C9" s="37">
        <v>16</v>
      </c>
      <c r="W9" s="5" t="s">
        <v>104</v>
      </c>
      <c r="X9" s="5" t="s">
        <v>96</v>
      </c>
      <c r="Y9" s="5">
        <v>17</v>
      </c>
    </row>
    <row r="10" spans="1:25" ht="55.8" thickBot="1" x14ac:dyDescent="0.35">
      <c r="W10" s="5" t="s">
        <v>105</v>
      </c>
      <c r="X10" s="5" t="s">
        <v>106</v>
      </c>
      <c r="Y10" s="5">
        <v>16</v>
      </c>
    </row>
    <row r="11" spans="1:25" x14ac:dyDescent="0.3">
      <c r="W11" s="25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2F67DB-F692-4792-8F3B-DB1339FA493E}">
  <dimension ref="A1:K23"/>
  <sheetViews>
    <sheetView tabSelected="1" workbookViewId="0">
      <selection activeCell="I16" sqref="I16"/>
    </sheetView>
  </sheetViews>
  <sheetFormatPr defaultRowHeight="14.4" x14ac:dyDescent="0.3"/>
  <cols>
    <col min="1" max="1" width="12.6640625" bestFit="1" customWidth="1"/>
    <col min="2" max="2" width="10.44140625" bestFit="1" customWidth="1"/>
    <col min="3" max="3" width="11.21875" bestFit="1" customWidth="1"/>
    <col min="6" max="6" width="10.44140625" bestFit="1" customWidth="1"/>
    <col min="9" max="9" width="10.44140625" bestFit="1" customWidth="1"/>
  </cols>
  <sheetData>
    <row r="1" spans="1:11" x14ac:dyDescent="0.3">
      <c r="A1" t="s">
        <v>295</v>
      </c>
      <c r="E1" t="s">
        <v>296</v>
      </c>
      <c r="I1" s="159" t="s">
        <v>297</v>
      </c>
      <c r="J1" s="160"/>
    </row>
    <row r="2" spans="1:11" ht="15" thickBot="1" x14ac:dyDescent="0.35">
      <c r="A2" t="s">
        <v>273</v>
      </c>
      <c r="B2" t="s">
        <v>308</v>
      </c>
      <c r="E2" t="s">
        <v>273</v>
      </c>
      <c r="F2" t="s">
        <v>313</v>
      </c>
      <c r="I2" s="161" t="s">
        <v>273</v>
      </c>
      <c r="J2" s="162" t="s">
        <v>313</v>
      </c>
    </row>
    <row r="3" spans="1:11" x14ac:dyDescent="0.3">
      <c r="A3" s="169">
        <v>1000</v>
      </c>
      <c r="B3" s="126">
        <v>501</v>
      </c>
      <c r="C3">
        <f>A3*B3</f>
        <v>501000</v>
      </c>
      <c r="E3" s="126">
        <v>2500</v>
      </c>
      <c r="F3" s="126">
        <v>68</v>
      </c>
      <c r="G3">
        <f>E3*F3</f>
        <v>170000</v>
      </c>
      <c r="I3" s="126">
        <v>2500</v>
      </c>
      <c r="J3" s="126">
        <v>1</v>
      </c>
      <c r="K3" s="160">
        <f>I3*J3</f>
        <v>2500</v>
      </c>
    </row>
    <row r="4" spans="1:11" x14ac:dyDescent="0.3">
      <c r="A4" s="169">
        <v>2500</v>
      </c>
      <c r="B4" s="126">
        <v>297</v>
      </c>
      <c r="C4">
        <f t="shared" ref="C4:C6" si="0">A4*B4</f>
        <v>742500</v>
      </c>
      <c r="E4" s="126">
        <v>3500</v>
      </c>
      <c r="F4" s="126">
        <v>118</v>
      </c>
      <c r="G4">
        <f t="shared" ref="G4:G7" si="1">E4*F4</f>
        <v>413000</v>
      </c>
      <c r="I4" s="126">
        <v>4500</v>
      </c>
      <c r="J4" s="126">
        <v>1</v>
      </c>
      <c r="K4" s="162">
        <f t="shared" ref="K4:K10" si="2">I4*J4</f>
        <v>4500</v>
      </c>
    </row>
    <row r="5" spans="1:11" x14ac:dyDescent="0.3">
      <c r="A5" s="169">
        <v>3500</v>
      </c>
      <c r="B5" s="126">
        <v>84</v>
      </c>
      <c r="C5">
        <f t="shared" si="0"/>
        <v>294000</v>
      </c>
      <c r="E5" s="126">
        <v>4500</v>
      </c>
      <c r="F5" s="126">
        <v>159</v>
      </c>
      <c r="G5">
        <f t="shared" si="1"/>
        <v>715500</v>
      </c>
      <c r="I5" s="126">
        <v>5500</v>
      </c>
      <c r="J5" s="126">
        <v>15</v>
      </c>
      <c r="K5" s="162">
        <f t="shared" si="2"/>
        <v>82500</v>
      </c>
    </row>
    <row r="6" spans="1:11" x14ac:dyDescent="0.3">
      <c r="A6" s="169">
        <v>4500</v>
      </c>
      <c r="B6" s="126">
        <v>26</v>
      </c>
      <c r="C6">
        <f t="shared" si="0"/>
        <v>117000</v>
      </c>
      <c r="E6" s="126">
        <v>5500</v>
      </c>
      <c r="F6" s="126">
        <v>93</v>
      </c>
      <c r="G6">
        <f t="shared" si="1"/>
        <v>511500</v>
      </c>
      <c r="I6" s="126">
        <v>6500</v>
      </c>
      <c r="J6" s="126">
        <v>27</v>
      </c>
      <c r="K6" s="162">
        <f t="shared" si="2"/>
        <v>175500</v>
      </c>
    </row>
    <row r="7" spans="1:11" x14ac:dyDescent="0.3">
      <c r="B7">
        <f>SUM(B3:B6)</f>
        <v>908</v>
      </c>
      <c r="C7">
        <f>SUM(C3:C6)</f>
        <v>1654500</v>
      </c>
      <c r="E7" s="126">
        <v>6500</v>
      </c>
      <c r="F7" s="126">
        <v>47</v>
      </c>
      <c r="G7">
        <f t="shared" si="1"/>
        <v>305500</v>
      </c>
      <c r="I7" s="126">
        <v>7500</v>
      </c>
      <c r="J7" s="126">
        <v>25</v>
      </c>
      <c r="K7" s="162">
        <f t="shared" si="2"/>
        <v>187500</v>
      </c>
    </row>
    <row r="8" spans="1:11" x14ac:dyDescent="0.3">
      <c r="F8">
        <f>SUM(F3:F7)</f>
        <v>485</v>
      </c>
      <c r="G8">
        <f>SUM(G3:G7)</f>
        <v>2115500</v>
      </c>
      <c r="I8" s="126">
        <v>8500</v>
      </c>
      <c r="J8" s="126">
        <v>29</v>
      </c>
      <c r="K8" s="162">
        <f t="shared" si="2"/>
        <v>246500</v>
      </c>
    </row>
    <row r="9" spans="1:11" x14ac:dyDescent="0.3">
      <c r="A9" t="s">
        <v>309</v>
      </c>
      <c r="B9" s="171">
        <f>C7/B7</f>
        <v>1822.136563876652</v>
      </c>
      <c r="I9" s="126">
        <v>9500</v>
      </c>
      <c r="J9" s="126">
        <v>27</v>
      </c>
      <c r="K9" s="162">
        <f t="shared" si="2"/>
        <v>256500</v>
      </c>
    </row>
    <row r="10" spans="1:11" x14ac:dyDescent="0.3">
      <c r="E10" t="s">
        <v>310</v>
      </c>
      <c r="F10" s="171">
        <f>G8/F8</f>
        <v>4361.855670103093</v>
      </c>
      <c r="I10" s="126">
        <v>10500</v>
      </c>
      <c r="J10" s="126">
        <v>30</v>
      </c>
      <c r="K10" s="162">
        <f t="shared" si="2"/>
        <v>315000</v>
      </c>
    </row>
    <row r="11" spans="1:11" ht="15" thickBot="1" x14ac:dyDescent="0.35">
      <c r="I11" s="161"/>
      <c r="J11" s="162"/>
      <c r="K11" s="52"/>
    </row>
    <row r="12" spans="1:11" ht="15" thickBot="1" x14ac:dyDescent="0.35">
      <c r="I12" s="163">
        <f>SUM(I3:I11)</f>
        <v>55000</v>
      </c>
      <c r="J12" s="163">
        <f>SUM(J3:J11)</f>
        <v>155</v>
      </c>
      <c r="K12">
        <f>SUM(K3:K11)</f>
        <v>1270500</v>
      </c>
    </row>
    <row r="13" spans="1:11" x14ac:dyDescent="0.3">
      <c r="H13" t="s">
        <v>311</v>
      </c>
      <c r="I13" s="171">
        <f>K12/J12</f>
        <v>8196.7741935483864</v>
      </c>
    </row>
    <row r="20" spans="1:3" x14ac:dyDescent="0.3">
      <c r="A20" t="s">
        <v>312</v>
      </c>
      <c r="C20" t="s">
        <v>210</v>
      </c>
    </row>
    <row r="21" spans="1:3" x14ac:dyDescent="0.3">
      <c r="A21" s="126" t="s">
        <v>302</v>
      </c>
      <c r="B21" s="164" t="s">
        <v>298</v>
      </c>
      <c r="C21" s="170">
        <f>B9+F10*2</f>
        <v>10545.847904082839</v>
      </c>
    </row>
    <row r="22" spans="1:3" x14ac:dyDescent="0.3">
      <c r="A22" s="126" t="s">
        <v>301</v>
      </c>
      <c r="B22" s="164" t="s">
        <v>299</v>
      </c>
      <c r="C22" s="170">
        <f>B9*3+F10</f>
        <v>9828.2653617330488</v>
      </c>
    </row>
    <row r="23" spans="1:3" x14ac:dyDescent="0.3">
      <c r="A23" s="126" t="s">
        <v>303</v>
      </c>
      <c r="B23" s="164" t="s">
        <v>300</v>
      </c>
      <c r="C23" s="170">
        <f>I13+B9</f>
        <v>10018.910757425037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DF8FC-31CB-464F-9582-5F84DDB1AFE5}">
  <dimension ref="A1:Y8"/>
  <sheetViews>
    <sheetView zoomScale="60" zoomScaleNormal="115" workbookViewId="0">
      <selection activeCell="A5" sqref="A5:XFD5"/>
    </sheetView>
  </sheetViews>
  <sheetFormatPr defaultRowHeight="14.4" x14ac:dyDescent="0.3"/>
  <cols>
    <col min="2" max="2" width="14.33203125" customWidth="1"/>
  </cols>
  <sheetData>
    <row r="1" spans="1:25" ht="42" thickBot="1" x14ac:dyDescent="0.35">
      <c r="A1" s="5" t="s">
        <v>64</v>
      </c>
      <c r="B1" s="5" t="s">
        <v>93</v>
      </c>
      <c r="C1" s="5" t="s">
        <v>107</v>
      </c>
    </row>
    <row r="2" spans="1:25" ht="28.2" thickBot="1" x14ac:dyDescent="0.35">
      <c r="A2" s="37" t="s">
        <v>65</v>
      </c>
      <c r="B2" s="38">
        <v>156.9</v>
      </c>
      <c r="C2" s="37">
        <v>26865</v>
      </c>
      <c r="W2" s="5"/>
      <c r="X2" s="5"/>
      <c r="Y2" s="5"/>
    </row>
    <row r="3" spans="1:25" ht="44.4" customHeight="1" thickBot="1" x14ac:dyDescent="0.35">
      <c r="A3" s="5" t="s">
        <v>66</v>
      </c>
      <c r="B3" s="20">
        <f>281.73</f>
        <v>281.73</v>
      </c>
      <c r="C3" s="5">
        <v>7659</v>
      </c>
      <c r="W3" s="5"/>
      <c r="X3" s="5"/>
      <c r="Y3" s="5"/>
    </row>
    <row r="4" spans="1:25" ht="28.2" thickBot="1" x14ac:dyDescent="0.35">
      <c r="A4" s="5" t="s">
        <v>112</v>
      </c>
      <c r="B4" s="20">
        <v>158.37</v>
      </c>
      <c r="C4" s="5">
        <v>11868</v>
      </c>
      <c r="W4" s="5"/>
      <c r="X4" s="5"/>
      <c r="Y4" s="5"/>
    </row>
    <row r="5" spans="1:25" ht="64.8" customHeight="1" thickBot="1" x14ac:dyDescent="0.35">
      <c r="A5" s="37" t="s">
        <v>111</v>
      </c>
      <c r="B5" s="38">
        <v>299.8</v>
      </c>
      <c r="C5" s="37">
        <v>18025</v>
      </c>
      <c r="W5" s="5"/>
      <c r="X5" s="5"/>
      <c r="Y5" s="5"/>
    </row>
    <row r="6" spans="1:25" ht="64.2" customHeight="1" thickBot="1" x14ac:dyDescent="0.35">
      <c r="A6" s="37" t="s">
        <v>110</v>
      </c>
      <c r="B6" s="38">
        <v>308.86</v>
      </c>
      <c r="C6" s="37">
        <v>17567</v>
      </c>
      <c r="W6" s="5"/>
      <c r="X6" s="5"/>
      <c r="Y6" s="5"/>
    </row>
    <row r="7" spans="1:25" ht="55.8" thickBot="1" x14ac:dyDescent="0.35">
      <c r="A7" s="5" t="s">
        <v>109</v>
      </c>
      <c r="B7" s="20">
        <v>548.98</v>
      </c>
      <c r="C7" s="5">
        <v>4577</v>
      </c>
      <c r="W7" s="5"/>
      <c r="X7" s="5"/>
      <c r="Y7" s="5"/>
    </row>
    <row r="8" spans="1:25" ht="15" thickBot="1" x14ac:dyDescent="0.35">
      <c r="W8" s="5"/>
      <c r="X8" s="5"/>
      <c r="Y8" s="5"/>
    </row>
  </sheetData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AEAE61-96D1-42E6-B3FA-527BCDEE9015}">
  <dimension ref="A1:H9"/>
  <sheetViews>
    <sheetView zoomScale="74" workbookViewId="0">
      <selection activeCell="U26" sqref="U26"/>
    </sheetView>
  </sheetViews>
  <sheetFormatPr defaultRowHeight="14.4" x14ac:dyDescent="0.3"/>
  <cols>
    <col min="1" max="1" width="10" bestFit="1" customWidth="1"/>
    <col min="2" max="2" width="12.6640625" bestFit="1" customWidth="1"/>
  </cols>
  <sheetData>
    <row r="1" spans="1:8" ht="28.2" thickBot="1" x14ac:dyDescent="0.35">
      <c r="A1" s="131" t="s">
        <v>67</v>
      </c>
      <c r="B1" s="132" t="s">
        <v>1</v>
      </c>
      <c r="C1" s="132" t="s">
        <v>2</v>
      </c>
      <c r="D1" s="133" t="s">
        <v>113</v>
      </c>
    </row>
    <row r="2" spans="1:8" ht="27.6" x14ac:dyDescent="0.3">
      <c r="A2" s="134" t="s">
        <v>68</v>
      </c>
      <c r="B2" s="135">
        <f>85*18.5</f>
        <v>1572.5</v>
      </c>
      <c r="C2" s="134">
        <v>15</v>
      </c>
      <c r="D2" s="136" t="s">
        <v>114</v>
      </c>
    </row>
    <row r="3" spans="1:8" ht="138" x14ac:dyDescent="0.3">
      <c r="A3" s="137" t="s">
        <v>254</v>
      </c>
      <c r="B3" s="139">
        <v>1135.97</v>
      </c>
      <c r="C3" s="137">
        <v>12</v>
      </c>
      <c r="D3" s="128" t="s">
        <v>255</v>
      </c>
      <c r="H3">
        <v>1</v>
      </c>
    </row>
    <row r="4" spans="1:8" x14ac:dyDescent="0.3">
      <c r="A4" s="129" t="s">
        <v>115</v>
      </c>
      <c r="B4" s="130">
        <v>5114</v>
      </c>
      <c r="C4" s="129">
        <v>7</v>
      </c>
      <c r="D4" s="126" t="s">
        <v>116</v>
      </c>
    </row>
    <row r="5" spans="1:8" x14ac:dyDescent="0.3">
      <c r="A5" s="137" t="s">
        <v>117</v>
      </c>
      <c r="B5" s="138">
        <v>1814.67</v>
      </c>
      <c r="C5" s="137">
        <v>16</v>
      </c>
      <c r="D5" s="128" t="s">
        <v>118</v>
      </c>
    </row>
    <row r="6" spans="1:8" x14ac:dyDescent="0.3">
      <c r="A6" s="129" t="s">
        <v>119</v>
      </c>
      <c r="B6" s="130">
        <v>5480.67</v>
      </c>
      <c r="C6" s="129">
        <v>8</v>
      </c>
      <c r="D6" s="126" t="s">
        <v>120</v>
      </c>
    </row>
    <row r="7" spans="1:8" x14ac:dyDescent="0.3">
      <c r="A7" s="126">
        <v>114992561</v>
      </c>
      <c r="B7" s="130">
        <v>1814.67</v>
      </c>
      <c r="C7" s="129">
        <v>6</v>
      </c>
      <c r="D7" s="126" t="s">
        <v>121</v>
      </c>
    </row>
    <row r="8" spans="1:8" x14ac:dyDescent="0.3">
      <c r="A8" s="137">
        <v>101090022</v>
      </c>
      <c r="B8" s="138">
        <v>1317.93</v>
      </c>
      <c r="C8" s="137">
        <v>20</v>
      </c>
      <c r="D8" s="128" t="s">
        <v>122</v>
      </c>
    </row>
    <row r="9" spans="1:8" x14ac:dyDescent="0.3">
      <c r="A9" s="126"/>
      <c r="B9" s="126"/>
      <c r="C9" s="126"/>
      <c r="D9" s="126"/>
    </row>
  </sheetData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B985D1-813D-4F7D-8DDE-E2DA3BBD17A2}">
  <dimension ref="A1:AE15"/>
  <sheetViews>
    <sheetView zoomScale="53" zoomScaleNormal="100" workbookViewId="0">
      <selection activeCell="G23" sqref="G23"/>
    </sheetView>
  </sheetViews>
  <sheetFormatPr defaultRowHeight="14.4" x14ac:dyDescent="0.3"/>
  <cols>
    <col min="21" max="21" width="8.88671875" customWidth="1"/>
    <col min="22" max="22" width="10.33203125" bestFit="1" customWidth="1"/>
  </cols>
  <sheetData>
    <row r="1" spans="1:31" x14ac:dyDescent="0.3">
      <c r="A1" s="11"/>
      <c r="B1" s="11"/>
      <c r="C1" s="11"/>
    </row>
    <row r="2" spans="1:31" x14ac:dyDescent="0.3">
      <c r="A2" s="11"/>
      <c r="B2" s="11"/>
      <c r="C2" s="11"/>
    </row>
    <row r="3" spans="1:31" x14ac:dyDescent="0.3">
      <c r="A3" s="11"/>
      <c r="B3" s="11"/>
      <c r="C3" s="11"/>
    </row>
    <row r="4" spans="1:31" ht="15" thickBot="1" x14ac:dyDescent="0.35">
      <c r="A4" s="11"/>
      <c r="B4" s="11"/>
      <c r="C4" s="11"/>
    </row>
    <row r="5" spans="1:31" ht="42" thickBot="1" x14ac:dyDescent="0.35">
      <c r="A5" s="11"/>
      <c r="B5" s="11"/>
      <c r="C5" s="11"/>
      <c r="U5" s="5" t="s">
        <v>69</v>
      </c>
      <c r="V5" s="5" t="s">
        <v>53</v>
      </c>
      <c r="W5" s="5" t="s">
        <v>107</v>
      </c>
      <c r="AE5" s="11" t="s">
        <v>113</v>
      </c>
    </row>
    <row r="6" spans="1:31" ht="15" thickBot="1" x14ac:dyDescent="0.35">
      <c r="A6" s="11"/>
      <c r="B6" s="11"/>
      <c r="C6" s="11"/>
      <c r="U6" s="5" t="s">
        <v>70</v>
      </c>
      <c r="V6" s="20">
        <v>51.7</v>
      </c>
      <c r="W6" s="5">
        <v>242</v>
      </c>
      <c r="AE6" t="s">
        <v>256</v>
      </c>
    </row>
    <row r="7" spans="1:31" ht="42" thickBot="1" x14ac:dyDescent="0.35">
      <c r="U7" s="37" t="s">
        <v>258</v>
      </c>
      <c r="V7" s="38">
        <v>49.67</v>
      </c>
      <c r="W7" s="37">
        <v>736</v>
      </c>
      <c r="AE7" t="s">
        <v>257</v>
      </c>
    </row>
    <row r="8" spans="1:31" ht="42" thickBot="1" x14ac:dyDescent="0.35">
      <c r="U8" s="5" t="s">
        <v>260</v>
      </c>
      <c r="V8" s="20">
        <v>57.37</v>
      </c>
      <c r="W8" s="5">
        <v>318</v>
      </c>
      <c r="AE8" t="s">
        <v>259</v>
      </c>
    </row>
    <row r="9" spans="1:31" ht="42" thickBot="1" x14ac:dyDescent="0.35">
      <c r="U9" s="37" t="s">
        <v>261</v>
      </c>
      <c r="V9" s="38">
        <v>68.37</v>
      </c>
      <c r="W9" s="37">
        <v>459</v>
      </c>
      <c r="AE9" t="s">
        <v>262</v>
      </c>
    </row>
    <row r="10" spans="1:31" ht="42" thickBot="1" x14ac:dyDescent="0.35">
      <c r="U10" s="37" t="s">
        <v>261</v>
      </c>
      <c r="V10" s="38">
        <v>75.89</v>
      </c>
      <c r="W10" s="37">
        <v>526</v>
      </c>
      <c r="AE10" t="s">
        <v>263</v>
      </c>
    </row>
    <row r="11" spans="1:31" ht="69.599999999999994" thickBot="1" x14ac:dyDescent="0.35">
      <c r="U11" s="5" t="s">
        <v>264</v>
      </c>
      <c r="V11" s="20">
        <v>86.15</v>
      </c>
      <c r="W11" s="5">
        <v>396</v>
      </c>
      <c r="AE11" t="s">
        <v>265</v>
      </c>
    </row>
    <row r="12" spans="1:31" ht="55.8" thickBot="1" x14ac:dyDescent="0.35">
      <c r="U12" s="5" t="s">
        <v>266</v>
      </c>
      <c r="V12" s="20">
        <v>105.3</v>
      </c>
      <c r="W12" s="5">
        <v>500</v>
      </c>
      <c r="AE12" t="s">
        <v>267</v>
      </c>
    </row>
    <row r="13" spans="1:31" ht="55.8" thickBot="1" x14ac:dyDescent="0.35">
      <c r="U13" s="5" t="s">
        <v>268</v>
      </c>
      <c r="V13" s="20">
        <v>124.64</v>
      </c>
      <c r="W13" s="5">
        <v>3689</v>
      </c>
    </row>
    <row r="14" spans="1:31" ht="55.8" thickBot="1" x14ac:dyDescent="0.35">
      <c r="U14" s="5" t="s">
        <v>269</v>
      </c>
      <c r="V14" s="20">
        <v>92.7</v>
      </c>
      <c r="W14" s="5">
        <v>487</v>
      </c>
      <c r="AE14" t="s">
        <v>265</v>
      </c>
    </row>
    <row r="15" spans="1:31" ht="69.599999999999994" thickBot="1" x14ac:dyDescent="0.35">
      <c r="U15" s="5" t="s">
        <v>270</v>
      </c>
      <c r="V15" s="20">
        <v>92.93</v>
      </c>
      <c r="W15" s="5">
        <v>440</v>
      </c>
      <c r="AE15" t="s">
        <v>271</v>
      </c>
    </row>
  </sheetData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197A97-7C13-481F-AB6A-1D6DABE6A6DD}">
  <dimension ref="A1:Y11"/>
  <sheetViews>
    <sheetView topLeftCell="G1" zoomScale="40" zoomScaleNormal="85" workbookViewId="0">
      <selection activeCell="AQ7" sqref="AQ7"/>
    </sheetView>
  </sheetViews>
  <sheetFormatPr defaultRowHeight="14.4" x14ac:dyDescent="0.3"/>
  <cols>
    <col min="6" max="6" width="15.5546875" bestFit="1" customWidth="1"/>
    <col min="23" max="23" width="12.109375" bestFit="1" customWidth="1"/>
  </cols>
  <sheetData>
    <row r="1" spans="1:25" ht="41.4" x14ac:dyDescent="0.3">
      <c r="A1" s="11" t="s">
        <v>71</v>
      </c>
      <c r="B1" s="11" t="s">
        <v>1</v>
      </c>
      <c r="C1" s="11" t="s">
        <v>2</v>
      </c>
      <c r="E1" s="12" t="s">
        <v>76</v>
      </c>
      <c r="F1" s="12">
        <v>260</v>
      </c>
      <c r="G1" s="12">
        <v>5</v>
      </c>
    </row>
    <row r="2" spans="1:25" ht="42" thickBot="1" x14ac:dyDescent="0.35">
      <c r="A2" s="12" t="s">
        <v>72</v>
      </c>
      <c r="B2" s="12">
        <v>1</v>
      </c>
      <c r="C2" s="12">
        <v>5</v>
      </c>
      <c r="E2" s="12" t="s">
        <v>75</v>
      </c>
      <c r="F2" s="12">
        <v>400</v>
      </c>
      <c r="G2" s="12">
        <v>4</v>
      </c>
    </row>
    <row r="3" spans="1:25" ht="69.599999999999994" thickBot="1" x14ac:dyDescent="0.35">
      <c r="A3" s="12" t="s">
        <v>73</v>
      </c>
      <c r="B3" s="12">
        <v>2</v>
      </c>
      <c r="C3" s="12">
        <v>4</v>
      </c>
      <c r="E3" s="12" t="s">
        <v>78</v>
      </c>
      <c r="F3" s="12">
        <v>120</v>
      </c>
      <c r="G3" s="12">
        <v>4</v>
      </c>
      <c r="U3" s="5" t="s">
        <v>124</v>
      </c>
      <c r="V3" s="5" t="s">
        <v>123</v>
      </c>
      <c r="W3" s="5" t="s">
        <v>53</v>
      </c>
      <c r="X3" s="5" t="s">
        <v>107</v>
      </c>
      <c r="Y3" s="5" t="s">
        <v>125</v>
      </c>
    </row>
    <row r="4" spans="1:25" ht="97.2" thickBot="1" x14ac:dyDescent="0.35">
      <c r="A4" s="12" t="s">
        <v>75</v>
      </c>
      <c r="B4" s="12">
        <v>2</v>
      </c>
      <c r="C4" s="12">
        <v>4</v>
      </c>
      <c r="E4" s="12" t="s">
        <v>79</v>
      </c>
      <c r="F4" s="12">
        <v>950</v>
      </c>
      <c r="G4" s="12">
        <v>3</v>
      </c>
      <c r="U4" s="37" t="s">
        <v>76</v>
      </c>
      <c r="V4" s="33" t="s">
        <v>95</v>
      </c>
      <c r="W4" s="34">
        <v>150</v>
      </c>
      <c r="X4" s="33">
        <v>19</v>
      </c>
      <c r="Y4" s="33" t="s">
        <v>126</v>
      </c>
    </row>
    <row r="5" spans="1:25" ht="97.2" thickBot="1" x14ac:dyDescent="0.35">
      <c r="A5" s="12" t="s">
        <v>76</v>
      </c>
      <c r="B5" s="12">
        <v>3</v>
      </c>
      <c r="C5" s="12">
        <v>3</v>
      </c>
      <c r="E5" s="12" t="s">
        <v>80</v>
      </c>
      <c r="F5" s="12">
        <v>1000</v>
      </c>
      <c r="G5" s="12">
        <v>5</v>
      </c>
      <c r="U5" s="37" t="s">
        <v>75</v>
      </c>
      <c r="V5" s="33" t="s">
        <v>95</v>
      </c>
      <c r="W5" s="34">
        <v>250</v>
      </c>
      <c r="X5" s="33">
        <v>18</v>
      </c>
      <c r="Y5" s="33" t="s">
        <v>127</v>
      </c>
    </row>
    <row r="6" spans="1:25" ht="111" thickBot="1" x14ac:dyDescent="0.35">
      <c r="A6" s="12" t="s">
        <v>77</v>
      </c>
      <c r="B6" s="12">
        <v>2</v>
      </c>
      <c r="C6" s="12">
        <v>4</v>
      </c>
      <c r="E6" s="12" t="s">
        <v>81</v>
      </c>
      <c r="F6" s="12">
        <v>154</v>
      </c>
      <c r="G6" s="12">
        <v>4</v>
      </c>
      <c r="U6" s="5" t="s">
        <v>78</v>
      </c>
      <c r="V6" s="2" t="s">
        <v>95</v>
      </c>
      <c r="W6" s="17">
        <v>100</v>
      </c>
      <c r="X6" s="2">
        <v>19</v>
      </c>
      <c r="Y6" s="2" t="s">
        <v>128</v>
      </c>
    </row>
    <row r="7" spans="1:25" ht="97.2" thickBot="1" x14ac:dyDescent="0.35">
      <c r="A7" s="12" t="s">
        <v>74</v>
      </c>
      <c r="B7" s="12">
        <v>4</v>
      </c>
      <c r="C7" s="12">
        <v>3</v>
      </c>
      <c r="E7" s="12" t="s">
        <v>73</v>
      </c>
      <c r="F7" s="12">
        <v>4880</v>
      </c>
      <c r="G7" s="12">
        <v>3</v>
      </c>
      <c r="U7" s="5" t="s">
        <v>79</v>
      </c>
      <c r="V7" s="2" t="s">
        <v>108</v>
      </c>
      <c r="W7" s="17">
        <v>725.87</v>
      </c>
      <c r="X7" s="2">
        <v>14</v>
      </c>
      <c r="Y7" s="2" t="s">
        <v>129</v>
      </c>
    </row>
    <row r="8" spans="1:25" ht="111" thickBot="1" x14ac:dyDescent="0.45">
      <c r="E8" s="12" t="s">
        <v>82</v>
      </c>
      <c r="F8" s="14">
        <v>1630</v>
      </c>
      <c r="G8" s="12">
        <v>5</v>
      </c>
      <c r="U8" s="5" t="s">
        <v>80</v>
      </c>
      <c r="V8" s="2" t="s">
        <v>95</v>
      </c>
      <c r="W8" s="17">
        <v>90</v>
      </c>
      <c r="X8" s="2">
        <v>18</v>
      </c>
      <c r="Y8" s="2" t="s">
        <v>130</v>
      </c>
    </row>
    <row r="9" spans="1:25" ht="166.2" thickBot="1" x14ac:dyDescent="0.35">
      <c r="U9" s="5" t="s">
        <v>81</v>
      </c>
      <c r="V9" s="2" t="s">
        <v>108</v>
      </c>
      <c r="W9" s="17">
        <v>100</v>
      </c>
      <c r="X9" s="2">
        <v>17</v>
      </c>
      <c r="Y9" s="2" t="s">
        <v>131</v>
      </c>
    </row>
    <row r="10" spans="1:25" ht="83.4" thickBot="1" x14ac:dyDescent="0.35">
      <c r="U10" s="37" t="s">
        <v>73</v>
      </c>
      <c r="V10" s="33" t="s">
        <v>108</v>
      </c>
      <c r="W10" s="34">
        <v>1500</v>
      </c>
      <c r="X10" s="33">
        <v>12</v>
      </c>
      <c r="Y10" s="33" t="s">
        <v>132</v>
      </c>
    </row>
    <row r="11" spans="1:25" ht="111" thickBot="1" x14ac:dyDescent="0.35">
      <c r="U11" s="37" t="s">
        <v>72</v>
      </c>
      <c r="V11" s="33" t="s">
        <v>108</v>
      </c>
      <c r="W11" s="34">
        <v>1008.15</v>
      </c>
      <c r="X11" s="33">
        <v>14</v>
      </c>
      <c r="Y11" s="33" t="s">
        <v>133</v>
      </c>
    </row>
  </sheetData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92A14-0D4E-470A-A0D1-53F5FA35ABE4}">
  <dimension ref="A1:C3"/>
  <sheetViews>
    <sheetView workbookViewId="0">
      <selection activeCell="B4" sqref="B4"/>
    </sheetView>
  </sheetViews>
  <sheetFormatPr defaultRowHeight="14.4" x14ac:dyDescent="0.3"/>
  <cols>
    <col min="1" max="1" width="19.5546875" bestFit="1" customWidth="1"/>
  </cols>
  <sheetData>
    <row r="1" spans="1:3" x14ac:dyDescent="0.3">
      <c r="A1" t="s">
        <v>272</v>
      </c>
      <c r="B1" t="s">
        <v>273</v>
      </c>
      <c r="C1" t="s">
        <v>9</v>
      </c>
    </row>
    <row r="2" spans="1:3" x14ac:dyDescent="0.3">
      <c r="A2" t="s">
        <v>274</v>
      </c>
      <c r="B2">
        <v>1648</v>
      </c>
    </row>
    <row r="3" spans="1:3" x14ac:dyDescent="0.3">
      <c r="A3" t="s">
        <v>275</v>
      </c>
      <c r="B3">
        <v>699.95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C7460-3FD3-480A-8F85-D5D058770E67}">
  <dimension ref="A1:E11"/>
  <sheetViews>
    <sheetView topLeftCell="A5" zoomScale="53" zoomScaleNormal="70" workbookViewId="0">
      <selection activeCell="AA10" sqref="AA10"/>
    </sheetView>
  </sheetViews>
  <sheetFormatPr defaultRowHeight="14.4" x14ac:dyDescent="0.3"/>
  <cols>
    <col min="3" max="3" width="13.44140625" bestFit="1" customWidth="1"/>
  </cols>
  <sheetData>
    <row r="1" spans="1:5" ht="69.599999999999994" thickBot="1" x14ac:dyDescent="0.35">
      <c r="A1" s="5" t="s">
        <v>134</v>
      </c>
      <c r="B1" s="5" t="s">
        <v>123</v>
      </c>
      <c r="C1" s="5" t="s">
        <v>53</v>
      </c>
      <c r="D1" s="5" t="s">
        <v>107</v>
      </c>
      <c r="E1" s="5" t="s">
        <v>125</v>
      </c>
    </row>
    <row r="2" spans="1:5" ht="138.6" thickBot="1" x14ac:dyDescent="0.35">
      <c r="A2" s="37" t="s">
        <v>135</v>
      </c>
      <c r="B2" s="37" t="s">
        <v>95</v>
      </c>
      <c r="C2" s="38">
        <v>50</v>
      </c>
      <c r="D2" s="37">
        <v>19</v>
      </c>
      <c r="E2" s="37" t="s">
        <v>136</v>
      </c>
    </row>
    <row r="3" spans="1:5" ht="138.6" thickBot="1" x14ac:dyDescent="0.35">
      <c r="A3" s="5" t="s">
        <v>137</v>
      </c>
      <c r="B3" s="5" t="s">
        <v>95</v>
      </c>
      <c r="C3" s="20">
        <v>80</v>
      </c>
      <c r="D3" s="5">
        <v>18</v>
      </c>
      <c r="E3" s="5" t="s">
        <v>138</v>
      </c>
    </row>
    <row r="4" spans="1:5" ht="97.2" thickBot="1" x14ac:dyDescent="0.35">
      <c r="A4" s="37" t="s">
        <v>139</v>
      </c>
      <c r="B4" s="37" t="s">
        <v>95</v>
      </c>
      <c r="C4" s="38">
        <v>100</v>
      </c>
      <c r="D4" s="37">
        <v>19</v>
      </c>
      <c r="E4" s="37" t="s">
        <v>140</v>
      </c>
    </row>
    <row r="5" spans="1:5" ht="111" thickBot="1" x14ac:dyDescent="0.35">
      <c r="A5" s="5" t="s">
        <v>78</v>
      </c>
      <c r="B5" s="5" t="s">
        <v>95</v>
      </c>
      <c r="C5" s="20">
        <v>120</v>
      </c>
      <c r="D5" s="5">
        <v>18</v>
      </c>
      <c r="E5" s="5" t="s">
        <v>141</v>
      </c>
    </row>
    <row r="6" spans="1:5" ht="97.2" thickBot="1" x14ac:dyDescent="0.35">
      <c r="A6" s="5" t="s">
        <v>142</v>
      </c>
      <c r="B6" s="5" t="s">
        <v>108</v>
      </c>
      <c r="C6" s="20">
        <v>300</v>
      </c>
      <c r="D6" s="5">
        <v>15</v>
      </c>
      <c r="E6" s="5" t="s">
        <v>143</v>
      </c>
    </row>
    <row r="7" spans="1:5" ht="97.2" thickBot="1" x14ac:dyDescent="0.35">
      <c r="A7" s="5" t="s">
        <v>144</v>
      </c>
      <c r="B7" s="5" t="s">
        <v>108</v>
      </c>
      <c r="C7" s="20">
        <v>150</v>
      </c>
      <c r="D7" s="5">
        <v>16</v>
      </c>
      <c r="E7" s="5" t="s">
        <v>145</v>
      </c>
    </row>
    <row r="8" spans="1:5" ht="124.8" thickBot="1" x14ac:dyDescent="0.35">
      <c r="A8" s="5" t="s">
        <v>146</v>
      </c>
      <c r="B8" s="5" t="s">
        <v>108</v>
      </c>
      <c r="C8" s="20">
        <v>120</v>
      </c>
      <c r="D8" s="5">
        <v>17</v>
      </c>
      <c r="E8" s="5" t="s">
        <v>147</v>
      </c>
    </row>
    <row r="9" spans="1:5" ht="97.2" thickBot="1" x14ac:dyDescent="0.35">
      <c r="A9" s="37" t="s">
        <v>148</v>
      </c>
      <c r="B9" s="37" t="s">
        <v>95</v>
      </c>
      <c r="C9" s="38">
        <v>60</v>
      </c>
      <c r="D9" s="37">
        <v>18</v>
      </c>
      <c r="E9" s="37" t="s">
        <v>149</v>
      </c>
    </row>
    <row r="10" spans="1:5" ht="97.2" thickBot="1" x14ac:dyDescent="0.35">
      <c r="A10" s="37" t="s">
        <v>150</v>
      </c>
      <c r="B10" s="37" t="s">
        <v>95</v>
      </c>
      <c r="C10" s="38">
        <v>50</v>
      </c>
      <c r="D10" s="37">
        <v>19</v>
      </c>
      <c r="E10" s="37" t="s">
        <v>151</v>
      </c>
    </row>
    <row r="11" spans="1:5" ht="111" thickBot="1" x14ac:dyDescent="0.35">
      <c r="A11" s="5" t="s">
        <v>152</v>
      </c>
      <c r="B11" s="5" t="s">
        <v>108</v>
      </c>
      <c r="C11" s="20">
        <v>220</v>
      </c>
      <c r="D11" s="5">
        <v>16</v>
      </c>
      <c r="E11" s="5" t="s">
        <v>153</v>
      </c>
    </row>
  </sheetData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E3459E-500D-4CCF-85FF-D90AF3C0E07E}">
  <dimension ref="A1:E11"/>
  <sheetViews>
    <sheetView zoomScale="22" zoomScaleNormal="55" workbookViewId="0">
      <selection activeCell="AF7" sqref="AF7"/>
    </sheetView>
  </sheetViews>
  <sheetFormatPr defaultRowHeight="14.4" x14ac:dyDescent="0.3"/>
  <cols>
    <col min="3" max="3" width="11.21875" bestFit="1" customWidth="1"/>
  </cols>
  <sheetData>
    <row r="1" spans="1:5" ht="69.599999999999994" thickBot="1" x14ac:dyDescent="0.35">
      <c r="A1" s="5" t="s">
        <v>134</v>
      </c>
      <c r="B1" s="5" t="s">
        <v>123</v>
      </c>
      <c r="C1" s="5" t="s">
        <v>53</v>
      </c>
      <c r="D1" s="5" t="s">
        <v>107</v>
      </c>
      <c r="E1" s="5" t="s">
        <v>125</v>
      </c>
    </row>
    <row r="2" spans="1:5" ht="138.6" thickBot="1" x14ac:dyDescent="0.35">
      <c r="A2" s="37" t="s">
        <v>154</v>
      </c>
      <c r="B2" s="33" t="s">
        <v>95</v>
      </c>
      <c r="C2" s="34">
        <v>80</v>
      </c>
      <c r="D2" s="33">
        <v>18</v>
      </c>
      <c r="E2" s="33" t="s">
        <v>155</v>
      </c>
    </row>
    <row r="3" spans="1:5" ht="124.8" thickBot="1" x14ac:dyDescent="0.35">
      <c r="A3" s="37" t="s">
        <v>156</v>
      </c>
      <c r="B3" s="33" t="s">
        <v>95</v>
      </c>
      <c r="C3" s="34">
        <v>70</v>
      </c>
      <c r="D3" s="33">
        <v>18</v>
      </c>
      <c r="E3" s="33" t="s">
        <v>157</v>
      </c>
    </row>
    <row r="4" spans="1:5" ht="138.6" thickBot="1" x14ac:dyDescent="0.35">
      <c r="A4" s="37" t="s">
        <v>158</v>
      </c>
      <c r="B4" s="33" t="s">
        <v>95</v>
      </c>
      <c r="C4" s="34">
        <v>100</v>
      </c>
      <c r="D4" s="33">
        <v>17</v>
      </c>
      <c r="E4" s="33" t="s">
        <v>159</v>
      </c>
    </row>
    <row r="5" spans="1:5" ht="138.6" thickBot="1" x14ac:dyDescent="0.35">
      <c r="A5" s="5" t="s">
        <v>160</v>
      </c>
      <c r="B5" s="2" t="s">
        <v>108</v>
      </c>
      <c r="C5" s="17">
        <v>200</v>
      </c>
      <c r="D5" s="2">
        <v>15</v>
      </c>
      <c r="E5" s="2" t="s">
        <v>161</v>
      </c>
    </row>
    <row r="6" spans="1:5" ht="124.8" thickBot="1" x14ac:dyDescent="0.35">
      <c r="A6" s="5" t="s">
        <v>162</v>
      </c>
      <c r="B6" s="2" t="s">
        <v>108</v>
      </c>
      <c r="C6" s="17">
        <v>150</v>
      </c>
      <c r="D6" s="2">
        <v>16</v>
      </c>
      <c r="E6" s="2" t="s">
        <v>163</v>
      </c>
    </row>
    <row r="7" spans="1:5" ht="138.6" thickBot="1" x14ac:dyDescent="0.35">
      <c r="A7" s="37" t="s">
        <v>164</v>
      </c>
      <c r="B7" s="33" t="s">
        <v>95</v>
      </c>
      <c r="C7" s="34">
        <v>120</v>
      </c>
      <c r="D7" s="33">
        <v>19</v>
      </c>
      <c r="E7" s="33" t="s">
        <v>165</v>
      </c>
    </row>
    <row r="8" spans="1:5" ht="166.2" thickBot="1" x14ac:dyDescent="0.35">
      <c r="A8" s="5" t="s">
        <v>166</v>
      </c>
      <c r="B8" s="2" t="s">
        <v>108</v>
      </c>
      <c r="C8" s="17">
        <v>250</v>
      </c>
      <c r="D8" s="2">
        <v>14</v>
      </c>
      <c r="E8" s="2" t="s">
        <v>167</v>
      </c>
    </row>
    <row r="9" spans="1:5" ht="124.8" thickBot="1" x14ac:dyDescent="0.35">
      <c r="A9" s="37" t="s">
        <v>168</v>
      </c>
      <c r="B9" s="33" t="s">
        <v>95</v>
      </c>
      <c r="C9" s="140">
        <v>60</v>
      </c>
      <c r="D9" s="33">
        <v>19</v>
      </c>
      <c r="E9" s="33" t="s">
        <v>169</v>
      </c>
    </row>
    <row r="10" spans="1:5" ht="124.8" thickBot="1" x14ac:dyDescent="0.35">
      <c r="A10" s="37" t="s">
        <v>170</v>
      </c>
      <c r="B10" s="33" t="s">
        <v>95</v>
      </c>
      <c r="C10" s="140">
        <v>70</v>
      </c>
      <c r="D10" s="33">
        <v>18</v>
      </c>
      <c r="E10" s="33" t="s">
        <v>171</v>
      </c>
    </row>
    <row r="11" spans="1:5" ht="152.4" thickBot="1" x14ac:dyDescent="0.35">
      <c r="A11" s="5" t="s">
        <v>172</v>
      </c>
      <c r="B11" s="2" t="s">
        <v>108</v>
      </c>
      <c r="C11" s="26">
        <v>150</v>
      </c>
      <c r="D11" s="2">
        <v>16</v>
      </c>
      <c r="E11" s="2" t="s">
        <v>173</v>
      </c>
    </row>
  </sheetData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2DEB98-D1C7-4B0C-9ABE-98052B94544F}">
  <dimension ref="A1:E11"/>
  <sheetViews>
    <sheetView topLeftCell="A7" zoomScale="85" zoomScaleNormal="85" workbookViewId="0">
      <selection activeCell="AA21" sqref="AA21"/>
    </sheetView>
  </sheetViews>
  <sheetFormatPr defaultRowHeight="14.4" x14ac:dyDescent="0.3"/>
  <cols>
    <col min="3" max="3" width="16.44140625" bestFit="1" customWidth="1"/>
    <col min="5" max="5" width="22.44140625" customWidth="1"/>
  </cols>
  <sheetData>
    <row r="1" spans="1:5" ht="69.599999999999994" thickBot="1" x14ac:dyDescent="0.35">
      <c r="A1" s="5" t="s">
        <v>134</v>
      </c>
      <c r="B1" s="5" t="s">
        <v>123</v>
      </c>
      <c r="C1" s="5" t="s">
        <v>53</v>
      </c>
      <c r="D1" s="5" t="s">
        <v>107</v>
      </c>
      <c r="E1" s="5" t="s">
        <v>125</v>
      </c>
    </row>
    <row r="2" spans="1:5" ht="166.2" thickBot="1" x14ac:dyDescent="0.35">
      <c r="A2" s="37" t="s">
        <v>174</v>
      </c>
      <c r="B2" s="37" t="s">
        <v>108</v>
      </c>
      <c r="C2" s="38">
        <v>3000</v>
      </c>
      <c r="D2" s="37">
        <v>15</v>
      </c>
      <c r="E2" s="37" t="s">
        <v>175</v>
      </c>
    </row>
    <row r="3" spans="1:5" ht="42" thickBot="1" x14ac:dyDescent="0.35">
      <c r="A3" s="5" t="s">
        <v>176</v>
      </c>
      <c r="B3" s="5" t="s">
        <v>108</v>
      </c>
      <c r="C3" s="20">
        <v>4000</v>
      </c>
      <c r="D3" s="5">
        <v>14</v>
      </c>
      <c r="E3" s="5" t="s">
        <v>177</v>
      </c>
    </row>
    <row r="4" spans="1:5" ht="55.8" thickBot="1" x14ac:dyDescent="0.35">
      <c r="A4" s="5" t="s">
        <v>178</v>
      </c>
      <c r="B4" s="5" t="s">
        <v>108</v>
      </c>
      <c r="C4" s="20">
        <v>4500</v>
      </c>
      <c r="D4" s="5">
        <v>13</v>
      </c>
      <c r="E4" s="5" t="s">
        <v>179</v>
      </c>
    </row>
    <row r="5" spans="1:5" ht="42" thickBot="1" x14ac:dyDescent="0.35">
      <c r="A5" s="5" t="s">
        <v>180</v>
      </c>
      <c r="B5" s="5" t="s">
        <v>108</v>
      </c>
      <c r="C5" s="20">
        <v>3500</v>
      </c>
      <c r="D5" s="5">
        <v>14</v>
      </c>
      <c r="E5" s="5" t="s">
        <v>181</v>
      </c>
    </row>
    <row r="6" spans="1:5" ht="42" thickBot="1" x14ac:dyDescent="0.35">
      <c r="A6" s="37" t="s">
        <v>182</v>
      </c>
      <c r="B6" s="37" t="s">
        <v>183</v>
      </c>
      <c r="C6" s="38">
        <v>2500</v>
      </c>
      <c r="D6" s="37">
        <v>16</v>
      </c>
      <c r="E6" s="37" t="s">
        <v>184</v>
      </c>
    </row>
    <row r="7" spans="1:5" ht="55.8" thickBot="1" x14ac:dyDescent="0.35">
      <c r="A7" s="5" t="s">
        <v>185</v>
      </c>
      <c r="B7" s="5" t="s">
        <v>183</v>
      </c>
      <c r="C7" s="20">
        <v>3500</v>
      </c>
      <c r="D7" s="5">
        <v>14</v>
      </c>
      <c r="E7" s="5" t="s">
        <v>186</v>
      </c>
    </row>
    <row r="8" spans="1:5" ht="55.8" thickBot="1" x14ac:dyDescent="0.35">
      <c r="A8" s="37" t="s">
        <v>187</v>
      </c>
      <c r="B8" s="37" t="s">
        <v>95</v>
      </c>
      <c r="C8" s="38">
        <v>3000</v>
      </c>
      <c r="D8" s="37">
        <v>17</v>
      </c>
      <c r="E8" s="37" t="s">
        <v>188</v>
      </c>
    </row>
    <row r="9" spans="1:5" ht="55.8" thickBot="1" x14ac:dyDescent="0.35">
      <c r="A9" s="5" t="s">
        <v>189</v>
      </c>
      <c r="B9" s="5" t="s">
        <v>183</v>
      </c>
      <c r="C9" s="20">
        <v>7000</v>
      </c>
      <c r="D9" s="5">
        <v>12</v>
      </c>
      <c r="E9" s="5" t="s">
        <v>190</v>
      </c>
    </row>
    <row r="10" spans="1:5" ht="55.8" thickBot="1" x14ac:dyDescent="0.35">
      <c r="A10" s="5" t="s">
        <v>191</v>
      </c>
      <c r="B10" s="5" t="s">
        <v>183</v>
      </c>
      <c r="C10" s="20">
        <v>10000</v>
      </c>
      <c r="D10" s="5">
        <v>10</v>
      </c>
      <c r="E10" s="5" t="s">
        <v>192</v>
      </c>
    </row>
    <row r="11" spans="1:5" ht="55.8" thickBot="1" x14ac:dyDescent="0.35">
      <c r="A11" s="37" t="s">
        <v>193</v>
      </c>
      <c r="B11" s="37" t="s">
        <v>95</v>
      </c>
      <c r="C11" s="38">
        <v>2000</v>
      </c>
      <c r="D11" s="37">
        <v>18</v>
      </c>
      <c r="E11" s="37" t="s">
        <v>194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AFD3B-4E9B-411C-8275-C8020F6F91C7}">
  <dimension ref="A1:D6"/>
  <sheetViews>
    <sheetView zoomScale="95" zoomScaleNormal="115" workbookViewId="0">
      <selection activeCell="P17" sqref="P17"/>
    </sheetView>
  </sheetViews>
  <sheetFormatPr defaultRowHeight="14.4" x14ac:dyDescent="0.3"/>
  <cols>
    <col min="1" max="1" width="8.6640625" bestFit="1" customWidth="1"/>
    <col min="3" max="3" width="10.33203125" bestFit="1" customWidth="1"/>
  </cols>
  <sheetData>
    <row r="1" spans="1:4" ht="24.6" thickBot="1" x14ac:dyDescent="0.35">
      <c r="A1" s="16" t="s">
        <v>0</v>
      </c>
      <c r="B1" s="16" t="s">
        <v>9</v>
      </c>
      <c r="C1" s="16" t="s">
        <v>8</v>
      </c>
    </row>
    <row r="2" spans="1:4" ht="24.6" thickBot="1" x14ac:dyDescent="0.35">
      <c r="A2" s="27" t="s">
        <v>43</v>
      </c>
      <c r="B2" s="27">
        <v>19</v>
      </c>
      <c r="C2" s="28">
        <v>0</v>
      </c>
    </row>
    <row r="3" spans="1:4" ht="24.6" thickBot="1" x14ac:dyDescent="0.35">
      <c r="A3" s="27" t="s">
        <v>44</v>
      </c>
      <c r="B3" s="27">
        <v>17</v>
      </c>
      <c r="C3" s="28">
        <v>0</v>
      </c>
    </row>
    <row r="4" spans="1:4" ht="24.6" thickBot="1" x14ac:dyDescent="0.35">
      <c r="A4" s="45" t="s">
        <v>90</v>
      </c>
      <c r="B4" s="45">
        <v>15</v>
      </c>
      <c r="C4" s="46">
        <v>0</v>
      </c>
    </row>
    <row r="5" spans="1:4" ht="15" thickBot="1" x14ac:dyDescent="0.35">
      <c r="A5" s="27" t="s">
        <v>91</v>
      </c>
      <c r="B5" s="27">
        <v>12</v>
      </c>
      <c r="C5" s="28">
        <v>0</v>
      </c>
      <c r="D5" t="s">
        <v>196</v>
      </c>
    </row>
    <row r="6" spans="1:4" ht="15" thickBot="1" x14ac:dyDescent="0.35">
      <c r="A6" s="16" t="s">
        <v>89</v>
      </c>
      <c r="B6" s="16">
        <v>18</v>
      </c>
      <c r="C6" s="18">
        <f>490*18.5</f>
        <v>9065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2D187-29AA-4498-81FC-D9F53228E548}">
  <dimension ref="A1:C7"/>
  <sheetViews>
    <sheetView zoomScale="115" zoomScaleNormal="115" workbookViewId="0">
      <selection activeCell="H12" sqref="H12"/>
    </sheetView>
  </sheetViews>
  <sheetFormatPr defaultRowHeight="14.4" x14ac:dyDescent="0.3"/>
  <cols>
    <col min="1" max="1" width="14.88671875" customWidth="1"/>
  </cols>
  <sheetData>
    <row r="1" spans="1:3" ht="29.4" thickBot="1" x14ac:dyDescent="0.35">
      <c r="A1" s="1" t="s">
        <v>0</v>
      </c>
      <c r="B1" s="1" t="s">
        <v>8</v>
      </c>
      <c r="C1" s="1" t="s">
        <v>9</v>
      </c>
    </row>
    <row r="2" spans="1:3" ht="15" thickBot="1" x14ac:dyDescent="0.35">
      <c r="A2" s="29" t="s">
        <v>10</v>
      </c>
      <c r="B2" s="30">
        <v>0</v>
      </c>
      <c r="C2" s="29">
        <v>18</v>
      </c>
    </row>
    <row r="3" spans="1:3" ht="72.599999999999994" thickBot="1" x14ac:dyDescent="0.35">
      <c r="A3" s="29" t="s">
        <v>11</v>
      </c>
      <c r="B3" s="30">
        <v>0</v>
      </c>
      <c r="C3" s="29">
        <v>19</v>
      </c>
    </row>
    <row r="4" spans="1:3" ht="15" thickBot="1" x14ac:dyDescent="0.35">
      <c r="A4" s="29" t="s">
        <v>12</v>
      </c>
      <c r="B4" s="30">
        <v>0</v>
      </c>
      <c r="C4" s="29">
        <v>17</v>
      </c>
    </row>
    <row r="5" spans="1:3" ht="43.8" thickBot="1" x14ac:dyDescent="0.35">
      <c r="A5" s="1" t="s">
        <v>14</v>
      </c>
      <c r="B5" s="15">
        <v>0</v>
      </c>
      <c r="C5" s="1">
        <v>16</v>
      </c>
    </row>
    <row r="6" spans="1:3" ht="43.8" thickBot="1" x14ac:dyDescent="0.35">
      <c r="A6" s="31" t="s">
        <v>15</v>
      </c>
      <c r="B6" s="32">
        <v>0</v>
      </c>
      <c r="C6" s="31">
        <v>17</v>
      </c>
    </row>
    <row r="7" spans="1:3" x14ac:dyDescent="0.3">
      <c r="A7" s="23" t="s">
        <v>92</v>
      </c>
      <c r="B7" s="24">
        <v>0</v>
      </c>
      <c r="C7" s="23">
        <v>16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A29E14-A8D9-4A30-9B2A-EC37C4801CBF}">
  <dimension ref="A1:Y7"/>
  <sheetViews>
    <sheetView zoomScale="43" workbookViewId="0">
      <selection activeCell="Z13" sqref="Z13"/>
    </sheetView>
  </sheetViews>
  <sheetFormatPr defaultRowHeight="14.4" x14ac:dyDescent="0.3"/>
  <cols>
    <col min="2" max="2" width="13.77734375" bestFit="1" customWidth="1"/>
    <col min="4" max="4" width="13.77734375" bestFit="1" customWidth="1"/>
  </cols>
  <sheetData>
    <row r="1" spans="1:25" ht="42" thickBot="1" x14ac:dyDescent="0.35">
      <c r="A1" s="5" t="s">
        <v>0</v>
      </c>
      <c r="B1" s="5" t="s">
        <v>8</v>
      </c>
      <c r="C1" s="5" t="s">
        <v>16</v>
      </c>
      <c r="D1" s="5" t="s">
        <v>8</v>
      </c>
    </row>
    <row r="2" spans="1:25" ht="69.599999999999994" thickBot="1" x14ac:dyDescent="0.35">
      <c r="A2" s="33" t="s">
        <v>237</v>
      </c>
      <c r="B2" s="34">
        <v>0</v>
      </c>
      <c r="C2" s="33">
        <v>17</v>
      </c>
      <c r="D2" s="34">
        <v>0</v>
      </c>
      <c r="W2" s="5"/>
      <c r="X2" s="5"/>
      <c r="Y2" s="5"/>
    </row>
    <row r="3" spans="1:25" ht="42" thickBot="1" x14ac:dyDescent="0.35">
      <c r="A3" s="2" t="s">
        <v>17</v>
      </c>
      <c r="B3" s="17">
        <f>3500*18.5</f>
        <v>64750</v>
      </c>
      <c r="C3" s="2">
        <v>15</v>
      </c>
      <c r="D3" s="17">
        <f>3500*18.5</f>
        <v>64750</v>
      </c>
      <c r="W3" s="2"/>
      <c r="X3" s="2"/>
      <c r="Y3" s="2"/>
    </row>
    <row r="4" spans="1:25" ht="55.8" thickBot="1" x14ac:dyDescent="0.35">
      <c r="A4" s="33" t="s">
        <v>238</v>
      </c>
      <c r="B4" s="34">
        <v>0</v>
      </c>
      <c r="C4" s="33">
        <v>17</v>
      </c>
      <c r="D4" s="34">
        <v>0</v>
      </c>
      <c r="E4" t="s">
        <v>195</v>
      </c>
      <c r="W4" s="2"/>
      <c r="X4" s="2"/>
      <c r="Y4" s="2"/>
    </row>
    <row r="5" spans="1:25" ht="55.8" thickBot="1" x14ac:dyDescent="0.35">
      <c r="A5" s="33" t="s">
        <v>240</v>
      </c>
      <c r="B5" s="34">
        <v>0</v>
      </c>
      <c r="C5" s="33">
        <v>18</v>
      </c>
      <c r="D5" s="34">
        <v>0</v>
      </c>
      <c r="W5" s="2"/>
      <c r="X5" s="2"/>
      <c r="Y5" s="2"/>
    </row>
    <row r="6" spans="1:25" ht="28.2" thickBot="1" x14ac:dyDescent="0.35">
      <c r="A6" s="2" t="s">
        <v>18</v>
      </c>
      <c r="B6" s="17">
        <f>500*12*18.5</f>
        <v>111000</v>
      </c>
      <c r="C6" s="2">
        <v>16</v>
      </c>
      <c r="D6" s="17">
        <f>500*12*18.5</f>
        <v>111000</v>
      </c>
      <c r="W6" s="2"/>
      <c r="X6" s="2"/>
      <c r="Y6" s="2"/>
    </row>
    <row r="7" spans="1:25" x14ac:dyDescent="0.3">
      <c r="A7" s="69" t="s">
        <v>239</v>
      </c>
      <c r="B7" s="124">
        <v>0</v>
      </c>
      <c r="C7" s="69">
        <v>18</v>
      </c>
      <c r="D7" s="69">
        <v>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437F4C-2176-4D42-9497-2ED9CF3C9389}">
  <dimension ref="A1:C6"/>
  <sheetViews>
    <sheetView zoomScale="62" workbookViewId="0">
      <selection activeCell="N17" sqref="N17"/>
    </sheetView>
  </sheetViews>
  <sheetFormatPr defaultRowHeight="14.4" x14ac:dyDescent="0.3"/>
  <cols>
    <col min="3" max="3" width="12.33203125" bestFit="1" customWidth="1"/>
  </cols>
  <sheetData>
    <row r="1" spans="1:3" ht="42" thickBot="1" x14ac:dyDescent="0.35">
      <c r="A1" s="6" t="s">
        <v>0</v>
      </c>
      <c r="B1" s="6" t="s">
        <v>16</v>
      </c>
      <c r="C1" s="6" t="s">
        <v>8</v>
      </c>
    </row>
    <row r="2" spans="1:3" ht="42" thickBot="1" x14ac:dyDescent="0.35">
      <c r="A2" s="35" t="s">
        <v>19</v>
      </c>
      <c r="B2" s="35">
        <v>18</v>
      </c>
      <c r="C2" s="36">
        <v>0</v>
      </c>
    </row>
    <row r="3" spans="1:3" ht="15" thickBot="1" x14ac:dyDescent="0.35">
      <c r="A3" s="35" t="s">
        <v>20</v>
      </c>
      <c r="B3" s="35">
        <v>15</v>
      </c>
      <c r="C3" s="36">
        <v>0</v>
      </c>
    </row>
    <row r="4" spans="1:3" ht="42" thickBot="1" x14ac:dyDescent="0.35">
      <c r="A4" s="35" t="s">
        <v>21</v>
      </c>
      <c r="B4" s="35">
        <v>14</v>
      </c>
      <c r="C4" s="36">
        <v>0</v>
      </c>
    </row>
    <row r="5" spans="1:3" ht="15" thickBot="1" x14ac:dyDescent="0.35">
      <c r="A5" s="7" t="s">
        <v>22</v>
      </c>
      <c r="B5" s="7">
        <v>17</v>
      </c>
      <c r="C5" s="19">
        <f>1500*18.5</f>
        <v>27750</v>
      </c>
    </row>
    <row r="6" spans="1:3" ht="15" thickBot="1" x14ac:dyDescent="0.35">
      <c r="A6" s="7" t="s">
        <v>23</v>
      </c>
      <c r="B6" s="7">
        <v>6</v>
      </c>
      <c r="C6" s="19">
        <f>330*18.5</f>
        <v>6105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D4FD4-6615-423A-B87D-826D6C626EC5}">
  <dimension ref="A1:C5"/>
  <sheetViews>
    <sheetView zoomScale="40" zoomScaleNormal="40" workbookViewId="0">
      <selection activeCell="Q8" sqref="Q8"/>
    </sheetView>
  </sheetViews>
  <sheetFormatPr defaultRowHeight="14.4" x14ac:dyDescent="0.3"/>
  <cols>
    <col min="3" max="3" width="12.6640625" bestFit="1" customWidth="1"/>
  </cols>
  <sheetData>
    <row r="1" spans="1:3" ht="42" thickBot="1" x14ac:dyDescent="0.35">
      <c r="A1" s="5" t="s">
        <v>0</v>
      </c>
      <c r="B1" s="5" t="s">
        <v>16</v>
      </c>
      <c r="C1" s="5" t="s">
        <v>8</v>
      </c>
    </row>
    <row r="2" spans="1:3" ht="28.2" thickBot="1" x14ac:dyDescent="0.35">
      <c r="A2" s="33" t="s">
        <v>24</v>
      </c>
      <c r="B2" s="33">
        <v>18</v>
      </c>
      <c r="C2" s="34">
        <v>0</v>
      </c>
    </row>
    <row r="3" spans="1:3" ht="15" thickBot="1" x14ac:dyDescent="0.35">
      <c r="A3" s="33" t="s">
        <v>25</v>
      </c>
      <c r="B3" s="33">
        <v>18</v>
      </c>
      <c r="C3" s="34">
        <v>0</v>
      </c>
    </row>
    <row r="4" spans="1:3" ht="55.8" thickBot="1" x14ac:dyDescent="0.35">
      <c r="A4" s="33" t="s">
        <v>26</v>
      </c>
      <c r="B4" s="33">
        <v>16</v>
      </c>
      <c r="C4" s="34">
        <v>0</v>
      </c>
    </row>
    <row r="5" spans="1:3" ht="42" thickBot="1" x14ac:dyDescent="0.35">
      <c r="A5" s="2" t="s">
        <v>28</v>
      </c>
      <c r="B5" s="2">
        <v>17</v>
      </c>
      <c r="C5" s="17">
        <f>1995*18.5</f>
        <v>36907.5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42435-BCF5-479B-B264-FC5CCC6CB7D8}">
  <dimension ref="A1:D7"/>
  <sheetViews>
    <sheetView zoomScale="59" zoomScaleNormal="100" workbookViewId="0">
      <selection activeCell="Q15" sqref="Q15"/>
    </sheetView>
  </sheetViews>
  <sheetFormatPr defaultRowHeight="14.4" x14ac:dyDescent="0.3"/>
  <cols>
    <col min="1" max="1" width="12.44140625" customWidth="1"/>
    <col min="3" max="3" width="14.5546875" bestFit="1" customWidth="1"/>
  </cols>
  <sheetData>
    <row r="1" spans="1:4" ht="42" thickBot="1" x14ac:dyDescent="0.35">
      <c r="A1" s="5" t="s">
        <v>0</v>
      </c>
      <c r="B1" s="5" t="s">
        <v>16</v>
      </c>
      <c r="C1" s="5" t="s">
        <v>8</v>
      </c>
    </row>
    <row r="2" spans="1:4" ht="69.599999999999994" thickBot="1" x14ac:dyDescent="0.35">
      <c r="A2" s="37" t="s">
        <v>29</v>
      </c>
      <c r="B2" s="37">
        <v>18</v>
      </c>
      <c r="C2" s="38">
        <v>0</v>
      </c>
    </row>
    <row r="3" spans="1:4" ht="55.8" thickBot="1" x14ac:dyDescent="0.35">
      <c r="A3" s="37" t="s">
        <v>30</v>
      </c>
      <c r="B3" s="37">
        <v>17</v>
      </c>
      <c r="C3" s="38">
        <v>0</v>
      </c>
    </row>
    <row r="4" spans="1:4" ht="28.2" thickBot="1" x14ac:dyDescent="0.35">
      <c r="A4" s="5" t="s">
        <v>31</v>
      </c>
      <c r="B4" s="5">
        <v>16</v>
      </c>
      <c r="C4" s="20">
        <f>999*18.5</f>
        <v>18481.5</v>
      </c>
    </row>
    <row r="5" spans="1:4" ht="69.599999999999994" thickBot="1" x14ac:dyDescent="0.35">
      <c r="A5" s="48" t="s">
        <v>27</v>
      </c>
      <c r="B5" s="48">
        <v>16</v>
      </c>
      <c r="C5" s="49">
        <f>490*18.5</f>
        <v>9065</v>
      </c>
      <c r="D5" t="s">
        <v>197</v>
      </c>
    </row>
    <row r="6" spans="1:4" ht="28.2" thickBot="1" x14ac:dyDescent="0.35">
      <c r="A6" s="5" t="s">
        <v>18</v>
      </c>
      <c r="B6" s="5">
        <v>17</v>
      </c>
      <c r="C6" s="17">
        <f>500*12*18.5</f>
        <v>111000</v>
      </c>
    </row>
    <row r="7" spans="1:4" ht="15" thickBot="1" x14ac:dyDescent="0.35">
      <c r="A7" s="37" t="s">
        <v>198</v>
      </c>
      <c r="B7" s="47">
        <v>17</v>
      </c>
      <c r="C7" s="50">
        <v>0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3025D-4BD8-48F1-B13C-F8ABC1B10330}">
  <dimension ref="B1:D7"/>
  <sheetViews>
    <sheetView zoomScale="60" zoomScaleNormal="85" workbookViewId="0">
      <selection activeCell="S20" sqref="S20"/>
    </sheetView>
  </sheetViews>
  <sheetFormatPr defaultRowHeight="14.4" x14ac:dyDescent="0.3"/>
  <cols>
    <col min="3" max="3" width="14" bestFit="1" customWidth="1"/>
  </cols>
  <sheetData>
    <row r="1" spans="2:4" ht="15" thickBot="1" x14ac:dyDescent="0.35"/>
    <row r="2" spans="2:4" ht="43.8" thickBot="1" x14ac:dyDescent="0.35">
      <c r="B2" s="1" t="s">
        <v>0</v>
      </c>
      <c r="C2" s="1" t="s">
        <v>8</v>
      </c>
      <c r="D2" s="1" t="s">
        <v>16</v>
      </c>
    </row>
    <row r="3" spans="2:4" ht="15" thickBot="1" x14ac:dyDescent="0.35">
      <c r="B3" s="39" t="s">
        <v>32</v>
      </c>
      <c r="C3" s="40">
        <v>0</v>
      </c>
      <c r="D3" s="39">
        <v>18</v>
      </c>
    </row>
    <row r="4" spans="2:4" ht="29.4" thickBot="1" x14ac:dyDescent="0.35">
      <c r="B4" s="3" t="s">
        <v>33</v>
      </c>
      <c r="C4" s="21">
        <f>1500*18.5</f>
        <v>27750</v>
      </c>
      <c r="D4" s="3">
        <v>17</v>
      </c>
    </row>
    <row r="5" spans="2:4" ht="43.8" thickBot="1" x14ac:dyDescent="0.35">
      <c r="B5" s="39" t="s">
        <v>34</v>
      </c>
      <c r="C5" s="40">
        <f>500*18.5</f>
        <v>9250</v>
      </c>
      <c r="D5" s="39">
        <v>16</v>
      </c>
    </row>
    <row r="6" spans="2:4" ht="15" thickBot="1" x14ac:dyDescent="0.35">
      <c r="B6" s="3" t="s">
        <v>35</v>
      </c>
      <c r="C6" s="21">
        <f>50*12*18.5</f>
        <v>11100</v>
      </c>
      <c r="D6" s="3">
        <v>16</v>
      </c>
    </row>
    <row r="7" spans="2:4" ht="29.4" thickBot="1" x14ac:dyDescent="0.35">
      <c r="B7" s="39" t="s">
        <v>36</v>
      </c>
      <c r="C7" s="40">
        <v>0</v>
      </c>
      <c r="D7" s="39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27</vt:i4>
      </vt:variant>
    </vt:vector>
  </HeadingPairs>
  <TitlesOfParts>
    <vt:vector size="27" baseType="lpstr">
      <vt:lpstr>Database</vt:lpstr>
      <vt:lpstr>SSDS</vt:lpstr>
      <vt:lpstr>Ground Station Control</vt:lpstr>
      <vt:lpstr>Object Detection Softwre</vt:lpstr>
      <vt:lpstr>Object Avoidance </vt:lpstr>
      <vt:lpstr>Geotagging Software</vt:lpstr>
      <vt:lpstr>Navigation Software</vt:lpstr>
      <vt:lpstr>Path PlanningFlight</vt:lpstr>
      <vt:lpstr>GIS</vt:lpstr>
      <vt:lpstr>API</vt:lpstr>
      <vt:lpstr>UI INterface</vt:lpstr>
      <vt:lpstr>Chassis</vt:lpstr>
      <vt:lpstr>Chassis Kit Cost</vt:lpstr>
      <vt:lpstr>Wheels</vt:lpstr>
      <vt:lpstr>Motors</vt:lpstr>
      <vt:lpstr>Motor Controller</vt:lpstr>
      <vt:lpstr>Suspension</vt:lpstr>
      <vt:lpstr>Batterry</vt:lpstr>
      <vt:lpstr>NavigationSenor</vt:lpstr>
      <vt:lpstr>IMU Sensor</vt:lpstr>
      <vt:lpstr>LiDAR Sensor</vt:lpstr>
      <vt:lpstr>Ultrasonic Sensors</vt:lpstr>
      <vt:lpstr>Control System</vt:lpstr>
      <vt:lpstr>Flight controller</vt:lpstr>
      <vt:lpstr>Wireless Communication Module</vt:lpstr>
      <vt:lpstr>Bluetooth Module</vt:lpstr>
      <vt:lpstr>RTK GPS Module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Botha Smit</dc:creator>
  <cp:lastModifiedBy>Botha Smit</cp:lastModifiedBy>
  <dcterms:created xsi:type="dcterms:W3CDTF">2024-08-13T07:29:23Z</dcterms:created>
  <dcterms:modified xsi:type="dcterms:W3CDTF">2025-03-26T10:56:06Z</dcterms:modified>
</cp:coreProperties>
</file>