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ales\OneDrive\Documents\04 PhD Programme\06 Analysis\02 Results\"/>
    </mc:Choice>
  </mc:AlternateContent>
  <bookViews>
    <workbookView xWindow="120" yWindow="60" windowWidth="15255" windowHeight="8160" tabRatio="880" firstSheet="1" activeTab="1"/>
  </bookViews>
  <sheets>
    <sheet name="Data" sheetId="16" state="hidden" r:id="rId1"/>
    <sheet name="Company Overview" sheetId="24" r:id="rId2"/>
    <sheet name="Summary Performance" sheetId="23" r:id="rId3"/>
    <sheet name="Financial Analsysis" sheetId="9" r:id="rId4"/>
    <sheet name="Income Statement Analysis" sheetId="4" r:id="rId5"/>
    <sheet name="Balance Sheet Analysis" sheetId="5" r:id="rId6"/>
    <sheet name="Cashflow Analysis" sheetId="7" r:id="rId7"/>
    <sheet name="Operations Analysis" sheetId="8" state="hidden" r:id="rId8"/>
    <sheet name="Income Statement" sheetId="1" r:id="rId9"/>
    <sheet name="Balance Sheet" sheetId="2" r:id="rId10"/>
    <sheet name="Cashflow Statement" sheetId="3" r:id="rId11"/>
  </sheets>
  <definedNames>
    <definedName name="_xlnm.Print_Area" localSheetId="1">'Company Overview'!$A$1:$A$34</definedName>
    <definedName name="_xlnm.Print_Area" localSheetId="3">'Financial Analsysis'!$A$1:$V$53</definedName>
    <definedName name="Rating">Data!$A$4:$A$8</definedName>
  </definedNames>
  <calcPr calcId="152511"/>
</workbook>
</file>

<file path=xl/calcChain.xml><?xml version="1.0" encoding="utf-8"?>
<calcChain xmlns="http://schemas.openxmlformats.org/spreadsheetml/2006/main">
  <c r="B63" i="5" l="1"/>
  <c r="L63" i="5"/>
  <c r="K63" i="5"/>
  <c r="J63" i="5"/>
  <c r="I63" i="5"/>
  <c r="H63" i="5"/>
  <c r="G63" i="5"/>
  <c r="F63" i="5"/>
  <c r="E63" i="5"/>
  <c r="D63" i="5"/>
  <c r="C63" i="5"/>
  <c r="N63" i="5"/>
  <c r="N61" i="5"/>
  <c r="N60" i="5"/>
  <c r="N59" i="5"/>
  <c r="B58" i="5"/>
  <c r="C58" i="5"/>
  <c r="D58" i="5"/>
  <c r="E58" i="5"/>
  <c r="F58" i="5"/>
  <c r="G58" i="5"/>
  <c r="H58" i="5"/>
  <c r="I58" i="5"/>
  <c r="J58" i="5"/>
  <c r="K58" i="5"/>
  <c r="L58" i="5"/>
  <c r="B59" i="5"/>
  <c r="C59" i="5"/>
  <c r="D59" i="5"/>
  <c r="E59" i="5"/>
  <c r="F59" i="5"/>
  <c r="G59" i="5"/>
  <c r="H59" i="5"/>
  <c r="I59" i="5"/>
  <c r="J59" i="5"/>
  <c r="K59" i="5"/>
  <c r="L59" i="5"/>
  <c r="B60" i="5"/>
  <c r="C60" i="5"/>
  <c r="D60" i="5"/>
  <c r="E60" i="5"/>
  <c r="F60" i="5"/>
  <c r="G60" i="5"/>
  <c r="H60" i="5"/>
  <c r="I60" i="5"/>
  <c r="J60" i="5"/>
  <c r="K60" i="5"/>
  <c r="L60" i="5"/>
  <c r="B61" i="5"/>
  <c r="C61" i="5"/>
  <c r="D61" i="5"/>
  <c r="E61" i="5"/>
  <c r="F61" i="5"/>
  <c r="G61" i="5"/>
  <c r="H61" i="5"/>
  <c r="I61" i="5"/>
  <c r="J61" i="5"/>
  <c r="K61" i="5"/>
  <c r="L61" i="5"/>
  <c r="A61" i="5"/>
  <c r="A60" i="5"/>
  <c r="A59" i="5"/>
  <c r="A58" i="5"/>
  <c r="C40" i="4"/>
  <c r="D40" i="4"/>
  <c r="E40" i="4"/>
  <c r="F40" i="4"/>
  <c r="G40" i="4"/>
  <c r="H40" i="4"/>
  <c r="I40" i="4"/>
  <c r="J40" i="4"/>
  <c r="K40" i="4"/>
  <c r="L40" i="4"/>
  <c r="B40" i="4"/>
  <c r="B41" i="4"/>
  <c r="C41" i="4"/>
  <c r="D41" i="4"/>
  <c r="E41" i="4"/>
  <c r="F41" i="4"/>
  <c r="G41" i="4"/>
  <c r="H41" i="4"/>
  <c r="I41" i="4"/>
  <c r="J41" i="4"/>
  <c r="K41" i="4"/>
  <c r="L41" i="4"/>
  <c r="N41" i="4" s="1"/>
  <c r="A41" i="4"/>
  <c r="N40" i="4"/>
  <c r="N39" i="4"/>
  <c r="N38" i="4"/>
  <c r="B39" i="4"/>
  <c r="C39" i="4"/>
  <c r="D39" i="4"/>
  <c r="E39" i="4"/>
  <c r="F39" i="4"/>
  <c r="G39" i="4"/>
  <c r="H39" i="4"/>
  <c r="I39" i="4"/>
  <c r="J39" i="4"/>
  <c r="K39" i="4"/>
  <c r="L39" i="4"/>
  <c r="A39" i="4"/>
  <c r="A40" i="4"/>
  <c r="A38" i="4"/>
  <c r="B38" i="4"/>
  <c r="C38" i="4"/>
  <c r="D38" i="4"/>
  <c r="E38" i="4"/>
  <c r="F38" i="4"/>
  <c r="G38" i="4"/>
  <c r="H38" i="4"/>
  <c r="I38" i="4"/>
  <c r="J38" i="4"/>
  <c r="K38" i="4"/>
  <c r="L38" i="4"/>
  <c r="B37" i="4"/>
  <c r="C37" i="4"/>
  <c r="D37" i="4"/>
  <c r="E37" i="4"/>
  <c r="F37" i="4"/>
  <c r="G37" i="4"/>
  <c r="H37" i="4"/>
  <c r="I37" i="4"/>
  <c r="J37" i="4"/>
  <c r="K37" i="4"/>
  <c r="L37" i="4"/>
  <c r="N37" i="4"/>
  <c r="A37" i="4"/>
  <c r="N8" i="5" l="1"/>
  <c r="N27" i="7" l="1"/>
  <c r="N37" i="7"/>
  <c r="N31" i="7"/>
  <c r="N29" i="7"/>
  <c r="B7" i="3"/>
  <c r="C7" i="3"/>
  <c r="A6" i="7"/>
  <c r="B6" i="7"/>
  <c r="C6" i="7"/>
  <c r="D6" i="7"/>
  <c r="E6" i="7"/>
  <c r="F6" i="7"/>
  <c r="G6" i="7"/>
  <c r="H6" i="7"/>
  <c r="I6" i="7"/>
  <c r="J6" i="7"/>
  <c r="K6" i="7"/>
  <c r="L6" i="7"/>
  <c r="A7" i="7"/>
  <c r="B7" i="7"/>
  <c r="C7" i="7"/>
  <c r="D7" i="7"/>
  <c r="E7" i="7"/>
  <c r="F7" i="7"/>
  <c r="G7" i="7"/>
  <c r="H7" i="7"/>
  <c r="I7" i="7"/>
  <c r="J7" i="7"/>
  <c r="K7" i="7"/>
  <c r="L7" i="7"/>
  <c r="A8" i="7"/>
  <c r="B8" i="7"/>
  <c r="C8" i="7"/>
  <c r="D8" i="7"/>
  <c r="E8" i="7"/>
  <c r="F8" i="7"/>
  <c r="G8" i="7"/>
  <c r="H8" i="7"/>
  <c r="I8" i="7"/>
  <c r="J8" i="7"/>
  <c r="K8" i="7"/>
  <c r="L8" i="7"/>
  <c r="A9" i="7"/>
  <c r="B9" i="7"/>
  <c r="C9" i="7"/>
  <c r="D9" i="7"/>
  <c r="E9" i="7"/>
  <c r="F9" i="7"/>
  <c r="G9" i="7"/>
  <c r="H9" i="7"/>
  <c r="I9" i="7"/>
  <c r="J9" i="7"/>
  <c r="K9" i="7"/>
  <c r="L9" i="7"/>
  <c r="A10" i="7"/>
  <c r="B10" i="7"/>
  <c r="C10" i="7"/>
  <c r="D10" i="7"/>
  <c r="E10" i="7"/>
  <c r="F10" i="7"/>
  <c r="G10" i="7"/>
  <c r="H10" i="7"/>
  <c r="I10" i="7"/>
  <c r="J10" i="7"/>
  <c r="K10" i="7"/>
  <c r="L10" i="7"/>
  <c r="A46" i="5"/>
  <c r="B46" i="5"/>
  <c r="C46" i="5"/>
  <c r="D46" i="5"/>
  <c r="E46" i="5"/>
  <c r="F46" i="5"/>
  <c r="G46" i="5"/>
  <c r="H46" i="5"/>
  <c r="I46" i="5"/>
  <c r="J46" i="5"/>
  <c r="K46" i="5"/>
  <c r="L46" i="5"/>
  <c r="A47" i="5"/>
  <c r="B47" i="5"/>
  <c r="C47" i="5"/>
  <c r="D47" i="5"/>
  <c r="E47" i="5"/>
  <c r="F47" i="5"/>
  <c r="G47" i="5"/>
  <c r="H47" i="5"/>
  <c r="I47" i="5"/>
  <c r="J47" i="5"/>
  <c r="K47" i="5"/>
  <c r="L47" i="5"/>
  <c r="A48" i="5"/>
  <c r="B48" i="5"/>
  <c r="C48" i="5"/>
  <c r="D48" i="5"/>
  <c r="E48" i="5"/>
  <c r="F48" i="5"/>
  <c r="G48" i="5"/>
  <c r="H48" i="5"/>
  <c r="I48" i="5"/>
  <c r="J48" i="5"/>
  <c r="K48" i="5"/>
  <c r="L48" i="5"/>
  <c r="A49" i="5"/>
  <c r="B49" i="5"/>
  <c r="C49" i="5"/>
  <c r="D49" i="5"/>
  <c r="E49" i="5"/>
  <c r="F49" i="5"/>
  <c r="G49" i="5"/>
  <c r="H49" i="5"/>
  <c r="I49" i="5"/>
  <c r="J49" i="5"/>
  <c r="K49" i="5"/>
  <c r="L49" i="5"/>
  <c r="A50" i="5"/>
  <c r="B50" i="5"/>
  <c r="C50" i="5"/>
  <c r="D50" i="5"/>
  <c r="E50" i="5"/>
  <c r="F50" i="5"/>
  <c r="G50" i="5"/>
  <c r="H50" i="5"/>
  <c r="I50" i="5"/>
  <c r="J50" i="5"/>
  <c r="K50" i="5"/>
  <c r="L50" i="5"/>
  <c r="B45" i="5"/>
  <c r="C45" i="5"/>
  <c r="D45" i="5"/>
  <c r="E45" i="5"/>
  <c r="F45" i="5"/>
  <c r="G45" i="5"/>
  <c r="H45" i="5"/>
  <c r="I45" i="5"/>
  <c r="J45" i="5"/>
  <c r="K45" i="5"/>
  <c r="L45" i="5"/>
  <c r="A39" i="5"/>
  <c r="B39" i="5"/>
  <c r="C39" i="5"/>
  <c r="D39" i="5"/>
  <c r="E39" i="5"/>
  <c r="F39" i="5"/>
  <c r="G39" i="5"/>
  <c r="H39" i="5"/>
  <c r="I39" i="5"/>
  <c r="J39" i="5"/>
  <c r="K39" i="5"/>
  <c r="L39" i="5"/>
  <c r="A40" i="5"/>
  <c r="B40" i="5"/>
  <c r="C40" i="5"/>
  <c r="D40" i="5"/>
  <c r="E40" i="5"/>
  <c r="F40" i="5"/>
  <c r="G40" i="5"/>
  <c r="H40" i="5"/>
  <c r="I40" i="5"/>
  <c r="J40" i="5"/>
  <c r="K40" i="5"/>
  <c r="L40" i="5"/>
  <c r="A41" i="5"/>
  <c r="B41" i="5"/>
  <c r="C41" i="5"/>
  <c r="D41" i="5"/>
  <c r="E41" i="5"/>
  <c r="F41" i="5"/>
  <c r="G41" i="5"/>
  <c r="H41" i="5"/>
  <c r="I41" i="5"/>
  <c r="J41" i="5"/>
  <c r="K41" i="5"/>
  <c r="L41" i="5"/>
  <c r="A31" i="5"/>
  <c r="B31" i="5"/>
  <c r="C31" i="5"/>
  <c r="D31" i="5"/>
  <c r="E31" i="5"/>
  <c r="F31" i="5"/>
  <c r="G31" i="5"/>
  <c r="H31" i="5"/>
  <c r="I31" i="5"/>
  <c r="J31" i="5"/>
  <c r="K31" i="5"/>
  <c r="L31" i="5"/>
  <c r="A32" i="5"/>
  <c r="B32" i="5"/>
  <c r="C32" i="5"/>
  <c r="D32" i="5"/>
  <c r="E32" i="5"/>
  <c r="F32" i="5"/>
  <c r="G32" i="5"/>
  <c r="H32" i="5"/>
  <c r="I32" i="5"/>
  <c r="J32" i="5"/>
  <c r="K32" i="5"/>
  <c r="L32" i="5"/>
  <c r="A33" i="5"/>
  <c r="B33" i="5"/>
  <c r="C33" i="5"/>
  <c r="D33" i="5"/>
  <c r="E33" i="5"/>
  <c r="F33" i="5"/>
  <c r="G33" i="5"/>
  <c r="H33" i="5"/>
  <c r="I33" i="5"/>
  <c r="J33" i="5"/>
  <c r="K33" i="5"/>
  <c r="L33" i="5"/>
  <c r="A34" i="5"/>
  <c r="B34" i="5"/>
  <c r="C34" i="5"/>
  <c r="D34" i="5"/>
  <c r="E34" i="5"/>
  <c r="F34" i="5"/>
  <c r="G34" i="5"/>
  <c r="H34" i="5"/>
  <c r="I34" i="5"/>
  <c r="J34" i="5"/>
  <c r="K34" i="5"/>
  <c r="L34" i="5"/>
  <c r="A17" i="5"/>
  <c r="B17" i="5"/>
  <c r="C17" i="5"/>
  <c r="D17" i="5"/>
  <c r="E17" i="5"/>
  <c r="F17" i="5"/>
  <c r="G17" i="5"/>
  <c r="H17" i="5"/>
  <c r="I17" i="5"/>
  <c r="J17" i="5"/>
  <c r="K17" i="5"/>
  <c r="L17" i="5"/>
  <c r="A18" i="5"/>
  <c r="B18" i="5"/>
  <c r="C18" i="5"/>
  <c r="D18" i="5"/>
  <c r="E18" i="5"/>
  <c r="F18" i="5"/>
  <c r="G18" i="5"/>
  <c r="H18" i="5"/>
  <c r="I18" i="5"/>
  <c r="J18" i="5"/>
  <c r="K18" i="5"/>
  <c r="L18" i="5"/>
  <c r="A19" i="5"/>
  <c r="B19" i="5"/>
  <c r="C19" i="5"/>
  <c r="D19" i="5"/>
  <c r="E19" i="5"/>
  <c r="F19" i="5"/>
  <c r="G19" i="5"/>
  <c r="H19" i="5"/>
  <c r="I19" i="5"/>
  <c r="J19" i="5"/>
  <c r="K19" i="5"/>
  <c r="L19" i="5"/>
  <c r="A20" i="5"/>
  <c r="B20" i="5"/>
  <c r="C20" i="5"/>
  <c r="D20" i="5"/>
  <c r="E20" i="5"/>
  <c r="F20" i="5"/>
  <c r="G20" i="5"/>
  <c r="H20" i="5"/>
  <c r="I20" i="5"/>
  <c r="J20" i="5"/>
  <c r="K20" i="5"/>
  <c r="L20" i="5"/>
  <c r="A21" i="5"/>
  <c r="B21" i="5"/>
  <c r="C21" i="5"/>
  <c r="D21" i="5"/>
  <c r="E21" i="5"/>
  <c r="F21" i="5"/>
  <c r="G21" i="5"/>
  <c r="H21" i="5"/>
  <c r="I21" i="5"/>
  <c r="J21" i="5"/>
  <c r="K21" i="5"/>
  <c r="L21" i="5"/>
  <c r="A22" i="5"/>
  <c r="B22" i="5"/>
  <c r="C22" i="5"/>
  <c r="D22" i="5"/>
  <c r="E22" i="5"/>
  <c r="F22" i="5"/>
  <c r="G22" i="5"/>
  <c r="H22" i="5"/>
  <c r="I22" i="5"/>
  <c r="J22" i="5"/>
  <c r="K22" i="5"/>
  <c r="L22" i="5"/>
  <c r="B16" i="5"/>
  <c r="C16" i="5"/>
  <c r="D16" i="5"/>
  <c r="E16" i="5"/>
  <c r="F16" i="5"/>
  <c r="G16" i="5"/>
  <c r="H16" i="5"/>
  <c r="I16" i="5"/>
  <c r="J16" i="5"/>
  <c r="K16" i="5"/>
  <c r="L16" i="5"/>
  <c r="A7" i="5"/>
  <c r="B7" i="5"/>
  <c r="C7" i="5"/>
  <c r="D7" i="5"/>
  <c r="E7" i="5"/>
  <c r="F7" i="5"/>
  <c r="G7" i="5"/>
  <c r="H7" i="5"/>
  <c r="I7" i="5"/>
  <c r="J7" i="5"/>
  <c r="K7" i="5"/>
  <c r="L7" i="5"/>
  <c r="A8" i="5"/>
  <c r="B8" i="5"/>
  <c r="C8" i="5"/>
  <c r="D8" i="5"/>
  <c r="E8" i="5"/>
  <c r="F8" i="5"/>
  <c r="G8" i="5"/>
  <c r="H8" i="5"/>
  <c r="I8" i="5"/>
  <c r="J8" i="5"/>
  <c r="K8" i="5"/>
  <c r="L8" i="5"/>
  <c r="A9" i="5"/>
  <c r="B9" i="5"/>
  <c r="C9" i="5"/>
  <c r="D9" i="5"/>
  <c r="E9" i="5"/>
  <c r="F9" i="5"/>
  <c r="G9" i="5"/>
  <c r="H9" i="5"/>
  <c r="I9" i="5"/>
  <c r="J9" i="5"/>
  <c r="K9" i="5"/>
  <c r="L9" i="5"/>
  <c r="A10" i="5"/>
  <c r="B10" i="5"/>
  <c r="C10" i="5"/>
  <c r="D10" i="5"/>
  <c r="E10" i="5"/>
  <c r="F10" i="5"/>
  <c r="G10" i="5"/>
  <c r="H10" i="5"/>
  <c r="I10" i="5"/>
  <c r="J10" i="5"/>
  <c r="K10" i="5"/>
  <c r="L10" i="5"/>
  <c r="A11" i="5"/>
  <c r="B11" i="5"/>
  <c r="C11" i="5"/>
  <c r="D11" i="5"/>
  <c r="E11" i="5"/>
  <c r="F11" i="5"/>
  <c r="G11" i="5"/>
  <c r="H11" i="5"/>
  <c r="I11" i="5"/>
  <c r="J11" i="5"/>
  <c r="K11" i="5"/>
  <c r="L11" i="5"/>
  <c r="A12" i="5"/>
  <c r="B12" i="5"/>
  <c r="C12" i="5"/>
  <c r="D12" i="5"/>
  <c r="E12" i="5"/>
  <c r="F12" i="5"/>
  <c r="G12" i="5"/>
  <c r="H12" i="5"/>
  <c r="I12" i="5"/>
  <c r="J12" i="5"/>
  <c r="K12" i="5"/>
  <c r="L12" i="5"/>
  <c r="N47" i="5"/>
  <c r="N38" i="5"/>
  <c r="N21" i="5"/>
  <c r="N11" i="5"/>
  <c r="K12" i="1"/>
  <c r="J12" i="1"/>
  <c r="A23" i="4"/>
  <c r="B23" i="4"/>
  <c r="C23" i="4"/>
  <c r="D23" i="4"/>
  <c r="E23" i="4"/>
  <c r="F23" i="4"/>
  <c r="G23" i="4"/>
  <c r="H23" i="4"/>
  <c r="I23" i="4"/>
  <c r="A11" i="4"/>
  <c r="B11" i="4"/>
  <c r="C11" i="4"/>
  <c r="D11" i="4"/>
  <c r="E11" i="4"/>
  <c r="F11" i="4"/>
  <c r="G11" i="4"/>
  <c r="H11" i="4"/>
  <c r="I11" i="4"/>
  <c r="J11" i="4"/>
  <c r="K11" i="4"/>
  <c r="L11" i="4"/>
  <c r="H12" i="1"/>
  <c r="I12" i="1"/>
  <c r="A16" i="7"/>
  <c r="B16" i="7"/>
  <c r="C16" i="7"/>
  <c r="D16" i="7"/>
  <c r="E16" i="7"/>
  <c r="F16" i="7"/>
  <c r="G16" i="7"/>
  <c r="H16" i="7"/>
  <c r="I16" i="7"/>
  <c r="J16" i="7"/>
  <c r="K16" i="7"/>
  <c r="L16" i="7"/>
  <c r="A26" i="7"/>
  <c r="B26" i="7"/>
  <c r="C26" i="7"/>
  <c r="D26" i="7"/>
  <c r="E26" i="7"/>
  <c r="F26" i="7"/>
  <c r="G26" i="7"/>
  <c r="H26" i="7"/>
  <c r="I26" i="7"/>
  <c r="J26" i="7"/>
  <c r="K26" i="7"/>
  <c r="L26" i="7"/>
  <c r="B12" i="3"/>
  <c r="C12" i="3"/>
  <c r="D12" i="3"/>
  <c r="E12" i="3"/>
  <c r="F12" i="3"/>
  <c r="G12" i="3"/>
  <c r="H12" i="3"/>
  <c r="I12" i="3"/>
  <c r="J12" i="3"/>
  <c r="K12" i="3"/>
  <c r="L12" i="3"/>
  <c r="A10" i="4"/>
  <c r="A22" i="4" s="1"/>
  <c r="B10" i="4"/>
  <c r="C10" i="4"/>
  <c r="D10" i="4"/>
  <c r="E10" i="4"/>
  <c r="F10" i="4"/>
  <c r="G10" i="4"/>
  <c r="H10" i="4"/>
  <c r="I10" i="4"/>
  <c r="J10" i="4"/>
  <c r="K10" i="4"/>
  <c r="L10" i="4"/>
  <c r="A5" i="4"/>
  <c r="A6" i="4"/>
  <c r="A7" i="4"/>
  <c r="A8" i="4"/>
  <c r="A9" i="4"/>
  <c r="A12" i="4"/>
  <c r="A13" i="4"/>
  <c r="A14" i="4"/>
  <c r="B12" i="1"/>
  <c r="N10" i="4" l="1"/>
  <c r="A34" i="4"/>
  <c r="B34" i="4"/>
  <c r="C34" i="4"/>
  <c r="D34" i="4"/>
  <c r="E34" i="4"/>
  <c r="F34" i="4"/>
  <c r="G34" i="4"/>
  <c r="H34" i="4"/>
  <c r="I34" i="4"/>
  <c r="J34" i="4"/>
  <c r="K34" i="4"/>
  <c r="L34" i="4"/>
  <c r="B33" i="4"/>
  <c r="C33" i="4"/>
  <c r="D33" i="4"/>
  <c r="E33" i="4"/>
  <c r="F33" i="4"/>
  <c r="G33" i="4"/>
  <c r="H33" i="4"/>
  <c r="I33" i="4"/>
  <c r="J33" i="4"/>
  <c r="K33" i="4"/>
  <c r="L33" i="4"/>
  <c r="A33" i="4"/>
  <c r="A31" i="4"/>
  <c r="B31" i="4"/>
  <c r="C31" i="4"/>
  <c r="D31" i="4"/>
  <c r="E31" i="4"/>
  <c r="F31" i="4"/>
  <c r="G31" i="4"/>
  <c r="H31" i="4"/>
  <c r="I31" i="4"/>
  <c r="J31" i="4"/>
  <c r="K31" i="4"/>
  <c r="L31" i="4"/>
  <c r="N31" i="4" l="1"/>
  <c r="N34" i="4"/>
  <c r="N33" i="4"/>
  <c r="A30" i="4"/>
  <c r="B30" i="4"/>
  <c r="C30" i="4"/>
  <c r="D30" i="4"/>
  <c r="E30" i="4"/>
  <c r="F30" i="4"/>
  <c r="G30" i="4"/>
  <c r="H30" i="4"/>
  <c r="I30" i="4"/>
  <c r="J30" i="4"/>
  <c r="K30" i="4"/>
  <c r="L30" i="4"/>
  <c r="B29" i="4"/>
  <c r="B25" i="9" s="1"/>
  <c r="C29" i="4"/>
  <c r="D29" i="4"/>
  <c r="E29" i="4"/>
  <c r="F29" i="4"/>
  <c r="G29" i="4"/>
  <c r="H29" i="4"/>
  <c r="I29" i="4"/>
  <c r="J29" i="4"/>
  <c r="K29" i="4"/>
  <c r="L29" i="4"/>
  <c r="A29" i="4"/>
  <c r="A5" i="7"/>
  <c r="B5" i="7"/>
  <c r="C5" i="7"/>
  <c r="D5" i="7"/>
  <c r="E5" i="7"/>
  <c r="F5" i="7"/>
  <c r="G5" i="7"/>
  <c r="H5" i="7"/>
  <c r="I5" i="7"/>
  <c r="J5" i="7"/>
  <c r="K5" i="7"/>
  <c r="L5" i="7"/>
  <c r="A11" i="7"/>
  <c r="C11" i="7"/>
  <c r="D11" i="7"/>
  <c r="E11" i="7"/>
  <c r="F11" i="7"/>
  <c r="G11" i="7"/>
  <c r="H11" i="7"/>
  <c r="I11" i="7"/>
  <c r="J11" i="7"/>
  <c r="A13" i="7"/>
  <c r="A14" i="7"/>
  <c r="B14" i="7"/>
  <c r="C14" i="7"/>
  <c r="D14" i="7"/>
  <c r="E14" i="7"/>
  <c r="F14" i="7"/>
  <c r="G14" i="7"/>
  <c r="H14" i="7"/>
  <c r="I14" i="7"/>
  <c r="J14" i="7"/>
  <c r="K14" i="7"/>
  <c r="L14" i="7"/>
  <c r="A15" i="7"/>
  <c r="B15" i="7"/>
  <c r="C15" i="7"/>
  <c r="D15" i="7"/>
  <c r="E15" i="7"/>
  <c r="F15" i="7"/>
  <c r="G15" i="7"/>
  <c r="H15" i="7"/>
  <c r="I15" i="7"/>
  <c r="J15" i="7"/>
  <c r="K15" i="7"/>
  <c r="L15" i="7"/>
  <c r="A17" i="7"/>
  <c r="B17" i="7"/>
  <c r="C17" i="7"/>
  <c r="D17" i="7"/>
  <c r="E17" i="7"/>
  <c r="F17" i="7"/>
  <c r="G17" i="7"/>
  <c r="H17" i="7"/>
  <c r="I17" i="7"/>
  <c r="J17" i="7"/>
  <c r="K17" i="7"/>
  <c r="L17" i="7"/>
  <c r="A18" i="7"/>
  <c r="B18" i="7"/>
  <c r="C18" i="7"/>
  <c r="D18" i="7"/>
  <c r="E18" i="7"/>
  <c r="F18" i="7"/>
  <c r="G18" i="7"/>
  <c r="H18" i="7"/>
  <c r="I18" i="7"/>
  <c r="J18" i="7"/>
  <c r="K18" i="7"/>
  <c r="L18" i="7"/>
  <c r="A19" i="7"/>
  <c r="B19" i="7"/>
  <c r="C19" i="7"/>
  <c r="D19" i="7"/>
  <c r="E19" i="7"/>
  <c r="F19" i="7"/>
  <c r="G19" i="7"/>
  <c r="H19" i="7"/>
  <c r="I19" i="7"/>
  <c r="J19" i="7"/>
  <c r="K19" i="7"/>
  <c r="L19" i="7"/>
  <c r="A20" i="7"/>
  <c r="B20" i="7"/>
  <c r="C20" i="7"/>
  <c r="D20" i="7"/>
  <c r="E20" i="7"/>
  <c r="F20" i="7"/>
  <c r="G20" i="7"/>
  <c r="H20" i="7"/>
  <c r="I20" i="7"/>
  <c r="J20" i="7"/>
  <c r="K20" i="7"/>
  <c r="L20" i="7"/>
  <c r="A21" i="7"/>
  <c r="A23" i="7"/>
  <c r="A24" i="7"/>
  <c r="B24" i="7"/>
  <c r="C24" i="7"/>
  <c r="D24" i="7"/>
  <c r="E24" i="7"/>
  <c r="F24" i="7"/>
  <c r="G24" i="7"/>
  <c r="H24" i="7"/>
  <c r="I24" i="7"/>
  <c r="J24" i="7"/>
  <c r="K24" i="7"/>
  <c r="L24" i="7"/>
  <c r="A25" i="7"/>
  <c r="B25" i="7"/>
  <c r="C25" i="7"/>
  <c r="D25" i="7"/>
  <c r="E25" i="7"/>
  <c r="F25" i="7"/>
  <c r="G25" i="7"/>
  <c r="H25" i="7"/>
  <c r="I25" i="7"/>
  <c r="J25" i="7"/>
  <c r="K25" i="7"/>
  <c r="L25" i="7"/>
  <c r="A27" i="7"/>
  <c r="B27" i="7"/>
  <c r="C27" i="7"/>
  <c r="D27" i="7"/>
  <c r="E27" i="7"/>
  <c r="F27" i="7"/>
  <c r="G27" i="7"/>
  <c r="H27" i="7"/>
  <c r="I27" i="7"/>
  <c r="J27" i="7"/>
  <c r="K27" i="7"/>
  <c r="L27" i="7"/>
  <c r="A28" i="7"/>
  <c r="B28" i="7"/>
  <c r="C28" i="7"/>
  <c r="D28" i="7"/>
  <c r="E28" i="7"/>
  <c r="F28" i="7"/>
  <c r="G28" i="7"/>
  <c r="H28" i="7"/>
  <c r="I28" i="7"/>
  <c r="J28" i="7"/>
  <c r="K28" i="7"/>
  <c r="L28" i="7"/>
  <c r="A29" i="7"/>
  <c r="B29" i="7"/>
  <c r="C29" i="7"/>
  <c r="D29" i="7"/>
  <c r="E29" i="7"/>
  <c r="F29" i="7"/>
  <c r="G29" i="7"/>
  <c r="H29" i="7"/>
  <c r="I29" i="7"/>
  <c r="J29" i="7"/>
  <c r="K29" i="7"/>
  <c r="L29" i="7"/>
  <c r="A30" i="7"/>
  <c r="B30" i="7"/>
  <c r="C30" i="7"/>
  <c r="D30" i="7"/>
  <c r="E30" i="7"/>
  <c r="F30" i="7"/>
  <c r="G30" i="7"/>
  <c r="H30" i="7"/>
  <c r="I30" i="7"/>
  <c r="J30" i="7"/>
  <c r="K30" i="7"/>
  <c r="L30" i="7"/>
  <c r="A31" i="7"/>
  <c r="B31" i="7"/>
  <c r="C31" i="7"/>
  <c r="D31" i="7"/>
  <c r="E31" i="7"/>
  <c r="F31" i="7"/>
  <c r="G31" i="7"/>
  <c r="H31" i="7"/>
  <c r="I31" i="7"/>
  <c r="J31" i="7"/>
  <c r="K31" i="7"/>
  <c r="L31" i="7"/>
  <c r="A32" i="7"/>
  <c r="A34" i="7"/>
  <c r="A36" i="7"/>
  <c r="B36" i="7"/>
  <c r="C36" i="7"/>
  <c r="D36" i="7"/>
  <c r="E36" i="7"/>
  <c r="F36" i="7"/>
  <c r="G36" i="7"/>
  <c r="H36" i="7"/>
  <c r="I36" i="7"/>
  <c r="J36" i="7"/>
  <c r="K36" i="7"/>
  <c r="L36" i="7"/>
  <c r="A37" i="7"/>
  <c r="B37" i="7"/>
  <c r="C37" i="7"/>
  <c r="D37" i="7"/>
  <c r="E37" i="7"/>
  <c r="F37" i="7"/>
  <c r="G37" i="7"/>
  <c r="H37" i="7"/>
  <c r="I37" i="7"/>
  <c r="J37" i="7"/>
  <c r="K37" i="7"/>
  <c r="L37" i="7"/>
  <c r="A39" i="7"/>
  <c r="N28" i="7" l="1"/>
  <c r="N25" i="7"/>
  <c r="N17" i="7"/>
  <c r="N14" i="7"/>
  <c r="N36" i="7"/>
  <c r="N9" i="7"/>
  <c r="N7" i="7"/>
  <c r="N30" i="4"/>
  <c r="N29" i="4"/>
  <c r="A29" i="5"/>
  <c r="A30" i="5"/>
  <c r="A5" i="5"/>
  <c r="A6" i="5"/>
  <c r="B6" i="5"/>
  <c r="N6" i="5" s="1"/>
  <c r="C6" i="5"/>
  <c r="D6" i="5"/>
  <c r="E6" i="5"/>
  <c r="F6" i="5"/>
  <c r="G6" i="5"/>
  <c r="H6" i="5"/>
  <c r="I6" i="5"/>
  <c r="J6" i="5"/>
  <c r="K6" i="5"/>
  <c r="L6" i="5"/>
  <c r="N7" i="5"/>
  <c r="N9" i="5"/>
  <c r="N10" i="5"/>
  <c r="A13" i="5"/>
  <c r="A15" i="5"/>
  <c r="A16" i="5"/>
  <c r="A23" i="5"/>
  <c r="A25" i="5"/>
  <c r="A27" i="5"/>
  <c r="B30" i="5"/>
  <c r="C30" i="5"/>
  <c r="D30" i="5"/>
  <c r="E30" i="5"/>
  <c r="F30" i="5"/>
  <c r="G30" i="5"/>
  <c r="H30" i="5"/>
  <c r="I30" i="5"/>
  <c r="J30" i="5"/>
  <c r="K30" i="5"/>
  <c r="L30" i="5"/>
  <c r="N31" i="5"/>
  <c r="A35" i="5"/>
  <c r="A37" i="5"/>
  <c r="A38" i="5"/>
  <c r="B38" i="5"/>
  <c r="C38" i="5"/>
  <c r="D38" i="5"/>
  <c r="E38" i="5"/>
  <c r="F38" i="5"/>
  <c r="G38" i="5"/>
  <c r="H38" i="5"/>
  <c r="I38" i="5"/>
  <c r="J38" i="5"/>
  <c r="K38" i="5"/>
  <c r="L38" i="5"/>
  <c r="A42" i="5"/>
  <c r="K42" i="5"/>
  <c r="A44" i="5"/>
  <c r="A45" i="5"/>
  <c r="A51" i="5"/>
  <c r="A53" i="5"/>
  <c r="A55" i="5"/>
  <c r="L42" i="2"/>
  <c r="L42" i="5" s="1"/>
  <c r="C51" i="2"/>
  <c r="C51" i="5" s="1"/>
  <c r="D51" i="2"/>
  <c r="D51" i="5" s="1"/>
  <c r="E51" i="2"/>
  <c r="E51" i="5" s="1"/>
  <c r="F51" i="2"/>
  <c r="F51" i="5" s="1"/>
  <c r="G51" i="2"/>
  <c r="G51" i="5" s="1"/>
  <c r="H51" i="2"/>
  <c r="H51" i="5" s="1"/>
  <c r="I51" i="2"/>
  <c r="I51" i="5" s="1"/>
  <c r="J51" i="2"/>
  <c r="J51" i="5" s="1"/>
  <c r="B51" i="2"/>
  <c r="B51" i="5" s="1"/>
  <c r="B42" i="2"/>
  <c r="B42" i="5" s="1"/>
  <c r="C42" i="2"/>
  <c r="C42" i="5" s="1"/>
  <c r="D42" i="2"/>
  <c r="D42" i="5" s="1"/>
  <c r="E42" i="2"/>
  <c r="E42" i="5" s="1"/>
  <c r="F42" i="2"/>
  <c r="F42" i="5" s="1"/>
  <c r="G42" i="2"/>
  <c r="G42" i="5" s="1"/>
  <c r="H42" i="2"/>
  <c r="H42" i="5" s="1"/>
  <c r="I42" i="2"/>
  <c r="I42" i="5" s="1"/>
  <c r="J42" i="2"/>
  <c r="J42" i="5" s="1"/>
  <c r="C35" i="2"/>
  <c r="C35" i="5" s="1"/>
  <c r="D35" i="2"/>
  <c r="D35" i="5" s="1"/>
  <c r="E35" i="2"/>
  <c r="E35" i="5" s="1"/>
  <c r="F35" i="2"/>
  <c r="F35" i="5" s="1"/>
  <c r="G35" i="2"/>
  <c r="G35" i="5" s="1"/>
  <c r="H35" i="2"/>
  <c r="H35" i="5" s="1"/>
  <c r="I35" i="2"/>
  <c r="I35" i="5" s="1"/>
  <c r="J35" i="2"/>
  <c r="J35" i="5" s="1"/>
  <c r="L51" i="2"/>
  <c r="L51" i="5" s="1"/>
  <c r="L35" i="2"/>
  <c r="L35" i="5" s="1"/>
  <c r="K51" i="2"/>
  <c r="K51" i="5" s="1"/>
  <c r="K42" i="2"/>
  <c r="K53" i="2" s="1"/>
  <c r="K53" i="5" s="1"/>
  <c r="K35" i="2"/>
  <c r="K35" i="5" s="1"/>
  <c r="L23" i="2"/>
  <c r="L23" i="5" s="1"/>
  <c r="L13" i="2"/>
  <c r="B22" i="3"/>
  <c r="B21" i="7" s="1"/>
  <c r="C22" i="3"/>
  <c r="D22" i="3"/>
  <c r="D21" i="7" s="1"/>
  <c r="E22" i="3"/>
  <c r="E21" i="7" s="1"/>
  <c r="F22" i="3"/>
  <c r="F21" i="7" s="1"/>
  <c r="G22" i="3"/>
  <c r="G21" i="7" s="1"/>
  <c r="H22" i="3"/>
  <c r="H21" i="7" s="1"/>
  <c r="I22" i="3"/>
  <c r="I21" i="7" s="1"/>
  <c r="J22" i="3"/>
  <c r="J21" i="7" s="1"/>
  <c r="K22" i="3"/>
  <c r="K21" i="7" s="1"/>
  <c r="L22" i="3"/>
  <c r="L21" i="7" s="1"/>
  <c r="K6" i="1"/>
  <c r="K8" i="1" s="1"/>
  <c r="L6" i="1"/>
  <c r="N48" i="5" l="1"/>
  <c r="N46" i="5"/>
  <c r="N51" i="5"/>
  <c r="N45" i="5"/>
  <c r="N41" i="5"/>
  <c r="N40" i="5"/>
  <c r="N42" i="5"/>
  <c r="N30" i="5"/>
  <c r="N17" i="5"/>
  <c r="N22" i="5"/>
  <c r="L25" i="2"/>
  <c r="L25" i="5" s="1"/>
  <c r="N18" i="5"/>
  <c r="N12" i="5"/>
  <c r="K14" i="1"/>
  <c r="J53" i="2"/>
  <c r="J53" i="5" s="1"/>
  <c r="N21" i="7"/>
  <c r="C21" i="7"/>
  <c r="L13" i="5"/>
  <c r="L53" i="2"/>
  <c r="K55" i="2"/>
  <c r="K55" i="5" s="1"/>
  <c r="N51" i="9"/>
  <c r="R46" i="9"/>
  <c r="N46" i="9"/>
  <c r="P41" i="9"/>
  <c r="N41" i="9"/>
  <c r="N36" i="9"/>
  <c r="N26" i="9"/>
  <c r="N21" i="9"/>
  <c r="N16" i="9"/>
  <c r="N11" i="9"/>
  <c r="N6" i="9"/>
  <c r="L5" i="9"/>
  <c r="L8" i="9"/>
  <c r="L9" i="9"/>
  <c r="L13" i="9"/>
  <c r="G5" i="9"/>
  <c r="H5" i="9"/>
  <c r="I5" i="9"/>
  <c r="J5" i="9"/>
  <c r="K5" i="9"/>
  <c r="G13" i="9"/>
  <c r="H13" i="9"/>
  <c r="I13" i="9"/>
  <c r="J13" i="9"/>
  <c r="K13" i="9"/>
  <c r="C40" i="23"/>
  <c r="C41" i="23"/>
  <c r="C43" i="23"/>
  <c r="C44" i="23"/>
  <c r="L3" i="4"/>
  <c r="L4" i="4"/>
  <c r="L5" i="4"/>
  <c r="L7" i="4"/>
  <c r="L9" i="4"/>
  <c r="L13" i="4"/>
  <c r="G3" i="4"/>
  <c r="H3" i="4"/>
  <c r="I3" i="4"/>
  <c r="J3" i="4"/>
  <c r="K3" i="4"/>
  <c r="G4" i="4"/>
  <c r="G22" i="4" s="1"/>
  <c r="H4" i="4"/>
  <c r="H22" i="4" s="1"/>
  <c r="I4" i="4"/>
  <c r="I22" i="4" s="1"/>
  <c r="J4" i="4"/>
  <c r="K4" i="4"/>
  <c r="G7" i="4"/>
  <c r="H7" i="4"/>
  <c r="H19" i="4" s="1"/>
  <c r="I7" i="4"/>
  <c r="J7" i="4"/>
  <c r="K7" i="4"/>
  <c r="G9" i="4"/>
  <c r="H9" i="4"/>
  <c r="H21" i="4" s="1"/>
  <c r="I9" i="4"/>
  <c r="J9" i="4"/>
  <c r="K9" i="4"/>
  <c r="G13" i="4"/>
  <c r="H13" i="4"/>
  <c r="I13" i="4"/>
  <c r="J13" i="4"/>
  <c r="K13" i="4"/>
  <c r="G33" i="3"/>
  <c r="G32" i="7" s="1"/>
  <c r="H33" i="3"/>
  <c r="H32" i="7" s="1"/>
  <c r="I33" i="3"/>
  <c r="I32" i="7" s="1"/>
  <c r="J33" i="3"/>
  <c r="J32" i="7" s="1"/>
  <c r="K33" i="3"/>
  <c r="K32" i="7" s="1"/>
  <c r="L33" i="3"/>
  <c r="L32" i="7" s="1"/>
  <c r="K11" i="7"/>
  <c r="L11" i="7"/>
  <c r="L3" i="3"/>
  <c r="L3" i="7" s="1"/>
  <c r="G3" i="3"/>
  <c r="G3" i="7" s="1"/>
  <c r="H3" i="3"/>
  <c r="H3" i="7" s="1"/>
  <c r="I3" i="3"/>
  <c r="I3" i="7" s="1"/>
  <c r="J3" i="3"/>
  <c r="J3" i="7" s="1"/>
  <c r="K3" i="3"/>
  <c r="K3" i="7" s="1"/>
  <c r="I53" i="2"/>
  <c r="I53" i="5" s="1"/>
  <c r="G53" i="2"/>
  <c r="G53" i="5" s="1"/>
  <c r="H53" i="2"/>
  <c r="H53" i="5" s="1"/>
  <c r="P51" i="9"/>
  <c r="G23" i="2"/>
  <c r="G23" i="5" s="1"/>
  <c r="H23" i="2"/>
  <c r="H23" i="5" s="1"/>
  <c r="I23" i="2"/>
  <c r="I23" i="5" s="1"/>
  <c r="J23" i="2"/>
  <c r="J23" i="5" s="1"/>
  <c r="K23" i="2"/>
  <c r="K23" i="5" s="1"/>
  <c r="G13" i="2"/>
  <c r="G13" i="5" s="1"/>
  <c r="H13" i="2"/>
  <c r="H13" i="5" s="1"/>
  <c r="I13" i="2"/>
  <c r="I13" i="5" s="1"/>
  <c r="J13" i="2"/>
  <c r="J13" i="5" s="1"/>
  <c r="K13" i="2"/>
  <c r="K13" i="5" s="1"/>
  <c r="L3" i="2"/>
  <c r="L3" i="5" s="1"/>
  <c r="G3" i="2"/>
  <c r="G3" i="5" s="1"/>
  <c r="H3" i="2"/>
  <c r="H3" i="5" s="1"/>
  <c r="I3" i="2"/>
  <c r="I3" i="5" s="1"/>
  <c r="J3" i="2"/>
  <c r="J3" i="5" s="1"/>
  <c r="K3" i="2"/>
  <c r="K3" i="5" s="1"/>
  <c r="L8" i="1"/>
  <c r="L23" i="9" l="1"/>
  <c r="L12" i="1"/>
  <c r="L22" i="4"/>
  <c r="L23" i="4"/>
  <c r="L15" i="9"/>
  <c r="L7" i="9"/>
  <c r="K22" i="4"/>
  <c r="K23" i="4"/>
  <c r="J22" i="4"/>
  <c r="J23" i="4"/>
  <c r="J55" i="2"/>
  <c r="J55" i="5" s="1"/>
  <c r="J9" i="9"/>
  <c r="J8" i="9"/>
  <c r="J25" i="2"/>
  <c r="J25" i="5" s="1"/>
  <c r="J18" i="9"/>
  <c r="H35" i="3"/>
  <c r="H34" i="7" s="1"/>
  <c r="I19" i="4"/>
  <c r="I8" i="9"/>
  <c r="I9" i="9"/>
  <c r="H9" i="9"/>
  <c r="H8" i="9"/>
  <c r="I25" i="2"/>
  <c r="H25" i="2"/>
  <c r="G9" i="9"/>
  <c r="G8" i="9"/>
  <c r="G25" i="2"/>
  <c r="G18" i="9" s="1"/>
  <c r="I35" i="3"/>
  <c r="G35" i="3"/>
  <c r="G34" i="7" s="1"/>
  <c r="J35" i="3"/>
  <c r="L25" i="4"/>
  <c r="H25" i="4"/>
  <c r="I21" i="4"/>
  <c r="J19" i="4"/>
  <c r="L19" i="4"/>
  <c r="L55" i="2"/>
  <c r="L55" i="5" s="1"/>
  <c r="L53" i="5"/>
  <c r="K35" i="3"/>
  <c r="K34" i="7" s="1"/>
  <c r="L35" i="3"/>
  <c r="K25" i="4"/>
  <c r="G25" i="4"/>
  <c r="L17" i="4"/>
  <c r="J25" i="4"/>
  <c r="K21" i="4"/>
  <c r="G21" i="4"/>
  <c r="I25" i="4"/>
  <c r="J21" i="4"/>
  <c r="K19" i="4"/>
  <c r="G19" i="4"/>
  <c r="L21" i="4"/>
  <c r="L18" i="9"/>
  <c r="P46" i="9"/>
  <c r="I18" i="9"/>
  <c r="H18" i="9"/>
  <c r="G55" i="2"/>
  <c r="G55" i="5" s="1"/>
  <c r="I55" i="2"/>
  <c r="I55" i="5" s="1"/>
  <c r="H55" i="2"/>
  <c r="H55" i="5" s="1"/>
  <c r="K9" i="9"/>
  <c r="K8" i="9"/>
  <c r="K25" i="2"/>
  <c r="K25" i="5" s="1"/>
  <c r="L19" i="9"/>
  <c r="L22" i="9"/>
  <c r="L8" i="4"/>
  <c r="L20" i="4" s="1"/>
  <c r="L6" i="4"/>
  <c r="L18" i="4" s="1"/>
  <c r="N3" i="7"/>
  <c r="N3" i="5"/>
  <c r="J7" i="9" l="1"/>
  <c r="J15" i="9"/>
  <c r="H40" i="3"/>
  <c r="H39" i="7" s="1"/>
  <c r="I25" i="5"/>
  <c r="I7" i="9"/>
  <c r="I15" i="9"/>
  <c r="H25" i="5"/>
  <c r="H15" i="9"/>
  <c r="H7" i="9"/>
  <c r="G40" i="3"/>
  <c r="G39" i="7" s="1"/>
  <c r="G25" i="5"/>
  <c r="G7" i="9"/>
  <c r="G15" i="9"/>
  <c r="J34" i="7"/>
  <c r="J40" i="3"/>
  <c r="J39" i="7" s="1"/>
  <c r="I34" i="7"/>
  <c r="I40" i="3"/>
  <c r="I39" i="7" s="1"/>
  <c r="K40" i="3"/>
  <c r="K39" i="7" s="1"/>
  <c r="L34" i="7"/>
  <c r="L40" i="3"/>
  <c r="L39" i="7" s="1"/>
  <c r="K7" i="9"/>
  <c r="K15" i="9"/>
  <c r="K18" i="9"/>
  <c r="L14" i="1"/>
  <c r="L26" i="9" s="1"/>
  <c r="L12" i="4"/>
  <c r="L24" i="4" s="1"/>
  <c r="C4" i="8"/>
  <c r="C6" i="8" s="1"/>
  <c r="C17" i="8" s="1"/>
  <c r="D4" i="8"/>
  <c r="D6" i="8" s="1"/>
  <c r="D17" i="8" s="1"/>
  <c r="E4" i="8"/>
  <c r="E6" i="8" s="1"/>
  <c r="E16" i="8" s="1"/>
  <c r="F4" i="8"/>
  <c r="F6" i="8" s="1"/>
  <c r="F11" i="8" s="1"/>
  <c r="F12" i="8" s="1"/>
  <c r="B4" i="8"/>
  <c r="B6" i="8" s="1"/>
  <c r="B10" i="8"/>
  <c r="C10" i="8"/>
  <c r="D10" i="8"/>
  <c r="E10" i="8"/>
  <c r="F10" i="8"/>
  <c r="F3" i="8"/>
  <c r="E3" i="8"/>
  <c r="D3" i="8"/>
  <c r="C3" i="8"/>
  <c r="B3" i="8"/>
  <c r="L14" i="4" l="1"/>
  <c r="L27" i="9" s="1"/>
  <c r="L24" i="9"/>
  <c r="D16" i="8"/>
  <c r="E17" i="8"/>
  <c r="D15" i="8"/>
  <c r="B17" i="8"/>
  <c r="B16" i="8"/>
  <c r="B15" i="8"/>
  <c r="F15" i="8"/>
  <c r="F16" i="8"/>
  <c r="C15" i="8"/>
  <c r="C16" i="8"/>
  <c r="E15" i="8"/>
  <c r="F17" i="8"/>
  <c r="C11" i="8"/>
  <c r="C12" i="8" s="1"/>
  <c r="E11" i="8"/>
  <c r="E12" i="8" s="1"/>
  <c r="D11" i="8"/>
  <c r="D12" i="8" s="1"/>
  <c r="B11" i="8"/>
  <c r="B12" i="8" s="1"/>
  <c r="C13" i="9"/>
  <c r="D13" i="9"/>
  <c r="E13" i="9"/>
  <c r="F13" i="9"/>
  <c r="B13" i="9"/>
  <c r="C5" i="9"/>
  <c r="D5" i="9"/>
  <c r="E5" i="9"/>
  <c r="F5" i="9"/>
  <c r="B5" i="9"/>
  <c r="P16" i="9"/>
  <c r="R48" i="9"/>
  <c r="P35" i="9"/>
  <c r="T32" i="9"/>
  <c r="P15" i="9"/>
  <c r="L26" i="4" l="1"/>
  <c r="L25" i="9"/>
  <c r="P11" i="9"/>
  <c r="P36" i="9"/>
  <c r="C3" i="2"/>
  <c r="D3" i="2"/>
  <c r="E3" i="2"/>
  <c r="F3" i="2"/>
  <c r="C3" i="3"/>
  <c r="D3" i="3"/>
  <c r="E3" i="3"/>
  <c r="F3" i="3"/>
  <c r="B3" i="3"/>
  <c r="B3" i="2"/>
  <c r="B33" i="3"/>
  <c r="B32" i="7" s="1"/>
  <c r="N32" i="7" s="1"/>
  <c r="C33" i="3"/>
  <c r="D33" i="3"/>
  <c r="E33" i="3"/>
  <c r="F33" i="3"/>
  <c r="B35" i="2"/>
  <c r="R52" i="9"/>
  <c r="C23" i="2"/>
  <c r="C23" i="5" s="1"/>
  <c r="D23" i="2"/>
  <c r="D23" i="5" s="1"/>
  <c r="E23" i="2"/>
  <c r="E23" i="5" s="1"/>
  <c r="F23" i="2"/>
  <c r="F23" i="5" s="1"/>
  <c r="B13" i="2"/>
  <c r="B13" i="5" s="1"/>
  <c r="N13" i="5" s="1"/>
  <c r="C13" i="2"/>
  <c r="C13" i="5" s="1"/>
  <c r="D13" i="2"/>
  <c r="D13" i="5" s="1"/>
  <c r="E13" i="2"/>
  <c r="E13" i="5" s="1"/>
  <c r="F13" i="2"/>
  <c r="F13" i="5" s="1"/>
  <c r="D32" i="7" l="1"/>
  <c r="D35" i="3"/>
  <c r="F32" i="7"/>
  <c r="F35" i="3"/>
  <c r="E32" i="7"/>
  <c r="E35" i="3"/>
  <c r="C32" i="7"/>
  <c r="C35" i="3"/>
  <c r="B35" i="5"/>
  <c r="N35" i="5" s="1"/>
  <c r="D8" i="9"/>
  <c r="D9" i="9"/>
  <c r="C9" i="9"/>
  <c r="C8" i="9"/>
  <c r="D53" i="2"/>
  <c r="F8" i="9"/>
  <c r="F9" i="9"/>
  <c r="E9" i="9"/>
  <c r="E8" i="9"/>
  <c r="F53" i="2"/>
  <c r="F53" i="5" s="1"/>
  <c r="E53" i="2"/>
  <c r="E53" i="5" s="1"/>
  <c r="C53" i="2"/>
  <c r="C53" i="5" s="1"/>
  <c r="B53" i="2"/>
  <c r="D25" i="2"/>
  <c r="D25" i="5" s="1"/>
  <c r="F25" i="2"/>
  <c r="F25" i="5" s="1"/>
  <c r="E25" i="2"/>
  <c r="E25" i="5" s="1"/>
  <c r="C25" i="2"/>
  <c r="C25" i="5" s="1"/>
  <c r="A4" i="7"/>
  <c r="B3" i="7"/>
  <c r="C3" i="7"/>
  <c r="D3" i="7"/>
  <c r="E3" i="7"/>
  <c r="F3" i="7"/>
  <c r="A4" i="5"/>
  <c r="F3" i="5"/>
  <c r="B3" i="5"/>
  <c r="C3" i="5"/>
  <c r="D3" i="5"/>
  <c r="E3" i="5"/>
  <c r="B3" i="4"/>
  <c r="C3" i="4"/>
  <c r="D3" i="4"/>
  <c r="E3" i="4"/>
  <c r="F3" i="4"/>
  <c r="B4" i="4"/>
  <c r="C4" i="4"/>
  <c r="C22" i="4" s="1"/>
  <c r="D4" i="4"/>
  <c r="D22" i="4" s="1"/>
  <c r="E4" i="4"/>
  <c r="E22" i="4" s="1"/>
  <c r="F4" i="4"/>
  <c r="F22" i="4" s="1"/>
  <c r="B7" i="4"/>
  <c r="N7" i="4" s="1"/>
  <c r="C7" i="4"/>
  <c r="D7" i="4"/>
  <c r="E7" i="4"/>
  <c r="F7" i="4"/>
  <c r="B9" i="4"/>
  <c r="N9" i="4" s="1"/>
  <c r="C9" i="4"/>
  <c r="C21" i="4" s="1"/>
  <c r="D9" i="4"/>
  <c r="E9" i="4"/>
  <c r="F9" i="4"/>
  <c r="A4" i="4"/>
  <c r="A17" i="4"/>
  <c r="A18" i="4"/>
  <c r="A19" i="4"/>
  <c r="A20" i="4"/>
  <c r="A21" i="4"/>
  <c r="A24" i="4"/>
  <c r="A25" i="4"/>
  <c r="A26" i="4"/>
  <c r="N4" i="4" l="1"/>
  <c r="B22" i="4"/>
  <c r="N22" i="4" s="1"/>
  <c r="F55" i="2"/>
  <c r="F55" i="5" s="1"/>
  <c r="T48" i="9"/>
  <c r="F34" i="7"/>
  <c r="F40" i="3"/>
  <c r="F39" i="7" s="1"/>
  <c r="E34" i="7"/>
  <c r="E40" i="3"/>
  <c r="E39" i="7" s="1"/>
  <c r="D34" i="7"/>
  <c r="D40" i="3"/>
  <c r="D39" i="7" s="1"/>
  <c r="D55" i="2"/>
  <c r="D55" i="5" s="1"/>
  <c r="D53" i="5"/>
  <c r="C34" i="7"/>
  <c r="C40" i="3"/>
  <c r="C39" i="7" s="1"/>
  <c r="B55" i="2"/>
  <c r="B55" i="5" s="1"/>
  <c r="N55" i="5" s="1"/>
  <c r="B53" i="5"/>
  <c r="N53" i="5" s="1"/>
  <c r="B21" i="4"/>
  <c r="N21" i="4" s="1"/>
  <c r="B19" i="4"/>
  <c r="N19" i="4" s="1"/>
  <c r="E55" i="2"/>
  <c r="E55" i="5" s="1"/>
  <c r="D18" i="9"/>
  <c r="E7" i="9"/>
  <c r="E15" i="9"/>
  <c r="C55" i="2"/>
  <c r="C55" i="5" s="1"/>
  <c r="C18" i="9"/>
  <c r="F15" i="9"/>
  <c r="R38" i="9"/>
  <c r="F7" i="9"/>
  <c r="E18" i="9"/>
  <c r="D15" i="9"/>
  <c r="D7" i="9"/>
  <c r="C7" i="9"/>
  <c r="C15" i="9"/>
  <c r="F18" i="9"/>
  <c r="D19" i="4"/>
  <c r="F21" i="4"/>
  <c r="D21" i="4"/>
  <c r="C19" i="4"/>
  <c r="F19" i="4"/>
  <c r="E19" i="4"/>
  <c r="E21" i="4"/>
  <c r="B23" i="2"/>
  <c r="B23" i="5" s="1"/>
  <c r="N23" i="5" s="1"/>
  <c r="B9" i="9" l="1"/>
  <c r="B8" i="9"/>
  <c r="B25" i="2"/>
  <c r="B25" i="5" s="1"/>
  <c r="N25" i="5" s="1"/>
  <c r="B15" i="9" l="1"/>
  <c r="B7" i="9"/>
  <c r="B18" i="9"/>
  <c r="R13" i="9" l="1"/>
  <c r="T26" i="9" s="1"/>
  <c r="V33" i="9" s="1"/>
  <c r="C5" i="4"/>
  <c r="C17" i="4" s="1"/>
  <c r="B5" i="4"/>
  <c r="F5" i="4"/>
  <c r="F17" i="4" s="1"/>
  <c r="D5" i="4"/>
  <c r="E5" i="4"/>
  <c r="J5" i="4"/>
  <c r="J17" i="4" s="1"/>
  <c r="K5" i="4"/>
  <c r="H5" i="4"/>
  <c r="H17" i="4" s="1"/>
  <c r="G5" i="4"/>
  <c r="G17" i="4" s="1"/>
  <c r="I5" i="4"/>
  <c r="I17" i="4" s="1"/>
  <c r="H6" i="1"/>
  <c r="H22" i="9" s="1"/>
  <c r="D6" i="1"/>
  <c r="D6" i="4" s="1"/>
  <c r="D18" i="4" s="1"/>
  <c r="I6" i="1"/>
  <c r="I6" i="4" s="1"/>
  <c r="I18" i="4" s="1"/>
  <c r="F6" i="1"/>
  <c r="F22" i="9" s="1"/>
  <c r="F6" i="4"/>
  <c r="F18" i="4" s="1"/>
  <c r="G6" i="1"/>
  <c r="E6" i="1"/>
  <c r="E22" i="9" s="1"/>
  <c r="C6" i="1"/>
  <c r="C22" i="9" s="1"/>
  <c r="B6" i="1"/>
  <c r="B6" i="4" s="1"/>
  <c r="J6" i="1"/>
  <c r="K22" i="9"/>
  <c r="E6" i="4" l="1"/>
  <c r="E18" i="4" s="1"/>
  <c r="D8" i="1"/>
  <c r="D8" i="4" s="1"/>
  <c r="D20" i="4" s="1"/>
  <c r="B18" i="4"/>
  <c r="N18" i="4" s="1"/>
  <c r="N6" i="4"/>
  <c r="B17" i="4"/>
  <c r="K17" i="4"/>
  <c r="C6" i="4"/>
  <c r="C18" i="4" s="1"/>
  <c r="I22" i="9"/>
  <c r="E8" i="1"/>
  <c r="E8" i="4" s="1"/>
  <c r="E20" i="4" s="1"/>
  <c r="F8" i="1"/>
  <c r="B22" i="9"/>
  <c r="G22" i="9"/>
  <c r="G8" i="1"/>
  <c r="G12" i="1" s="1"/>
  <c r="G6" i="4"/>
  <c r="G18" i="4" s="1"/>
  <c r="J22" i="9"/>
  <c r="J8" i="1"/>
  <c r="J6" i="4"/>
  <c r="J18" i="4" s="1"/>
  <c r="K23" i="9"/>
  <c r="K19" i="9"/>
  <c r="K8" i="4"/>
  <c r="K20" i="4" s="1"/>
  <c r="E23" i="9"/>
  <c r="E13" i="4"/>
  <c r="E25" i="4" s="1"/>
  <c r="F13" i="4"/>
  <c r="F25" i="4" s="1"/>
  <c r="F19" i="9"/>
  <c r="B8" i="1"/>
  <c r="C8" i="1"/>
  <c r="C12" i="1" s="1"/>
  <c r="I8" i="1"/>
  <c r="H8" i="1"/>
  <c r="D13" i="4"/>
  <c r="D25" i="4" s="1"/>
  <c r="H6" i="4"/>
  <c r="H18" i="4" s="1"/>
  <c r="D17" i="4"/>
  <c r="D22" i="9"/>
  <c r="K6" i="4"/>
  <c r="K18" i="4" s="1"/>
  <c r="E17" i="4"/>
  <c r="F23" i="9" l="1"/>
  <c r="F12" i="1"/>
  <c r="F14" i="1" s="1"/>
  <c r="E19" i="9"/>
  <c r="E12" i="1"/>
  <c r="E14" i="1" s="1"/>
  <c r="D19" i="9"/>
  <c r="D12" i="1"/>
  <c r="D14" i="1" s="1"/>
  <c r="D23" i="9"/>
  <c r="F8" i="4"/>
  <c r="F20" i="4" s="1"/>
  <c r="E12" i="4"/>
  <c r="E24" i="4" s="1"/>
  <c r="I23" i="9"/>
  <c r="I8" i="4"/>
  <c r="I20" i="4" s="1"/>
  <c r="I19" i="9"/>
  <c r="J8" i="4"/>
  <c r="J20" i="4" s="1"/>
  <c r="J23" i="9"/>
  <c r="J19" i="9"/>
  <c r="C8" i="4"/>
  <c r="C20" i="4" s="1"/>
  <c r="C23" i="9"/>
  <c r="C19" i="9"/>
  <c r="C13" i="4"/>
  <c r="C25" i="4" s="1"/>
  <c r="K12" i="4"/>
  <c r="K24" i="4" s="1"/>
  <c r="G19" i="9"/>
  <c r="G8" i="4"/>
  <c r="G20" i="4" s="1"/>
  <c r="G23" i="9"/>
  <c r="H23" i="9"/>
  <c r="H8" i="4"/>
  <c r="H20" i="4" s="1"/>
  <c r="H19" i="9"/>
  <c r="B8" i="4"/>
  <c r="B19" i="9"/>
  <c r="B23" i="9"/>
  <c r="B13" i="4"/>
  <c r="F12" i="4"/>
  <c r="F24" i="4" s="1"/>
  <c r="D12" i="4" l="1"/>
  <c r="D24" i="4" s="1"/>
  <c r="B25" i="4"/>
  <c r="N25" i="4" s="1"/>
  <c r="N13" i="4"/>
  <c r="B20" i="4"/>
  <c r="N20" i="4" s="1"/>
  <c r="N8" i="4"/>
  <c r="G12" i="4"/>
  <c r="G24" i="4" s="1"/>
  <c r="G14" i="1"/>
  <c r="F14" i="4"/>
  <c r="F27" i="9" s="1"/>
  <c r="F24" i="9"/>
  <c r="F26" i="9"/>
  <c r="D14" i="4"/>
  <c r="D27" i="9" s="1"/>
  <c r="D26" i="9"/>
  <c r="D24" i="9"/>
  <c r="J12" i="4"/>
  <c r="J24" i="4" s="1"/>
  <c r="J14" i="1"/>
  <c r="K24" i="9"/>
  <c r="K26" i="9"/>
  <c r="K14" i="4"/>
  <c r="K27" i="9" s="1"/>
  <c r="I12" i="4"/>
  <c r="I24" i="4" s="1"/>
  <c r="I14" i="1"/>
  <c r="C14" i="1"/>
  <c r="C12" i="4"/>
  <c r="C24" i="4" s="1"/>
  <c r="B12" i="4"/>
  <c r="B14" i="1"/>
  <c r="H14" i="1"/>
  <c r="H12" i="4"/>
  <c r="H24" i="4" s="1"/>
  <c r="E14" i="4"/>
  <c r="E27" i="9" s="1"/>
  <c r="E24" i="9"/>
  <c r="E26" i="9"/>
  <c r="B24" i="4" l="1"/>
  <c r="N24" i="4" s="1"/>
  <c r="N12" i="4"/>
  <c r="K26" i="4"/>
  <c r="B14" i="4"/>
  <c r="B26" i="9"/>
  <c r="B24" i="9"/>
  <c r="I24" i="9"/>
  <c r="I26" i="9"/>
  <c r="I14" i="4"/>
  <c r="I27" i="9" s="1"/>
  <c r="F25" i="9"/>
  <c r="F26" i="4"/>
  <c r="H24" i="9"/>
  <c r="H26" i="9"/>
  <c r="H14" i="4"/>
  <c r="H27" i="9" s="1"/>
  <c r="J24" i="9"/>
  <c r="J26" i="9"/>
  <c r="J14" i="4"/>
  <c r="J27" i="9" s="1"/>
  <c r="G26" i="9"/>
  <c r="G24" i="9"/>
  <c r="G14" i="4"/>
  <c r="G27" i="9" s="1"/>
  <c r="C24" i="9"/>
  <c r="C26" i="9"/>
  <c r="C14" i="4"/>
  <c r="C27" i="9" s="1"/>
  <c r="E26" i="4"/>
  <c r="E25" i="9"/>
  <c r="K25" i="9"/>
  <c r="D26" i="4"/>
  <c r="D25" i="9"/>
  <c r="N14" i="4" l="1"/>
  <c r="B27" i="9"/>
  <c r="H26" i="4"/>
  <c r="J26" i="4"/>
  <c r="B26" i="4"/>
  <c r="N26" i="4" s="1"/>
  <c r="G26" i="4"/>
  <c r="I26" i="4"/>
  <c r="H25" i="9"/>
  <c r="J25" i="9"/>
  <c r="C26" i="4"/>
  <c r="C25" i="9"/>
  <c r="G25" i="9"/>
  <c r="I25" i="9"/>
  <c r="B11" i="7" l="1"/>
  <c r="N11" i="7" s="1"/>
  <c r="B35" i="3"/>
  <c r="B34" i="7" l="1"/>
  <c r="N34" i="7" s="1"/>
  <c r="B40" i="3"/>
  <c r="B39" i="7" s="1"/>
  <c r="N39" i="7" s="1"/>
</calcChain>
</file>

<file path=xl/comments1.xml><?xml version="1.0" encoding="utf-8"?>
<comments xmlns="http://schemas.openxmlformats.org/spreadsheetml/2006/main">
  <authors>
    <author>Palesa Ramashala</author>
  </authors>
  <commentList>
    <comment ref="A1" authorId="0" shapeId="0">
      <text>
        <r>
          <rPr>
            <b/>
            <sz val="9"/>
            <color indexed="81"/>
            <rFont val="Tahoma"/>
            <family val="2"/>
          </rPr>
          <t>Palesa Ramashala:</t>
        </r>
        <r>
          <rPr>
            <sz val="9"/>
            <color indexed="81"/>
            <rFont val="Tahoma"/>
            <family val="2"/>
          </rPr>
          <t xml:space="preserve">
Information obtained from the latest IR for relevance.</t>
        </r>
      </text>
    </comment>
  </commentList>
</comments>
</file>

<file path=xl/sharedStrings.xml><?xml version="1.0" encoding="utf-8"?>
<sst xmlns="http://schemas.openxmlformats.org/spreadsheetml/2006/main" count="451" uniqueCount="325">
  <si>
    <t>Cashflow Statement</t>
  </si>
  <si>
    <t>Balance Sheet</t>
  </si>
  <si>
    <t>Income Statement</t>
  </si>
  <si>
    <t>Revenue</t>
  </si>
  <si>
    <t>Cost of sales</t>
  </si>
  <si>
    <t xml:space="preserve">    Operating expenses</t>
  </si>
  <si>
    <t>Profits before tax</t>
  </si>
  <si>
    <t>Profit for the year</t>
  </si>
  <si>
    <t>Finance cost (Interest)</t>
  </si>
  <si>
    <t>Income tax expense</t>
  </si>
  <si>
    <t>Operating profit (EBIT)</t>
  </si>
  <si>
    <t>Non-current assets</t>
  </si>
  <si>
    <t>ASSETS</t>
  </si>
  <si>
    <t>Total non-current assets</t>
  </si>
  <si>
    <t>Current assets</t>
  </si>
  <si>
    <t>Total current assets</t>
  </si>
  <si>
    <t>TOTAL ASSETS</t>
  </si>
  <si>
    <t>EQUITY AND LIABILITIES</t>
  </si>
  <si>
    <t>Equity attributable to owners</t>
  </si>
  <si>
    <t>Retained earnings</t>
  </si>
  <si>
    <t>Total equity</t>
  </si>
  <si>
    <t>Non-current liabilities</t>
  </si>
  <si>
    <t>Total non-current liabilities</t>
  </si>
  <si>
    <t>Current Liabilities</t>
  </si>
  <si>
    <t>Trade and other payables</t>
  </si>
  <si>
    <t>Total current liabilities</t>
  </si>
  <si>
    <t>TOTAL LIABILITIES</t>
  </si>
  <si>
    <t>TOTAL EQUITY AND LIABILITIES</t>
  </si>
  <si>
    <t>Cashflow from operating activities</t>
  </si>
  <si>
    <t>Cash provided by operating activities</t>
  </si>
  <si>
    <t>Cashflow from investment activities</t>
  </si>
  <si>
    <t>Cash provided by investment activities</t>
  </si>
  <si>
    <t>Cashflow from financing activities</t>
  </si>
  <si>
    <t>Cash provided by financing activities</t>
  </si>
  <si>
    <t>Net increase in cash and cash equivalents</t>
  </si>
  <si>
    <t>Du-Pont Analysis</t>
  </si>
  <si>
    <t>Income Statement Analysis</t>
  </si>
  <si>
    <t>Balance Sheet Analysis</t>
  </si>
  <si>
    <t>Cashflow Analysis</t>
  </si>
  <si>
    <t>Operational Analysis</t>
  </si>
  <si>
    <t>Gross profit</t>
  </si>
  <si>
    <t>Gross profit margin</t>
  </si>
  <si>
    <t>Operating profit margin</t>
  </si>
  <si>
    <t xml:space="preserve">Sales </t>
  </si>
  <si>
    <t>minus</t>
  </si>
  <si>
    <t>Earnings available for ordianary shareholders</t>
  </si>
  <si>
    <t>Cost of Goods Sold</t>
  </si>
  <si>
    <t>Net profit margin</t>
  </si>
  <si>
    <t>Operating Expenses</t>
  </si>
  <si>
    <t>Interest Expenses</t>
  </si>
  <si>
    <t>Return on total assets (ROA)</t>
  </si>
  <si>
    <t>Taxes</t>
  </si>
  <si>
    <t>multiplied by</t>
  </si>
  <si>
    <t>Preference share Dividend</t>
  </si>
  <si>
    <t>Return on ordinary shareholder's equity (ROE)</t>
  </si>
  <si>
    <t>Current Assest</t>
  </si>
  <si>
    <t>Total asset turnover</t>
  </si>
  <si>
    <t>plus</t>
  </si>
  <si>
    <t>divided by</t>
  </si>
  <si>
    <t>Non current assets</t>
  </si>
  <si>
    <t>Total assets</t>
  </si>
  <si>
    <t>Total liabilities and shareholder's equity = Total assets</t>
  </si>
  <si>
    <t>Current liabilities</t>
  </si>
  <si>
    <t>Total liabilities</t>
  </si>
  <si>
    <t>Financial leverage multiplyer (FLM)</t>
  </si>
  <si>
    <t>Non current liabilities</t>
  </si>
  <si>
    <t>Shareholder's equity</t>
  </si>
  <si>
    <t>Ordinary shareholder's equity</t>
  </si>
  <si>
    <t>Current ratio</t>
  </si>
  <si>
    <t>Liquidity</t>
  </si>
  <si>
    <t>Quick ratio</t>
  </si>
  <si>
    <t>Activity</t>
  </si>
  <si>
    <t>Inventory turnover</t>
  </si>
  <si>
    <t>Total assets turnover</t>
  </si>
  <si>
    <t>Debt</t>
  </si>
  <si>
    <t>Debt ratio</t>
  </si>
  <si>
    <t>Times interest earned ratio</t>
  </si>
  <si>
    <t>Profitability</t>
  </si>
  <si>
    <t>Earnings per share (EPS)</t>
  </si>
  <si>
    <t>Return on common equity (ROE)</t>
  </si>
  <si>
    <t>Working capital</t>
  </si>
  <si>
    <t>Average collection period (days)</t>
  </si>
  <si>
    <t>Scoring and Ranking</t>
  </si>
  <si>
    <t>Rate card</t>
  </si>
  <si>
    <t>Description</t>
  </si>
  <si>
    <t>Fully in place</t>
  </si>
  <si>
    <t>Some evidence</t>
  </si>
  <si>
    <t>No evidence</t>
  </si>
  <si>
    <t>Indication</t>
  </si>
  <si>
    <t>Partially in place</t>
  </si>
  <si>
    <t>Sales</t>
  </si>
  <si>
    <t>Returns</t>
  </si>
  <si>
    <t>Labour cost</t>
  </si>
  <si>
    <t>Salaries</t>
  </si>
  <si>
    <t>Cost of material</t>
  </si>
  <si>
    <t>Labour as % of sales</t>
  </si>
  <si>
    <t>Salaries  as % of sales</t>
  </si>
  <si>
    <t>Material  as % of sales</t>
  </si>
  <si>
    <t>Financial Analysis</t>
  </si>
  <si>
    <t>CAGR</t>
  </si>
  <si>
    <t>Learning performance</t>
  </si>
  <si>
    <t>Internal processes performance</t>
  </si>
  <si>
    <t>Customer performance</t>
  </si>
  <si>
    <t>Actual</t>
  </si>
  <si>
    <t>Target</t>
  </si>
  <si>
    <t>Net Profit %</t>
  </si>
  <si>
    <t>Comments</t>
  </si>
  <si>
    <t>Gross Margin %</t>
  </si>
  <si>
    <t>Net Profit</t>
  </si>
  <si>
    <t>Gross Margin</t>
  </si>
  <si>
    <t>Revenues</t>
  </si>
  <si>
    <t>Financial performance</t>
  </si>
  <si>
    <t>Balance Scorecard</t>
  </si>
  <si>
    <t>Overall objective:</t>
  </si>
  <si>
    <t>Strategy and Strategic Intent</t>
  </si>
  <si>
    <t>Case Organisation:</t>
  </si>
  <si>
    <t>Desktop Review</t>
  </si>
  <si>
    <t>Growth Strategy</t>
  </si>
  <si>
    <t>Vision</t>
  </si>
  <si>
    <t>Mission</t>
  </si>
  <si>
    <t>Values</t>
  </si>
  <si>
    <t>Business structure / units</t>
  </si>
  <si>
    <t>Geographical coverage</t>
  </si>
  <si>
    <t>CEO</t>
  </si>
  <si>
    <t>CFO</t>
  </si>
  <si>
    <t>Chairperson</t>
  </si>
  <si>
    <t>Financial Year</t>
  </si>
  <si>
    <t>Products and Services</t>
  </si>
  <si>
    <t>R'm</t>
  </si>
  <si>
    <t>Direct Expenses</t>
  </si>
  <si>
    <t>Rm</t>
  </si>
  <si>
    <t>Property, plant and equipment</t>
  </si>
  <si>
    <t>Financial assets</t>
  </si>
  <si>
    <t>Trade and other receivables</t>
  </si>
  <si>
    <t>Inventrory</t>
  </si>
  <si>
    <t>Non-current assets held for sale</t>
  </si>
  <si>
    <t>Finance receivable</t>
  </si>
  <si>
    <t>Other reserves</t>
  </si>
  <si>
    <t>Non-controling interest</t>
  </si>
  <si>
    <t>Provisions</t>
  </si>
  <si>
    <t>Dividends payable</t>
  </si>
  <si>
    <t>Bank overdrafts</t>
  </si>
  <si>
    <t>Cash generated from operations</t>
  </si>
  <si>
    <t>Cash and cash equivalents at the biggining of the year</t>
  </si>
  <si>
    <t>Cash and cash equivalents at the end of the year</t>
  </si>
  <si>
    <t>Basic EPS</t>
  </si>
  <si>
    <t>Diluted EPS</t>
  </si>
  <si>
    <t>Notes and Observations</t>
  </si>
  <si>
    <t>Business performance</t>
  </si>
  <si>
    <t>Drivers of Growth</t>
  </si>
  <si>
    <t>Measures of Value</t>
  </si>
  <si>
    <t xml:space="preserve">*   
*   
*   
*   
*   </t>
  </si>
  <si>
    <t>Growth Strategy Projects</t>
  </si>
  <si>
    <t>Observed leading practices</t>
  </si>
  <si>
    <t>Strategic Objectives / Priorities / Thrusts</t>
  </si>
  <si>
    <t>Headline EPS</t>
  </si>
  <si>
    <t>Kumba Iron Ore operates primarily in South Africa, with mining operations in the Northern Cape and Limpopo provinces, as well as a head office in Centurion, Gauteng, and a port operation in Saldanha Bay, Western Cape.</t>
  </si>
  <si>
    <t>Sishen mine, is near the town of Kathu in the Northern Cape Province. Sishen is our flagship operation and one of the largest open pit mines in the world – some 14km long. Sishen mine has sufficient reserves to sustain a 19-year life of mine.
Kolomela mine, is near Postmasburg in the Northern Cape Province. Kolomela is our newest mining operation, having been completed at the end of 2011. Its name means ‘to dig deeper’ or ‘to persevere’. Kolomela has a life of mine of 25 years.
Thabazimbi mine, is near the town of Thabazimbi in the Limpopo Province. Thabazimbi mine has been in operation since 1931. We mine using conventional opencast methods and process our ore through a single processing facility. Thabazimbi mine produces primarily high-grade haematite ore (more than 62% iron (Fe) content), which is particularly low in contaminants which we sell exclusively to ArcelorMittal SA.</t>
  </si>
  <si>
    <t>Kumba Iron Ore is an iron-ore mining company in South Africa. It is the fourth largest iron-ore producer in the world and the largest in Africa. Kumba is a supplier of high-quality iron ore (64.1% Fe) to the global steel industry. It operates primarily in South Africa, with mining operations in the Northern Cape, a head office in Centurion, Gauteng, and a port operation in Saldanha Bay, Western Cape. Kumba has a 76.3% interest in Sishen Iron Ore Company (Pty) Ltd (SIOC), an entity which the company manages. SIOC, in turn, owns the operating assets of the company. The remaining 23.7% interest in SIOC is held by black economic empowerment (BEE) partners Exxaro Resources Limited (a leading BEE company listed on the JSE) and the SIOC Community Development Trust (a trust that funds projects in local communities).</t>
  </si>
  <si>
    <t>Kumba Iron Ore is a leading supplier of high-quality iron ore to the global steel industry operating primarily in South Africa. Of all the metals that make modern life possible, steel is the most widely used – and iron ore is its main ingredient. 
*  Exploration – primarily in the Northern Cape
*  Mining – extracting iron ore in the Northern Cape
*  Beneﬁciating – improving the ﬁnal product quality; ultra-high density media separation (UHDMS) 
*  Blending and outbound logistics – providing and transporting niche products
*  Shipping, marketing and selling to markets in South Africa and globally
*  Rehabilitation and environmental management
Not all iron ore is created equal. The highest quality and most important iron ores for steelmaking are hematite (Fe2O3) and magnetite (Fe3O4). Hematite is the more sought-after ore and the preferred raw material in efficient steelmaking mills. It accounts for approximately 95% of South Africa’s iron ore production. These iron ore reserves are all of high quality Hematite allowing us to produce both high quality lump (64.0%Fe) and high grade sinter fines (63.5%Fe) for the domestic and export markets. We are unique in that we are primarily a principle lump producer with a product of recognized exceptional chemical and metallurgical quality.</t>
  </si>
  <si>
    <t>To be a successful and sustainable African supplier of quality iron ore to global and local markets while delivering superior value to our stakeholders.</t>
  </si>
  <si>
    <t>*   Safety
*   Care &amp; Respect
*   Integrity
*   Accountability
*   Collaboration
*   Innovation</t>
  </si>
  <si>
    <t>Biological assets</t>
  </si>
  <si>
    <t>Investments in associates and joint ventures</t>
  </si>
  <si>
    <t>Investments held by environmental trust</t>
  </si>
  <si>
    <t>Long-term financial assets and repayments</t>
  </si>
  <si>
    <t>Cash and cash equivalents</t>
  </si>
  <si>
    <t>Shareholders' equity</t>
  </si>
  <si>
    <t>Minority shares</t>
  </si>
  <si>
    <t>Interest bearing borrowings</t>
  </si>
  <si>
    <t>Deferred liabilities</t>
  </si>
  <si>
    <t>Current tax liability</t>
  </si>
  <si>
    <t>Finance income</t>
  </si>
  <si>
    <t>Cash receipt from customers</t>
  </si>
  <si>
    <t>Cash paid to suppliers and employees</t>
  </si>
  <si>
    <t>Net finance costs paid</t>
  </si>
  <si>
    <t>Taxation paid</t>
  </si>
  <si>
    <t>Dividends paid</t>
  </si>
  <si>
    <t>Additions to property, plant and equipment</t>
  </si>
  <si>
    <t>Investment in associates and joint ventures</t>
  </si>
  <si>
    <t>Proceeds from disposal of non-current assets</t>
  </si>
  <si>
    <t>Acquisition of business</t>
  </si>
  <si>
    <t>Net cash acquired on acquisition of business</t>
  </si>
  <si>
    <t>Translation effects of cash flows of foreign operations</t>
  </si>
  <si>
    <t>Shares issued</t>
  </si>
  <si>
    <t>Dividends paid to minority shareholders</t>
  </si>
  <si>
    <t>Interest bearing borrowings raised</t>
  </si>
  <si>
    <t>Interest bearing borrowings repaid</t>
  </si>
  <si>
    <t>Current tax</t>
  </si>
  <si>
    <t>Dividend per share - Interim</t>
  </si>
  <si>
    <t>Dividend per share - Final</t>
  </si>
  <si>
    <t>Deffered tax and other receivables</t>
  </si>
  <si>
    <t>Increase in non-controlling interest</t>
  </si>
  <si>
    <t>Exchange difference on cash and cash equivalents</t>
  </si>
  <si>
    <t>Investment held by environmental trust</t>
  </si>
  <si>
    <t>Vesting of Envision share scheme</t>
  </si>
  <si>
    <t>Loss from equity accounted joint venture</t>
  </si>
  <si>
    <t>Purchase of treasury shares</t>
  </si>
  <si>
    <t>Inventories</t>
  </si>
  <si>
    <t>Income from investments</t>
  </si>
  <si>
    <t>Kumba Iron Ore</t>
  </si>
  <si>
    <t>Mining sea borne iron ore to increase production throughput to 45 Mtpa in 2013 to 70 Mtpa in the future</t>
  </si>
  <si>
    <t>Customer relationships</t>
  </si>
  <si>
    <t>Growth</t>
  </si>
  <si>
    <t>Operational excellence</t>
  </si>
  <si>
    <t>Sustainable development</t>
  </si>
  <si>
    <t>Talent and performance management</t>
  </si>
  <si>
    <t>Lazarus Zim</t>
  </si>
  <si>
    <t>Ras Myburgh</t>
  </si>
  <si>
    <t>Vincent Uren</t>
  </si>
  <si>
    <t>Kumba’s business planning process crystallises targets and responsibilities across our operations and business units, culminating in group goals:
*   We have demanding aspirations for safety performance goals; we know these can only be reached through leadership, systems and procedures and by demonstrating our values in every action and decision to create a culture that will continually influence safety behaviour.
*   To reach our goal of maximising revenue, we need to enhance credibility further by achieving our volume commitments, and demonstrate our marketing expertise by achieving quality premia for our niche products.
*   Business improvement will be another priority area for the year, focused on rolling out value-based management, reﬁning asset management and reducing costs of production and corporate costs.
*   We will also focus on value growth, primarily by resolving the challenges of expansion and cost around the export channel and securing new-order rights for Sishen South. 
*   Longer-term value growth issues such as the Northern Cape growth pipeline, opportunities outside South Africa and adding value to our products and customers will also receive attention.</t>
  </si>
  <si>
    <t>Group Goals</t>
  </si>
  <si>
    <t>Kumba’s immediate plan is to double export capacity by 2013 to just over 45Mt.</t>
  </si>
  <si>
    <t xml:space="preserve">*   Sishen Expansion Project (SEP) jig plant: By end 2007, four of the eight jig modules were successfully commissioned and two of the four tertiary crushers brought into production. The primary and secondary crushers were successfully commissioned in late January 2008. Plant commissioning was affected by the late delivery of the primary and secondary crushers and delays due to a shortage of skills and resources caused by constraints in the construction industry.
*   Sishen South Project: This project involves developing a new opencast operation some 80km south of Sishen Mine and is currently being considered for development. However, this decision primarily depends on ﬁnalising commercial arrangements for the expansion of the Sishen-Saldanha export channel and mining rights being granted. Certain orders for long-lead items have been placed and product acceptance through letters from customers has been obtained. The Sishen South feasibility study was completed according to plan and cost estimates reﬁned.
*   SEP II: A pre-feasibility study to increase production at Sishen Mine by 5-10Mtpa in addition to the jig plant is due to be completed in 2008. An evaluation of the product strategy of the mine is part of the pre-feasibility study to ensure it is aligned with future market developments as well as the mining resource and production facilities at the operation.
*   In Guinea, Kumba owns a controlling stake in a company that has an exploration project some 300km north of the capital Conakry. Exploratory drilling began in April 2008 which could lead to the development of an iron ore mine as part of our growth strategy in West Africa.
*   Kumba also entered into a venture with Jonah Capital’s Iron Mineral Beneﬁciation Services (IMBS) to convert superﬁne iron ore tailings – currently considered waste – into metallic iron using ground-breaking technology. The venture is funded by the Industrial Development Corporation of South Africa (IDC) and offers the potential to transform large tonnages of superﬁne ore lying on tailings dumps into saleable product.
</t>
  </si>
  <si>
    <t>*   Kumba’s ﬁrst year culminated in good production results, even though our key expansion project was not yet fully operational. Tonnes produced set a new record of 32.4 million and the increase in unit costs was restricted to under 2.5% despite our current expansionary phase.
*   A strong ﬁnancial performance with operating proﬁt up 52% year on year (before the effect of once-off items)
*   156% increase in our share price
*   Frst production from the 13Mtpa Sishen Expansion Project jig plants
*   Sishen Mine’s unit cost was contained despite inflationary pressures and increased activity
*   The group’s operating margin rose from 45% to 52%
*   Kumba’s 33% increase in revenue reflects not only record production, but higher sales volumes, increased benchmark prices and quality premia on certain products.</t>
  </si>
  <si>
    <t>Chris Griffith</t>
  </si>
  <si>
    <t>*   Kumba’s medium-term goal is to increase Northern Cape production to 50Mtpa by 2013 and our robust project pipeline is now unfolding: Sishen Mine’s jig plant is ramping up to nameplate capacity and should reach full production of 13Mt in 2010; Sishen South is on schedule to start production in 2012 and ramp up to 9Mtpa in 2013.
*   The group has several other projects at feasibility or prefeasibility stages, particularly in South Africa of which SEP 2 (Sishen Mine), Phoenix (Thabazimbi Mine) and Zandrivierspoort are the most prominent. The timing on these projects will be carefully assessed against prevailing market fundamentals, the viability of individual projects and rail and port expansions.
*   Our exploration activities were terminated at the Kamambolo project in Guinea due to unsatisfactory exploration results.</t>
  </si>
  <si>
    <t>*   Record profitability improvement of 126% on 2007 results.
*   Improved revenue of 86% at R21,4 billion representing a compunded growth rate of 35% over the past three years.
*   The 2008 group safety performance – measured by lost-time injuries – reflected more than a 50% improvement on 2007 with one fatality at Sishen.</t>
  </si>
  <si>
    <t>*   Clear vision statement
*   Strategy execution plan
*   Focused leadership
*   Effective governance structures
*   PPM Methods
*   Change management for competitiveness
*   People management strategy</t>
  </si>
  <si>
    <t>*   On safety, 10 lost-time injuries were recorded with one fatality. 
*   Against the backdrop of the global economic recession, revenue increased by 10% owing largely to a 37% increase in export sales driven by strong demand from China, which more than compensated for lower volumes to Europe, Japan and Korea.
*   Excellent cost control and various efﬁciency measures were able to keep cost growth to below inﬂation on a per unit basis which helped protect the group’s proﬁtability against a 40% fall in benchmark iron ore prices, resulting in only a 5% drop in operating proﬁt.
*   Increased production by 16% and exports 37% at Sishen.
*   Revenue increased by 10% and operating profit declined by 5% compared to 2008 owing to improved production performance, cost control and increased Chinese exports</t>
  </si>
  <si>
    <t xml:space="preserve">*   Clear vision statement
*   Strategy execution plan
*   Focused leadership
*   Effective governance structures
*   PPM Methods
*   Change management for competitiveness
*   People management strategy
*   Benefits realisation
*   
*   </t>
  </si>
  <si>
    <t>*   Sishen Mine achieved a remarkable 16% growth in production in 2009. 
*   The Jig plant continued to ramp up during the year and reached 10.4Mt for 2009, a 121% increase. The dense medium separation (DMS) plant increased production by 2% to 29Mt, above the nameplate capacity of 28.4Mt achieved in 2008. This was achieved despite the increasing geological complexity of the pit.
*   Thabazimbi Mine production declined in line with reduced demand from ArcelorMittal. A revised life of mine plan has increased the life of mine from 2014 to 2016.
*   The development of Kolomela Mine is on track and on budget. The ﬁrst blast took place on 17 September 2009 and full production of 9Mtpa will be achieved in 2013. 
*   A variety of other projects are all focused on achieving the group’s production potential of 70Mt by 2019.</t>
  </si>
  <si>
    <t>Allen Morgan</t>
  </si>
  <si>
    <t xml:space="preserve">*   Clear vision statement
*   Strategy execution plan
*   Strategy communication visualisation
*   Focused leadership
*   Effective governance structures
*   PPM Methods
*   Change management for competitiveness
*   People management strategy
*   Benefits realisation
*   </t>
  </si>
  <si>
    <t>*   Sound long-term fundamentals of iron ore industry with positive demand from China.</t>
  </si>
  <si>
    <t>*   Kumba has been granted new order mining rights for all its operations.
*   Significant improvement in production in all operations
*   Granted two prospecting rights adjacent to the Thabazimbi mining area.</t>
  </si>
  <si>
    <t>Optimising Value of the Current Operations - The focus of this strategic pillar is to unlock value through managing our assets in the most effective and efﬁcient manner and achieving operational excellence through ongoing cost and productivity improvements.</t>
  </si>
  <si>
    <t>Capturing value across the value chain - Applying Kumba’s niche product strategy, together with its pricing and logistics strategies gives it the potential to capture signiﬁcant value across its value chain.</t>
  </si>
  <si>
    <t>Delivering on growth projects - The implementation of Kumba’s growth strategy would allow it to become a 70Mt per annum supplier of iron ore by 2019.</t>
  </si>
  <si>
    <t>Organisational responsibility and capability - Kumba’s health and safety strategy is designed to achieve the company’s zero harm objective.</t>
  </si>
  <si>
    <t>*   Safety continues to be a priority throughout our group. However, regretfully, we reported three fatalities at our operations in 2010, two of which were caused by highly unusual tyre explosions.
*   We also did not achieve our lost-time injury frequency rate (LTIFR) target for the year, which increased from 0.07 in 2009 to 0.12 in 2010.
*   China represented 60% of Kumba’s 2010 seaborne iron ore sales, while Europe accounts for approximately 13% and the rest of Asia for 19% of our seaborne iron ore sales.
*   Revenues increased by 65% from R23,4bn in 2009 to R38,7bn in 2010.
*   Operating profit increased by 95% from R12,9bn in 2007 to R25,1% in 2010.
*   Kumba was a major contributor to the South African ﬁscus through the R7 billion in taxes and the R1.4 billion in mining royalties paid in 2010.
*   24% increase in operating expenses (excluding shipping expenses and the mining royalty) to R1.8 billion.   
*   Procurement beneﬁts of R687 million was realised from participation in the Anglo American Supply Chain procurement organisation.</t>
  </si>
  <si>
    <t>Kumba seeks to grow its business through projects aimed to achieve production of 80 to 90Mtpa of iron ore by 2020; 70Mtpa from South Africa and 10 to 20Mtpa from the rest of Africa.</t>
  </si>
  <si>
    <t>Mining sea borne iron ore to increase production throughput to 45 Mtpa in 2013 to 70 Mtpa by 2019</t>
  </si>
  <si>
    <t>*   Construction of our growth project at Kolomela Mine remains on track and in line with its budget. Kumba is on track to deliver Kolomela Mine by 2012. We expect Kolomela Mine to deliver its ﬁrst production towards the end of the ﬁrst half of 2012, ramping up to full production of 9Mt per annum in 2013.
*   Kumba’s target of producing 70Mt by 2019 remains in place.
*   We are aligning our growth projects to meet the agreed growth that the export channel expansion can sustain.
*   Since 2007 Kumba has created over 1 700 additional jobs.
*   The construction of a jig plant at Sishen Mine enabled us to use material previously discarded as waste. Production from the jig plant contributed 32% of Sishen Mine’s production in 2010.
*   Kumba has ﬁve projects in its current pipeline at various study phases to be developed for ﬁnal approval.
*   Develop options that will extend Kumba’s life beyond 2030 when the Sishen Mine iron ore resource is expected to be depleted.
*   Kumba plans to develop and use beneﬁciation technologies that will allow it to use the signiﬁcant low grade resources at Sishen and Thabazimbi mines for future growth and ore replacement opportunities.
*   Capital expenditure incurred during the year was R4.7 billion. R1.6 billion of this expenditure was used to maintain operations and the remaining R3.1 billion was used to expand Kumba’s operations, in particular the Kolomela Mine growth project.
*   R8.5 billion capital expenditure was approved for the development of the Kolomela Mine, of which R5.3 billion of capital expenditure has been incurred to date and a further R1.2 billion had been committed as at 31 December 2010.
*   The development of Kolomela Mine is well advanced in terms of key deliverables. Overall project progress is at 81% with the project remaining on budget and on schedule to deliver initial production during the end of the ﬁrst half of 2012. 
*   To date, 22.6Mt of waste material has been pre-stripped. 18.6Mt of this material was stripped during 2010 at a cost of R604 million which has been capitalised.</t>
  </si>
  <si>
    <t>*   We ensured the delivery of the Kolomela project into production, ﬁve months ahead of schedule and within budget and, signiﬁcantly, with an outstanding safety performance. Kolomela mine produced 1.5Mt for the year. 
*   The support by the board to pursue offshore options and, in particular, to target certain areas of west and central Africa has been critical. Both near-term production projects and early-stage and greenﬁeld exploration opportunities are in our sights and several desktop studies and due diligence assessments in prospective iron ore regions have commenced. In the current market, project prices are high and we will be mindful not to overpay for either resources or projects.
*   A total of R5.8 billion of capital expenditure was incurred in 2011, an increase of 23% on the R4.7 billion spent in 2010. The primary allocations were R3.1 billion on expansion capital (mainly the development of Kolomela mine), which includes operating expenses of R1.0 billion that were capitalised in the year, and R2.8 billion on stay in business capital.
*   Kumba has a number of brownﬁelds expansion projects currently under development or investigation in the Northern Cape Province. Together these have the potential to increase production by 15Mtpa. The average life span of these projects is 20 years.
*   The Kolomela expansion project is a brownﬁelds development of a beneﬁciation facility at Kolomela mine. It is the intention to increase production by 6Mtpa by 2017 through re-scheduling of the current LOM plan as well as processing ore currently excluded from the LOM plan.
*   The Sishen Lower Grade project is envisaged to produce additional product from the material available following the revised deﬁnition for the larger optimised pit shell (and which cannot currently be treated by the jig plant).
*   The SEP 1B project involves the beneﬁciation of the -1+0.2mm fraction of the jig plant ROM feed which is currently discarded. This fraction was not initially included in the jig plant scope owing to the technical risks associated with the beneﬁciation and dewatering of this product. These technical risks have since been mitigated. This project has the potential to increase the jig plant product yield by 3%, and to create 18 jobs. Construction of a pilot test module commenced in 2011 to assist with the ﬁnal technology selection.
*   This brownﬁeld expansion project will produce high-grade iron ore concentrate from the DMS plant’s tailings. In the ﬁrst phase of this expansion around 1.1Mtpa of -200 micron fraction product will be blended with the Sishen ﬁnes. By 2019 an additional 3Mtpa could be produced by including the treatment of the jig tailings and old Sishen tailings facilities. The project has the potential to ultimately create 120 new jobs.
*   Phoenix project will exploit the large quantities of banded iron formation material available in the Thabazimbi mine Ore Reserves and remnants of high-grade haematite.
*   The Polokwane Iron Ore Company is a 50:50 joint venture with AMSA. This greenﬁelds project aims to exploit a magnetite resource with low contaminant levels and would involve the construction of a new open-pit mine and beneﬁciation plant.</t>
  </si>
  <si>
    <t xml:space="preserve">*   No loss of life. 33% improvement in lost-time injury frequency rate (LTIFR).
*   Sishen production of 38.9Mt for the year, export sales of 37.1Mt.
*   Revenue of R48.6 billion, up by 25%.
*   Operating proﬁt of R32 billion, up by 27%.
*   We achieved production of some 41.3Mt during the year, a decrease of around 5% compared with the previous year. This was predominantly attributable to the loss of 59 days of production in the ﬁrst quarter of the year as a result of exceptionally high rainfall. 
*   Production from the dense media separation (DMS) plant decreased by 6% year on year, owing to a lack of mining feedstock that constrained its output. 
*   The jig plant, where production of 3.5Mt per quarter had been achieved for the last three quarters of 2011, continued to operate above its nameplate capacity and recorded a 2% increase year on year. 
*   Although production was lower, we were able to increase our export sales from 36.1Mt in 2010 to 37.1Mt in 2011 by utilising stockpiled ore from Sishen mine.
*   We recorded exceptional ﬁnancial returns as we were able to capitalise on continued robust market conditions. 
*   Kumba realised a 26% weighted average increase in export iron ore prices, resulting in record revenue of R48.6 billion, a rise of 25% on 2010.
*   Another signiﬁcant milestone for Kumba was the shipment of the ﬁrst 100,000 tonnes of Kolomela ore from the port of Saldanha Bay in December 2011. The mine has commenced commercial production ahead of schedule and is well set to deliver 4Mt to 5Mt of production during 2012.
</t>
  </si>
  <si>
    <t>Norman Mbazima</t>
  </si>
  <si>
    <t>Fani Titi</t>
  </si>
  <si>
    <t>Frikkie Kotzee</t>
  </si>
  <si>
    <t xml:space="preserve">*   Lost time injury frequency rate (LTIFR) of 0.10 per 200,000 hours worked and regrettably two fatalities.
*   Record production of 43.1 Mt, 
*   The group’s total mining revenue (excluding shipping operations) reduced by 8% from record highs recorded in 2011. This decrease in mining revenue was primarily driven by volatile iron ore markets in 2012, manifesting in substantial iron ore price swings.
*   We increased our export sales volume by 7%, underpinned by the exceptional performance of Kolomela mine, which partially offset the lower ore prices.
*   Export sales rose to a record 39.7 Mt, Seaborne iron ore supplies reached 1.1 billion tonnes.
*   Kolomela mine exceeded its ramp-up schedule, producing 8.5 Mt.
*   Sishen mine’s production decreased mainly due to the impact of the unprotected strike in October 2012 and production challenges experienced earlier in the year.
*   Operations remained steady at Thabazimbi mine as the mine nears the end of life.
*   Operating proﬁt of R23.1 billion. The group’s operating proﬁt margin declined to 51% from the 66% achieved in 2011. Excluding the net freight loss incurred from providing a shipping service to customers, the group’s mining operating margin was 55% (2011: 69%). </t>
  </si>
  <si>
    <t>Optimising value of the current operations - Pursuing a value-maximising product portfolio that seeks the best ﬁt between market demand and our resources. Kumba seeks to contain unit costs, and improve productivity and operational efﬁciencies through its asset optimisation programme. The group aims to use its technical expertise and resources to drive a technology strategy that achieves a competitive advantage by increasing the exploitation of lower grade ore resources, securing growth from South African and future resources in west and central Africa.</t>
  </si>
  <si>
    <t>Capturing value across the value chain - Exploiting the physical properties of our ore to develop niche lump-sized products, pursuing an optimal iron ore pricing mechanism, and securing a balanced geographical spread of customers to maximise proﬁts and minimise risk. The group’s ocean freight management strategy will create value and protect free-on-board margins through the use of various long-term freight instruments and potential investment through port stockpiles. Kumba will investigate blending opportunities at its current operations, ports of origin and at ports of destination to enhance ore utilisation and achieve optimum product value.</t>
  </si>
  <si>
    <t>•  Asset optimisation
•  Low-grade resource technology research and testing
•  Continued success at Kolomela mine
•   Driving Value</t>
  </si>
  <si>
    <t>•  Relocation of commercial organisation to Singapore
•  Introduction of triangular shipping
•   Increase in total volumes shipped</t>
  </si>
  <si>
    <t>Delivering on growth projects - The best way to deliver on growth projects is through their successful execution. In South Africa, Kumba aims to pursue greenﬁelds and brownﬁelds growth targets and seek to use its existing lower grade resources, as well as secure and protect the requisite logistical capacity in the short, medium and long term at economical tariffs. The group will seek value-enhancing volume growth in Africa, with a particular focus on west and central Africa in partnership with Anglo American plc.</t>
  </si>
  <si>
    <t>Organisational responsibility and capability - Kumba will seek to create and leave a positive legacy in the communities in which it operates and, through its commitment to safety and health, environmental management and corporate social investment (CSI), become the partner of choice for the broadest range of stakeholders. Kumba’s structure, resources and competencies will be aligned to ensure delivery of its current and emerging strategy of being a leading African growth company.</t>
  </si>
  <si>
    <t>•  Change in growth strategy to suit changing needs of the business
•  Continued exploration in Africa outside of South Africa</t>
  </si>
  <si>
    <t>*   We are pleased to have operated without any loss of life in 2013. Our performance in respect of lost-time injuries (LTIs) was however, unsatisfactory as we saw an increase in these across our operations.
*   The group’s total revenue rose 20% to R54.5 billion (2012: R45.4 billion). The average Rand/US$ exchange rate of R9.62 was 17% weaker than the R8.19 achieved in 2012, signiﬁcantly increasing revenue by R6.98 billion when compared to the 2012 base, as all of our export sales are denominated in US$.
*   Iron ore prices remained strong throughout the year under review, with index prices peaking at US$160/tonne in February 2013. Prices fell to a low of US$110/tonne in May 2013, before stabilising at about US$135/tonne in the second half of the year.
*   The group’s total sales volumes were 2% lower at 43.7Mt (2012: 44.4Mt) as both export and domestic sales volumes decreased by 2% to 39.1Mt (2012: 39.7Mt) and 4.6Mt (2012: 4.7Mt) respectively. The lower export sales volumes were mainly impacted by the production shortfalls at Sishen mine, which reduced export stock levels across the value chain, mostly offset by the performance from Kolomela mine.
*   Operating expenses increased by 20% year-on-year from R21.8 billion to R26.1 billion, driven primarily by above inﬂationary cost increases and the mining of 47.5Mt of additional waste at Sishen and Kolomela mines. Mining operating expenses increased by R1.4 billion or 23%.
*   In 2013 we spent R6.5 billion (2012: R5.9 billion) on capital.</t>
  </si>
  <si>
    <t>Optimising value of the current operations - through business performance improvement programmes, along with a system-operations approach to manage the marginal cost of production.</t>
  </si>
  <si>
    <t>Capturing value across the value chain - by tailoring the product portfolio to best suit customer requirements, maintaining a balanced customer portfolio across geographies, continuously developing new customers, adapting pricing mechanisms to market developments, and by minimising the cost of freight through a combination of spot and long-term freight options.</t>
  </si>
  <si>
    <t>Delivering on growth projects - to realise growth in South Africa that adds value while facilitating an expansion of the iron ore export channel. This includes developing options for our operations in the Northern Cape. In addition, we plan to consider growth in west and central Africa by developing entry options into those regions.</t>
  </si>
  <si>
    <t>Organisational responsibility and capability - allowing us to be a responsible corporate citizen and deliver on our safety, health and environment imperatives as well as our corporate social development objectives.</t>
  </si>
  <si>
    <t>Operating smarter!</t>
  </si>
  <si>
    <t>*   Exceeded 35Mt at Sishen mine.
*   Key technical work completed.
*   Kolomela mine capacity improved to 11Mtpa.
*   Operating Model pilot completed.
*   Production of 11.6Mt at Kolomela mine.
*   One fatality and LTIFR of 0.23.</t>
  </si>
  <si>
    <t>*   Beat reference price
*   Record export sales, facilitated by MPT shipments
*   Successful customer development across Asia
*   Market leader in India</t>
  </si>
  <si>
    <t>*   Successful Dingleton North relocation
*   Completed studies in Liberia and Gabon
*   Mineral resources added at Kolomela mine following successful exploration
*   Sishen mine modular plant constructed
*   Developed and secured funding for technology strategy
*   Rationalised and optimised project portfolio</t>
  </si>
  <si>
    <t>*   One fatality and LTIFR of 0.23
*   Railway property mining right granted
*   Authorisations critical to operational performance granted
*   Three-year wage agreement signed
*   Successful Stakeholder Day held
*   Restructuring began at head office</t>
  </si>
  <si>
    <t>*   Asset optimisation
*   Low-grade resource technology research and testing
*   Continued success at Kolomela mine
*   Driving Value</t>
  </si>
  <si>
    <t>*   Relocation of commercial organisation to Singapore
*   Introduction of triangular shipping   
*    Increase in total volumes shipped</t>
  </si>
  <si>
    <t>*   Change in growth strategy to suit changing needs of the business
*   Continued exploration in Africa outside of South Africa</t>
  </si>
  <si>
    <t>Maintain our licence to operate and improve business efficiencies. This will be done through a number of programmes, including creating a safe, healthy and secure working environment for all employees, engaging in meaningful communication with all stakeholders, and aligning Kumba to Anglo American’s driving value initiative.</t>
  </si>
  <si>
    <t>Deliver growth through the execution of high-priority growth projects in the Northern Cape, while developing exploration and low-grade opportunities, to find the best way to secure growth and sustain operations. In the long term, find and secure low cost, value accretive options in west and central Africa.</t>
  </si>
  <si>
    <t>Optimising the value of existing operations through the execution of plans to increase Sishen mine production to 38Mtpa (including the modular plant) and grow Kolomela mine to 13Mtpa. Another key initiative has been the implementation of the new Operating Model.</t>
  </si>
  <si>
    <t>Product development to match customer needs against resource capabilities. Continuous monitoring of price performance by measuring all sales prices achieved against a quality-adjusted reference price. Optimisation of logistics to maximise port throughput while minimising demurrage. Customer development in new geographies and continuous adaptation of the customer portfolio. Development of a portfolio of shipping instruments, including COA’s, spot charters, time charters.</t>
  </si>
  <si>
    <t>*   Sishen mine exceeded its production target of 35Mt, producing 35.5Mt in 2014, and is on track to produce 36Mt in 2015. We are continuing to implement the pushback design and are on track to increase production at Sishen mine to 36Mt in 2015.
*   Once again, in 2014 Kolomela mine exceeded its guidance production, delivering 11.6Mt of ore against guidance of 10Mt. Technical mine studies at Kolomela mine have confirmed that the mine’s capacity is now 11Mtpa, allowing us to sustain this increased production for the remainder of the mine’s life.
*   Thabazimbi mine produced 1.1Mt of ore in 2014, with the same tonnage targeted for 2015. Given the current market and the high costs and difficult conditions associated with Thabazimbi, we have initiated an investigation into the mine’s continued viability and its place in our asset portfolio.</t>
  </si>
  <si>
    <t>STRATEGIC FOCUS AREA 1: WHERE TO PLAY</t>
  </si>
  <si>
    <t>*   Focus on the Northern Cape, as the region contains the most attractive ore bodies for both current operations and targeted brown-fields exploration
*   Compete through premium products and differentiated customer relationships to maximise price premium realised and to maintain differentiated customer relationships
*   Extend life of current mines through low-grade projects, using UHDMS technology to produce more ore and less waste thereby lowering our unit costs
*   Maintain optionality to grow in West and Central Africawhen the price recovers</t>
  </si>
  <si>
    <t>STRATEGIC FOCUS AREA 2: HOW TO WIN</t>
  </si>
  <si>
    <t>*   Redesign Sishen and Kolomela mine pits to extract maximum value from the ore body in a lower price environment, and optimise production in line with capacity on the Sishen / Kolomela-Saldanha export rail line
*   Invest in step-change technology to extract maximum value from ore
*   Sustainably operate mines at a lower unit cost to remain competitive through a reduced cost base and a step-up in productivity
*   Implement the Operating Model to ensure the right people are in the right roles to produce the right efficient and effective outcomes</t>
  </si>
  <si>
    <t>STRATEGIC FOCUS AREA 3: KEY ENABLERS</t>
  </si>
  <si>
    <t>*   Align marketing and operational activitiesto ensure that product efficiently matches customer needs as well as maximising the value of Kumba’s ore reserves
*   Reinforce our reputation for product quality and consistency
*   Proactively engage with key stakeholders to reinforce our partnership approach
*   Provide leadership on responsible citizenship, displaying care for safety, health and the environment
*   Provide extensive support to our employees to help them through the Kumba change journey</t>
  </si>
  <si>
    <t>*   Focus on the Northern Cape - We focus on the Northern Cape, as the region contains the most attractive ore bodies for both current operations and targeted brown-fields exploration.
*   Extend life of current mines - We intend to extend the reserve life of current mines through low-grade projects, using UHDMS technology to produce more ore and less waste.
*   Compete through premium products and differentiated customer relationships - We compete through premium products and differentiated customer relationships to maximise price premium realised and to maintain differentiated customer relationships.</t>
  </si>
  <si>
    <t>*   Aligning marketing and operational activities
*   Reinforce our reputation for quality and consistency
*   Proactively engage with key stakeholders
*   Provide leadership for responsible citizenship</t>
  </si>
  <si>
    <t>*   Clear vision statement
*   Strategy execution plan
*   Strategy communication visualisation
*   Focused leadership
*   Effective governance structures
*   Change management for competitiveness</t>
  </si>
  <si>
    <t>Delivering Change, Building Resilience, Focused Excellence</t>
  </si>
  <si>
    <t>Driving Change, Defining Our Future</t>
  </si>
  <si>
    <t>Themba Mkhwanazi</t>
  </si>
  <si>
    <t>*   Focus on the Northern Cape, as the region contains the most attractive ore bodies for both current operations and targeted brown fields exploration
*   Extend life of current mines through low-grade projects, using UHDMS technology to produce more ore and less waste
*   Compete through premium products to maximise price premium realised and to maintain differentiated customer relationships
*   Maintain optionality to grow in West and Central Africa when the price recovers</t>
  </si>
  <si>
    <t>*   Redesign of Sishen and Kolomela pits to extract maximum value from the ore body in a lower price environment. Optimise production in line with IOEC capacity
*   Sustainably operate mines at a lower unit cost to remain competitive through a reduced cost base and a step-up in productivity
*   Use technology to extract maximum value from our ore. Focus on step-change opportunities
*   Implement the Kumba Way of Work to ensure the right people in the right roles produce the right outcomes through effective processes and systems</t>
  </si>
  <si>
    <t>*   Align marketing and operational activities to ensure product produced efficiently matches customer needs
*   Reinforce our reputation for product quality and consistency
*   Proactively engage with key stakeholders to reinforce our partnership approach
*   Provide leadership through responsible citizenship, displaying care for safety, health and the environment
*   Provide extensive support to our employees to help them through the Kumba change journey</t>
  </si>
  <si>
    <t>We are maintaining our focus on the Northern Cape as the foundation for ensuring our immediate sustainability and meeting our longer-term growth ambitions. In addition to implementing measures to extend the life of our current mines, we are also looking to compete through premium products and differentiated customer relationships, with the aim of maximising the price premium we unlock through our superior product.</t>
  </si>
  <si>
    <t>Our second strategic focus area relates to how we deliver on our ambitions. We have identified and prioritised a key set of activities aimed at extracting maximum value from the ore body, by optimising production, investing in step-change technology and increasing operational efficiencies through implementation of the new operating model.</t>
  </si>
  <si>
    <t>Delivering on our strategic commitments on ‘where to play’ and ‘how to win’ requires a strong focus on our key strategic enablers. This includes reinforcing our reputation across all stakeholder groups, aligning our marketing and operational activities, demonstrating leadership on responsible citizenship, displaying care for safety, health and the environment, and providing extensive support to our employees to help them through the Kumba change journey.</t>
  </si>
  <si>
    <t>Building On Firm Foundations, Delivering A Sustainable Future, Enhancing Value</t>
  </si>
  <si>
    <t>Dr Mandla Gantsho</t>
  </si>
  <si>
    <t>Bothwell Mazarura</t>
  </si>
  <si>
    <t>*   Focus on the Northern Cape, as the region contains the most attractive ore bodies for both current operations and targeted brown fields exploration
*  Extend life of current mines through lowgrade projects, and business development activities
*   Compete through premium products to maximise price premium realised and to maintain differentiated customer relationships
*   Identifying and realising opportunities beyond the existing asset base</t>
  </si>
  <si>
    <t xml:space="preserve">*   Unlock full infrastructure potential to support maximum export volumes over the medium term
*   Sustainably operate mines at a lower unit cost to remain competitive through a reduced cost base and a step-up in productivity
*   Use technology to extract maximum value from our ore. Focus on step-change opportunities
*   Implement the Operating Model to ensure the stable and capable processes leading to the delivery of business expectations
</t>
  </si>
  <si>
    <t xml:space="preserve">*   Align marketing and operational activities to ensure product produced efficiently matches customer needs
*   Reinforce our reputation for product quality and consistency
*   Proactively engage with key stakeholders to reinforce our partnership approach
*   Provide leadership through responsible citizenship, displaying care for safety, health and the environment
*   Provide extensive support to our employees to help them through the Kumba change journey
</t>
  </si>
  <si>
    <t>We are retaining our focus on the Northern Cape, as the basis for ensuring our continuing viability and meeting our longer-term growth ambitions. In addition to realising identified opportunities to extend the life of our current mines, we are continuing to maximise the price premium through the provision of high-quality products and differentiated customer relationships.</t>
  </si>
  <si>
    <t>Our second strategic choice relates to how we deliver on our ambitions. We have identified and prioritised various initiatives with the aim of extracting maximum value from the ore body and improving the performance of our current assets, by optimising production, increasing operational efficiencies, reducing our external spend, and investing in step-change technology.</t>
  </si>
  <si>
    <t>Our strategic commitments on ‘where to play’ and ‘how to win’ are underpinned by a sustained focus on our key strategic enablers. These include demonstrating leadership on responsible citizenship, displaying care for safety, health and the environment, reinforcing our reputation for product quality and consistency, aligning our marketing and operational activities, and providing support to our employees.</t>
  </si>
  <si>
    <t>*   The Company has suffered no fatalities since May 2016, and we have seen significant improvements in our leading and lagging safety indicators.
*   The R1.2 billion growth in EBITDA this year to R19.6 billion was principally due to an 11% increase in realised export FOB iron ore prices, a 2.4 Mt higher sales volumes, and substantial savings in operational expenditure, partially offset by currency losses from a stronger Rand against the US Dollar.
*   The strong financial results were underpinned by the excellent operational performance. Kumba’s total production for the year was up 8% year-on-year to 45.0 Mt. Total waste mined increased 16% to 217.3 Mt.
*   We also achieved excellent performance in sales and railage, despite challenges with derailments. Total shipments increased 7% to 41.6 Mt for the year, while total sales of 44.9 Mt were up 6% on 2016.
*   After peaking at a 30-month high of US$95/tonne in mid-February 2017, iron ore prices ended the year at US$74/tonne, averaging US$71/tonne for 2017, a 22% increase on 2016 average index iron ore prices.
*   The group generated strong revenue growth of 14% to R46.4 billion, including R42 billion from mining and R4.4 billion from shipping operations. 
*   Growth was primarily driven by the 11% rise in average realised FOB export prices, the 2.4 Mt growth in total sales volumes, and revenue from shipping operations adding R1.7 billion. 
*   This was partially offset by the 9% strengthening of the Rand against the US Dollar which impacted revenue by R4.1 billion.
*   Higher production levels in 2017 resulted in a 7% increase in export sales to 41.6 Mt (including 0.6 Mt sourced from third-party producers). 
*   Export sales to China accounted for 63% of the Company’s total exports, slightly down from 64% in 2016. Exports to Japan and South Korea remained at around 17% of the total, while sales to Europe and MENA increased to 18%.
*   Domestic sales of 3.3 Mt were 0.1 Mt lower than 2016, as a result of reduced ArcelorMittal SA off-take from Sishen. Sales to ArcelorMittal SA were made under the Export Parity Price in accordance with the supply agreement.
*   As a single commodity player and price-taker that lies in the third quartile of the global cost curve, we are particularly susceptible to the changes in the global iron ore price. At year end, the Platts 62% Fe CFR index was higher than expected at US$74/tonne, with the 2017 average of US$71/tonne representing a 22% increase on 2016 average index iron ore prices. 
*   Operating expenditure (excluding the reversal of the Sishen impairment) increased by 17% to R29.8 billion due to total mining and production volumes increasing by 12% and 8%, respectively, together with inﬂationary pressure on input costs.
*   Kumba’s capital expenditure in 2017 was R3.1 billion (2016: R2.4 billion). This included expansion capex of R0.6 billion, largely from the Sishen modular plant (R0.3 billion) and the Dingleton relocation project (R0.3 billion), R1.3 billion from stay-in-business (SIB) activities and R1.2 billion in deferred stripping.</t>
  </si>
  <si>
    <t>*   We made good progress in our exploration activities to further our understanding of what the Northern Cape has to offer, and we commenced construction of the second modular plant at Sishen, as well as the pre-feasibility study on the DMS plant conversion.</t>
  </si>
  <si>
    <t>*   Clear vision statement
*   Strategy execution plan
*   Strategy communication visualisation
*   Focused leadership
*   Effective governance structures
*   PPM Methods
*   Change management for competitiveness
*   People management strategy
*   Benefits realisation</t>
  </si>
  <si>
    <t>*   In November 2006, Kumba Resources unbundled its iron ore business and moulded two separate focused mining groups - Exxaro Resources and Kumba Iron Ore - listed on the JSE Limited in the general mining sector. This heralded the finalisation of South Africa’s largest and most significant black economic empowerment transaction in the mining industry in particular and the South African industry in general. As part of the transaction, Kumba Resources’ name was changed to Exxaro after the merging of Kumba’s non-iron ore assets and the assets of Eyesizwe Coal, thereby forming a new-era South African group.</t>
  </si>
  <si>
    <t>Real People. Real Mining. Real Difference.</t>
  </si>
  <si>
    <t>Kumba's Business Model</t>
  </si>
  <si>
    <t>Kumba Iron Ore is a mining company that derives its income from sales of Iron Ore and rendering of shipping services.</t>
  </si>
  <si>
    <t>1.   Commodity markets and exchange rate flactuations
2.   Safety and health
3.   Third-party infrastructure
4.   Mining legisltation and regulatory compliance
5.   Socio-economic and current governance challenges
6.   Stakeholder relations and social licence to operate
7.   SIOC empowerment status
8.   Cyber risk
9.   Resource depletion and securing our growth
10.   Managing change (transformation of the business)</t>
  </si>
  <si>
    <t>Top business and strategic risks</t>
  </si>
  <si>
    <t>Traditional Ratio Analysis</t>
  </si>
  <si>
    <t>Capital Expenditure</t>
  </si>
  <si>
    <t>*   The Kolomela Expansion project, which is anticipated to deliver a further 6 million tonnes per annum from Kolomela mine by 2017, progressed into pre-feasibility stage during the year.
*   Stay in business (SIB) capital absorbed a total of R3.2 billion, allocated primarily to the increased mining ﬂeet to support the growth in waste mining at Sishen mine; while  expansion capital of R2.2 billion was incurred. 
*   Our strategic intention, to sustain and grow our production in South Africa and to progress our ambition to create a second footprint in west and central Africa, remains on track.
*   Kolomela mine, which began commercial production in 2012, is expected to run at a steady production of 9 Mtpa in 2013 to achieve annual design capacity. 
*   This involves the brownﬁelds development and introduction of a beneﬁciation facility to increase production by 6 Mtpa by 2019 through rescheduling of the current LoM plan as well as the inclusion and processing of resources currently excluded from the LoM plan.
*   The jig discard project aims to produce additional jig-quality product through the liberation and/or beneﬁciation of waste material from the Sishen jig plant. The project will target the -25+1 mm fraction of the jig discard stream currently being deposited onto the waste dump.    
*   The Sishen Lower Grade project is envisaged to produce additional product from the lower grade material available following the proof of beneﬁciation technology and the revised deﬁnition of the larger optimised pit shell.
*   The SEP 1B project involves the beneﬁciation of the -1+0.2mm fraction of the jig plant ROM feed which is currently discarded.
*   Sishen Concentrate brownﬁeld expansion project will produce high-grade iron ore concentrate from the DMS plant’s tailings. In the ﬁrst phase of this expansion, around 1.1 Mtpa of -200 micron fraction product will be blended with the Sishen mine ﬁnes.  By 2020, 2.9 Mtpa could be produced by including the treatment of the jig tailings and old Sishen tailings facilities. The project has the potential to ultimately create 120 new jobs.
*   Phoenix project will exploit banded iron formation and remnant high-grade haematite available in the area east of the minedout Vanderbijl area which has previously been mined underground. The current study considers the establishment of a possible new open-pit mine along with a new crushing and beneﬁciation plant. The feasibility study is expected to be completed in 2015. 
*   This is a 50:50 JV with AMSA. Zandrivierspoort greenﬁelds project aims to exploit a magnetite resource with low contaminant levels, and would involve the construction of a new open-pit mine and beneﬁciation plant. The project, which involves a 15 Mtpa RoM operation producing approximately 6 Mtpa of product, is currently the subject of a pre-feasibility study. This project could potentially come on stream in 2019.</t>
  </si>
  <si>
    <t>*   In a year of stability iron ore prices were strong and averaged 4% higher at $135/tonne. Stronger than expected growth in Chinese crude steel production, the sustained government infrastructure spend in China, as well as steel mill restocking prior to the winter season, supported prices during the year under review. Japan beneﬁted from the introduction of Abenomics and its steel mills are operating close to full capacity. Europe started to arrest the declines recorded in previous years and signs of recovery are increasing in this region, supporting iron ore demand over the forecast horizon.
*   Success at bringing Kolomela mine to a production level that exceeded our original plans marked an exceptional year for the operation. At our new Kolomela mine technical studies have conﬁrmed its capacity to sustain production at 10Mtpa, 1Mtpa above its original design capacity.
*   Lower production at Sishen mine, due to mining constraints and safety stoppages, were the key operational features for the mine in 2013. At the beginning of 2013 it became increasingly clear that our ambition of producing 41Mtpa at Sishen mine was unlikely to be achieved. This was mainly due to the effect of the reclassiﬁcation of B-grade reserves reported in previous years, and the steep ramp-up of waste removal, which was still insufﬁcient to maintain satisfactory levels of exposed ore. The main outcome of these studies was a LoM plan indicating that Sishen mine would produce 37Mtpa for the remainder of its life. 
*   Thabazimbi mine has become a more commercial mine in the Kumba portfolio, having changed from being an operation captive to ArcelorMittal SA, following the new supply agreement concluded in November 2013. Thabazimbi mine will be undergoing a major reconﬁguration. Our intention is to harness all the remaining sources of ore, especially the low-grade ore and those previously included in Project Phoenix, to make a lower cost, and longer life mine producing about 2Mtpa in the medium term. 
*   Project Inﬁnity is the integration of Project Phoenix into Thabazimbi mine.
*   The jig discard project aims to produce additional jig-quality product through the beneﬁciation of plant discard material from the Sishen jig plant. The project will target the -25+1mm fraction of the jig discard stream currently being deposited onto the discard dump.
*   A brownﬁeld expansion of the current Kolomela mine to support a sustainable production throughput to the maximum potential of the current LoM direct shipping ore resources. Incremental expansion progressing well through pre-feasibility study with potential production of approximately 5Mtpa. 1Mtpa expansion to nameplate capacity of Kolomela mine already incorporated into LoM.
*   The Sishen lower grade project is expected to produce additional ﬁne product from the signiﬁcant amount of lower grade iron ore material available following testing and conﬁrmation of new beneﬁciation technology. Lower grade material previously classiﬁed as waste may be reclassiﬁed as resources/reserves depending on the economic viability of the beneﬁciation technology. Further work is required to metallurgically characterise the ore and to develop an appropriate beneﬁciation/processing technology to enable the integration of this potential product into Sishen mine’s product suite. Work continues in parallel to upgrade the geological conﬁdence classiﬁcation of the lower grade material. This brownﬁeld expansion project could produce high-grade iron ore concentrate from the DMS and jig plants’ tailings. Approximately 1.0Mtpa of -200 micron fraction product could be produced by 2018. This project is being re-aligned according to strategic intent.
*   Developing a second footprint in west and central Africa remains part of Kumba’s long-term growth strategy. During 2013, in a joint venture with Anglo American plc, exploration continued and assessment of various options in several target countries was done.</t>
  </si>
  <si>
    <r>
      <t>•  Improved employee communication, after the unprotected strike at Sishen mine in 2012
•  Concurrent rehabilitation project at Kolomela mine
•  R253.7 million invested in CED
•  Successful continuation of Kolomela housing project
•  Supply agreement concluded with ArcelorMittal SA
•</t>
    </r>
    <r>
      <rPr>
        <sz val="11"/>
        <color rgb="FFFF0000"/>
        <rFont val="Arial"/>
        <family val="2"/>
      </rPr>
      <t xml:space="preserve">  Constitutional Court judgment provides clarity on 21.4% Sishen mining right</t>
    </r>
  </si>
  <si>
    <r>
      <t xml:space="preserve">*   Improved employee communication, after the unprotected strike at Sishen mine in 2012
*   Concurrent rehabilitation project at Kolomela mine
*   R253.7 million invested in CED
*   Successful continuation of Kolomela housing project
</t>
    </r>
    <r>
      <rPr>
        <sz val="11"/>
        <color rgb="FFFF0000"/>
        <rFont val="Arial"/>
        <family val="2"/>
      </rPr>
      <t>*   Supply agreement concluded with ArcelorMittal SA
*   Constitutional Court judgment provides clarity on 21.4% Sishen mining right</t>
    </r>
  </si>
  <si>
    <r>
      <t xml:space="preserve">*   One fatality reported for the year. Our serious injuries, or LTIs, increased, from 33 in 2013 to 44 in 2014.
</t>
    </r>
    <r>
      <rPr>
        <sz val="11"/>
        <color rgb="FFFF0000"/>
        <rFont val="Arial"/>
        <family val="2"/>
      </rPr>
      <t>*   The 47% decline in iron ore prices in 2014, and further price declines in the early part of 2015, has challenged the way we work, and will continue to work, at Kumba.</t>
    </r>
    <r>
      <rPr>
        <sz val="11"/>
        <color theme="1"/>
        <rFont val="Arial"/>
        <family val="2"/>
      </rPr>
      <t xml:space="preserve"> 
*   Our export sales rose by 4% to 40.5Mt which helped us offset some of the effects of falling prices.
*   The group’s total revenue of R47.6 billion for the year decreased 13% from R54.5 billion in 2013, mainly as a result of the significant drop in average realised iron ore prices (2014: US$91/tonne; 2013: US$125/tonne) offset to an extent by the weaker average ZAR/US$ exchange rate (2014: R10.83; 2013: R9.62), as well as 4% higher total sales volumes of 45.3 Mt.
*   Although our operating margin decreased by 12% it is still strong at 40% (2013: 52%), while the group’s mining margin remained healthy at 45%.
*   Higher total sales volumes added an additional R2 billion to our revenue line as the group’s total sales volumes increased by 1.6 Mt to 45.3Mt in 2014 (2013: 43.7Mt) from a 4% increase in both domestic and export sales volumes, to 4.8Mt (2013: 4.6Mt) and 40.5Mt (2013: 39.1Mt) respectively.
*   Export sales to China accounted for 57% of the company’s total exports in 2014, compared to 67% in 2013. Exports to Japan, South Korea and the rest of Asia remained at 22% of the total while sales to Europe and MENA made up 10% of total sales during the year. India took up 11%.
*   Operating expenses increased 12% year-on-year to R26.8 billion, excluding the mineral royalty and impairment charge, driven primarily by 37Mt growth in total mining volumes and cost increases in labour, diesel, mining contractor rates and rail and port tariffs.
*   The group’s total logistic costs were R465 million higher than the 2013 base with shipping costs contributing R456 million incurred on 23Mt sold on a CFR basis.
*   Overall, Kumba showed a marked improvement in production as plans implemented over the past few year’s yielded benefits. Sishen mine production increased by 15% to 35.5Mt (2013: 30.9Mt) with total tonnes mined at Sishen mine rising 10% to 229.9Mt (2013: 208.8Mt) with waste amounting to 187.2Mt (2013: 167.8Mt), an increase of 12% compared to the prior year.
*   Kumba continues to invest in the development and expansion of its business, to ensure future sustainability. In 2014 R8.5 billion (2013: R6.5 billion) was spent on capital. Expansion capex of R1.4 billion focused on the Dingleton relocation project and R7.1 billion on stay-in-business (SIB) (2013: R5.4 billion) activities (including heavy mining equipment, infrastructure, housing and deferred stripping).</t>
    </r>
  </si>
  <si>
    <r>
      <t>*   Total production across the group declined 7% to 44.9Mt, due to operational challenges at Sishen mine. Kolomela continued to exceed expectations, contributing to the group’s record export sales of 43.5 Mt.
*</t>
    </r>
    <r>
      <rPr>
        <sz val="11"/>
        <color rgb="FFFF0000"/>
        <rFont val="Arial"/>
        <family val="2"/>
      </rPr>
      <t xml:space="preserve">   Operating profit was 86% lower than in 2014, a key contributor being the impairment of R6 billion that we recorded for Sishen.</t>
    </r>
    <r>
      <rPr>
        <sz val="11"/>
        <color theme="1"/>
        <rFont val="Arial"/>
        <family val="2"/>
      </rPr>
      <t xml:space="preserve">
*   Operating expenses rose by 18% to R33.5 billion from R28.4 billion principally as a result of a R6 billion impairment charge related to Sishen mine. Excluding the impairment, operating cost decreased with 2% as a result of the stringent cash preservation measures implemented.
*   Kumba spent R6.8 billion on capital in 2015. This included expansion capex of R0.9 billion (mainly on the Dingleton relocation project), R3 billion on stay-in-business (SIB) activities such as heavy mining equipment and infrastructure, and R2.9 billion on deferred stripping.</t>
    </r>
  </si>
  <si>
    <r>
      <t xml:space="preserve">*   This year production reached 28.4 Mt, 3 Mt down over 2015, and waste reached 137.1 Mt.
*   This year, the Platts 62% Fe price was higher than initially anticipated, particularly during the second half of the year, averaging US$58/tonne for the full year, US$3/tonne higher than in 2015.
</t>
    </r>
    <r>
      <rPr>
        <sz val="11"/>
        <color rgb="FFFF0000"/>
        <rFont val="Arial"/>
        <family val="2"/>
      </rPr>
      <t>*   During the year Thabazimbi successfully completed the employee exit process and progressed closure plan, with final processing activity at the mine ceasing in 2016. 
*   In February 2017 an agreement was reached with ArcelorMittal SA to transfer the mine to ArcelorMittal SA.</t>
    </r>
    <r>
      <rPr>
        <sz val="11"/>
        <color theme="1"/>
        <rFont val="Arial"/>
        <family val="2"/>
      </rPr>
      <t xml:space="preserve">
*   After a fatality-free year in 2015, this year two Kumba employees lost their lives in work-related incidents.
*   We have seen productivity up by about 30% on our primary fleet, and both Sishen and Kolomela within or higher than market guidance targets for both production and waste. 
*   Revenue increased 13% year-on-year to R40.8 billion (excluding discontinued operations), aided by the recovery in the realised FOB iron ore price and the weaker Rand against the US Dollar. This was partially offset by the 5.3 Mt decrease in sales volumes, which reduced revenue by R3.6 billion. 
*   Operating profit from continuing operations was 78% higher (excluding the impairment recognised for Sishen in 2015), Kumba’s share price recovered significantly during the year from R41 at 31 December 2015 to R159 at year end, and headline earnings per share increased by 131% to R27.30.
*   Kumba ended the year with a net cash position of R6.2 billion, compared to a net debt position of R4.6 billion in 2015.
</t>
    </r>
    <r>
      <rPr>
        <sz val="11"/>
        <color rgb="FFFF0000"/>
        <rFont val="Arial"/>
        <family val="2"/>
      </rPr>
      <t>*   Capital expenditure was down 65% to R2.4 billion.</t>
    </r>
  </si>
  <si>
    <r>
      <t xml:space="preserve">*   Redesign mine pits to extract maximum value - We have redesigned the Sishen and Kolomela mine pits to extract maximum value from the ore body in a lower price environment, and optimising production in line with the available rail capacity on the Sishen/Kolomela-Saldanha export rail line.
*   Sustainably operate mines at a lower unit cost - We sustainably operate our mines at a lower unit cost to remain competitive through a lean support and core cost base and a step-up in productivity.
*   Invest in step-change technology - To extract maximum value from ore
</t>
    </r>
    <r>
      <rPr>
        <sz val="11"/>
        <color rgb="FFFF0000"/>
        <rFont val="Arial"/>
        <family val="2"/>
      </rPr>
      <t>*   Implement the operating model - We implement the Operating Model to ensure the right people are in the right roles to produce the right efficient and effective outcomes.</t>
    </r>
  </si>
  <si>
    <r>
      <rPr>
        <sz val="11"/>
        <color rgb="FFFF0000"/>
        <rFont val="Arial"/>
        <family val="2"/>
      </rPr>
      <t>*   Coupled with acute skills shortages, infrastructural constraints – from electricity supply to transport facilities – run the very real risk of curtailing the economic growth potential of this country. This will be exacerbated by any negative developments internationally, such as a recession in the United States.</t>
    </r>
    <r>
      <rPr>
        <sz val="11"/>
        <color theme="1"/>
        <rFont val="Arial"/>
        <family val="2"/>
      </rPr>
      <t xml:space="preserve">
</t>
    </r>
    <r>
      <rPr>
        <sz val="11"/>
        <color rgb="FFFF0000"/>
        <rFont val="Arial"/>
        <family val="2"/>
      </rPr>
      <t>*   The iron ore market is expected to remain buoyant in 2008, with spot prices into China still much higher than contract prices.
*   Market fundamentals support a signiﬁcant price increase in excess of 65% for the 2008/9 iron ore year.</t>
    </r>
    <r>
      <rPr>
        <sz val="11"/>
        <color theme="1"/>
        <rFont val="Arial"/>
        <family val="2"/>
      </rPr>
      <t xml:space="preserve">
*   Again, this has been driven primarily by demand from China for iron ore which has more than quadrupled from 92Mt in 2001 to 387Mt in 2007.
</t>
    </r>
    <r>
      <rPr>
        <sz val="11"/>
        <color rgb="FFFF0000"/>
        <rFont val="Arial"/>
        <family val="2"/>
      </rPr>
      <t>*   China consumes over 45% of global seaborne iron ore and major capacity expansions have been announced to meet growing demand in the Chinese economy.
*   Accordingly, to reach the target of doubling our export production capacity by 2013 the focus for Kumba in the next ﬁve years will be on developing the iron ore export channel further in partnership with Transnet and other stakeholders, securing regulatory approval for the South African expansion projects, such as Sishen South, and a ﬁrst-stage development outside South Africa, such as the exploration under way in Guinea.</t>
    </r>
  </si>
  <si>
    <r>
      <rPr>
        <sz val="11"/>
        <color rgb="FFFF0000"/>
        <rFont val="Arial"/>
        <family val="2"/>
      </rPr>
      <t>*   Our project pipeline is healthy and balanced, with projects in the Northern Cape, elsewhere in South Africa and in Africa offering the potential to grow towards 70Mtpa and beyond. This pipeline is constantly reviewed to consider operating and market conditions.</t>
    </r>
    <r>
      <rPr>
        <sz val="11"/>
        <color theme="1"/>
        <rFont val="Arial"/>
        <family val="2"/>
      </rPr>
      <t xml:space="preserve">
*   The ﬁrst product from the 13Mt Sishen Expansion Project jig plant has already been shipped to customers, and we expect 8Mt in 2008 and 13Mt in 2009 from the jig plant. Some 400,000tpa will be added to this phase of Sishen Mine expansion in 2010 with the installation of a ﬁnes beneﬁciation circuit in the Sishen Expansion Project.
*   The next signiﬁcant expansion is 9Mtpa from Sishen South with ﬁrst production anticipated in 2012. When domestic sales of some 9Mtpa are added, Kumba will exceed production capacity of 50Mtpa by 2013.
</t>
    </r>
    <r>
      <rPr>
        <sz val="11"/>
        <color rgb="FFFF0000"/>
        <rFont val="Arial"/>
        <family val="2"/>
      </rPr>
      <t xml:space="preserve">*   These Northern Cape projects, however, depend on economically competitive expansions of the Sishen-Saldanha export channel. </t>
    </r>
    <r>
      <rPr>
        <sz val="11"/>
        <color theme="1"/>
        <rFont val="Arial"/>
        <family val="2"/>
      </rPr>
      <t xml:space="preserve">
*   Kumba is actively engaged in discussions with state-owned utility, Transnet, which owns and operates the logistical infrastructure, and other industry participants in developing economically viable long term solutions.</t>
    </r>
  </si>
  <si>
    <r>
      <rPr>
        <sz val="11"/>
        <color rgb="FFFF0000"/>
        <rFont val="Arial"/>
        <family val="2"/>
      </rPr>
      <t>*   Drop in the commodity price, commodity price boom that came to an end due to the dropped demand for Iron Ore.
*   Prevailing global ecomonic melt down (down turn) with 30% drop in production cuts at major steel mills and slowing demand in steel from SA environment.
*   Secured a new order mining right for the Sishen South project.</t>
    </r>
    <r>
      <rPr>
        <sz val="11"/>
        <color theme="1"/>
        <rFont val="Arial"/>
        <family val="2"/>
      </rPr>
      <t xml:space="preserve">
*   Converting of the Sishen and Thabazimbi old order mining rights.
*   Talent management strategy to attract, develop and retain employees to ensure a competitive, skilled and satisfied workforce.
*   The constrained supply of electricity to our mines had a limited impact on our ability to operate during 2008.</t>
    </r>
  </si>
  <si>
    <r>
      <rPr>
        <sz val="11"/>
        <color rgb="FFFF0000"/>
        <rFont val="Arial"/>
        <family val="2"/>
      </rPr>
      <t xml:space="preserve">*   We believe that demand for iron ore will continue to decrease until such time as the economy recovers. 
*   The company is well placed to weather current market volatility by keeping a watchful eye on costs and improving asset optimisation. 
*   Our products are produced at relatively low cost. </t>
    </r>
    <r>
      <rPr>
        <sz val="11"/>
        <color theme="1"/>
        <rFont val="Arial"/>
        <family val="2"/>
      </rPr>
      <t xml:space="preserve">
*   In the present environment, Sishen Mine will look to secure export volumes in the short term by focusing on increasing the quality of products to its customers, even though this may marginally reduce volumes.
*   Kumba critically reviewed its capital expenditure plans for 2009 and has taken decisive action, reducing expenditure by around 20% to R4.0 billion (US$425 million). The Sishen South project, however, remains on track with expenditure prioritised along the critical path.
</t>
    </r>
    <r>
      <rPr>
        <sz val="11"/>
        <color rgb="FFFF0000"/>
        <rFont val="Arial"/>
        <family val="2"/>
      </rPr>
      <t>*   Agreement finalised with Transnet on expanding iron ore export channel.</t>
    </r>
  </si>
  <si>
    <r>
      <t xml:space="preserve">*   Kumba optimised the value of existing operations by increasing production and effectively contained unit cash costs through asset optimisation and procurement savings.
</t>
    </r>
    <r>
      <rPr>
        <sz val="11"/>
        <color rgb="FFFF0000"/>
        <rFont val="Arial"/>
        <family val="2"/>
      </rPr>
      <t>*   Additional value was captured across the value chain by achieving exceptional prices for their niche products and once again making additional profits on the shipping business.</t>
    </r>
    <r>
      <rPr>
        <sz val="11"/>
        <color theme="1"/>
        <rFont val="Arial"/>
        <family val="2"/>
      </rPr>
      <t xml:space="preserve">
*   The progress the team made on the final ramp up of the jig plant to full production and the development of Kolomela Mine has ensure that Kumba is delivering on its growth targets.
</t>
    </r>
    <r>
      <rPr>
        <sz val="11"/>
        <color rgb="FFFF0000"/>
        <rFont val="Arial"/>
        <family val="2"/>
      </rPr>
      <t>*   The favourable climate for iron ore, a substantial increase in export prices and increased sales volumes, resulted in the company achieving record earnings.</t>
    </r>
    <r>
      <rPr>
        <sz val="11"/>
        <color theme="1"/>
        <rFont val="Arial"/>
        <family val="2"/>
      </rPr>
      <t xml:space="preserve">
*   On the downside, however, this performance was marred by our disappointing safety record for the year and the signiﬁcant challenges we face regarding the residual 21.4% of the mining rights of Sishen Mine.
*   The impact of the development and application of new technology in the mining industry cannot be underestimated and leveraging technology to beneﬁciate waste material is another one of our strategic goals that is continuing to deliver beneﬁts.</t>
    </r>
  </si>
  <si>
    <r>
      <rPr>
        <sz val="11"/>
        <rFont val="Arial"/>
        <family val="2"/>
      </rPr>
      <t>*   This year we once again improved our operational efﬁciencies and contained the increase in unit costs – both of which remain ongoing strategic goals – by focusing on all aspects of our value chain.
*   On the mining side, by optimising the use and size of our vehicle ﬂeet we increased output and reduced capital, operating and maintenance costs. The savings from this project and the mining maintenance project at Sishen Mine amounted to R239 million during 2010. A further R101 million was saved through enhancements to drilling and blasting processes at Sishen Mine during the year.</t>
    </r>
    <r>
      <rPr>
        <sz val="11"/>
        <color theme="1"/>
        <rFont val="Arial"/>
        <family val="2"/>
      </rPr>
      <t xml:space="preserve">
*   As a member of the Anglo American plc Group we have also been able to achieve substantial procurement beneﬁts and value from leveraging the scale of the Group and from sharing best practice across the business units within Anglo American plc.
*   The R5 billion we invested in the construction of the jig plant at Sishen Mine created 381 jobs and will contribute signiﬁcantly to the economy by way of increased production at the mine. 
*   Using material previously discarded as waste, the jig plant, which ramped up to full production this year, produced 13.3 Mt of iron ore and contributed 32% of Sishen Mine’s production this year.
*   Transnet Freight Rail (Transnet) had an excellent operational performance in the fourth quarter and we were able to increase volumes railed to the Port of Saldanha by over 5% during 2010.
</t>
    </r>
    <r>
      <rPr>
        <sz val="11"/>
        <color rgb="FFFF0000"/>
        <rFont val="Arial"/>
        <family val="2"/>
      </rPr>
      <t>*   Kumba, together with other industry role players, is working closely with Transnet to explore the potential for expanding the Sishen-Saldanha Iron Ore Export Channel beyond 60Mt per annum. A conceptual study was commissioned which is now at the pre-feasibility stage and a feasibility study is planned for completion in 2012.
*   Global steel production increased by 17% year on year to 1.4Bt in 2010 and our traditional markets of Europe, Japan and South Korea saw a 24% rise in output for the year as they replenished stocks and steel production started to increase. Chinese crude steel production achieved a 9% increase in production to 627Mt.</t>
    </r>
    <r>
      <rPr>
        <sz val="11"/>
        <color theme="1"/>
        <rFont val="Arial"/>
        <family val="2"/>
      </rPr>
      <t xml:space="preserve">
</t>
    </r>
    <r>
      <rPr>
        <sz val="11"/>
        <color rgb="FFFF0000"/>
        <rFont val="Arial"/>
        <family val="2"/>
      </rPr>
      <t xml:space="preserve">*   Overall, seaborne iron ore demand increased 5% to 979Mt, while seaborne imports to Europe, Japan and Korea grew 24% year on year in 2010 in line with the increase in steel production. </t>
    </r>
    <r>
      <rPr>
        <sz val="11"/>
        <color theme="1"/>
        <rFont val="Arial"/>
        <family val="2"/>
      </rPr>
      <t xml:space="preserve">
*   Seaborne imports to China were down 2% to 610Mt as domestic production of iron ore increased by 34% incentivised by high prices.</t>
    </r>
  </si>
  <si>
    <r>
      <rPr>
        <sz val="11"/>
        <color rgb="FFFF0000"/>
        <rFont val="Arial"/>
        <family val="2"/>
      </rPr>
      <t>*   China accounted for 68% of Kumba’s export sales in 2011. In effect though it was a year of two halves: a strong start in the ﬁrst six months, with a weaker ﬁnish. 
*   Global crude steel production rose by 6% in 2011 as a whole, up by 7% in China and up by around 4% in Kumba’s traditional markets (Europe, Japan and Korea). 
*   However compared to the ﬁrst half of the year, global steel production declined in the second half by 6% in China, and by 4% in Europe, Japan and Korea.</t>
    </r>
    <r>
      <rPr>
        <sz val="11"/>
        <color theme="1"/>
        <rFont val="Arial"/>
        <family val="2"/>
      </rPr>
      <t xml:space="preserve">
</t>
    </r>
    <r>
      <rPr>
        <sz val="11"/>
        <color rgb="FFFF0000"/>
        <rFont val="Arial"/>
        <family val="2"/>
      </rPr>
      <t xml:space="preserve">*   Eurozone contagion presents a threat that could affect demand in a manner similar to that following the market crisis of 2008. Such a situation would be temporary, although there is the potential for a negative effect on steel prices, giving rise to production cutbacks, with a consequent impact on iron ore demand and pricing. 
*   Already we have seen European production reduced by up to 20% towards the end of the ﬁnancial year, although it is of note that mills currently appear to hold less iron ore stock than was the case in 2008, thereby potentially muting the overall impact on demand. </t>
    </r>
    <r>
      <rPr>
        <sz val="11"/>
        <color theme="1"/>
        <rFont val="Arial"/>
        <family val="2"/>
      </rPr>
      <t xml:space="preserve">
*   Sishen mine’s productivity improvement project, ‘Bokamoso’ continues to deliver efﬁciency and productivity improvements. 
*   A total of 18Mt of material, previously discarded as waste, was processed in the jig plant during the year, producing 13.5Mt of ore, and contributing 35% towards production. 
*   We intend to increase production volumes incrementally through our growth projects to optimise output.
*   Good progress has been made with the Phoenix project, with the feasibility study to be completed in 2014. Kumba regards the Phoenix project, which is located within the Thabazimbi mining rights area of which SIOC is the mining rights holder, and is a separate ring-fenced development, separate from the remainder of the Thabazimbi mine, from a commercial and technical perspective.
*   Capital expenditure in 2012 is expected to be of the order of R5.5 billion to R6.0 billion. Stay in business capital expenditure is driven by the procurement of mining ﬂeet and equipment and infrastructure development at Sishen and Kolomela mines to ensure the delivery of mining volume growth. Expansionary capital expenditure in 2012 will be incurred on the ﬁnalisation of the housing developments at Kolomela mine, the Sishen South-Westerly Expansion project and SEP1B, once board approval has been obtained. 
*   After 2012 capital expenditure is expected to reduce to levels of around R3.0 to R3.8 billion per annum before taking into account the capital required to grow the group to production of  80 to 90Mtpa.</t>
    </r>
  </si>
  <si>
    <r>
      <rPr>
        <sz val="11"/>
        <color rgb="FFFF0000"/>
        <rFont val="Arial"/>
        <family val="2"/>
      </rPr>
      <t>*   The fundamentals of the global iron ore industry have been excellent for the past three years and we believe that this environment will persist for the foreseeable future, albeit at somewhat subdued levels. 
*   The market supply/demand relationship has been tight, with supply of iron ore constrained amid rising demand from the global steel industry.
*   As was expected, we experienced solid demand growth from China, and this is likely to continue as the demand for steel to support urbanisation and infrastructure development continues to drive the demand for iron ore. 
*   We remain conﬁdent of our ability to place our ore, although the impact on prices will, of course, affect all producers.
*   Our strategy has evolved during the year under review: we have moved from being a South African company focused on growth, to becoming an African growth company, with the potential for much more ambitious growth from a second, African footprint. We have set our sights on the mineral-endowed west and central African region and we will keep our stakeholders informed of progress on this in due course.</t>
    </r>
    <r>
      <rPr>
        <sz val="11"/>
        <color theme="1"/>
        <rFont val="Arial"/>
        <family val="2"/>
      </rPr>
      <t xml:space="preserve">
*   In 2011, Kumba announced the evolution of its strategy, from being a South African growth company to an African growth company and its intention to seek a further 10Mtpa to 20Mtpa by 2020, from sources in west and central Africa.</t>
    </r>
  </si>
  <si>
    <r>
      <rPr>
        <sz val="11"/>
        <color rgb="FFFF0000"/>
        <rFont val="Arial"/>
        <family val="2"/>
      </rPr>
      <t xml:space="preserve">*   23% decrease in realised average export iron ore prices realised of US$122/tonne.
*   Global crude steel production rose to 1.6 billion tonnes in 2012,  primarily driven  by China.
*   The volatility of the global markets, particularly in respect of slowing economic growth in China which affected the demand for and prices of iron ore, as well as the protracted impact of the global ﬁnancial crisis, combined with the Eurozone sovereign debt crisis, have played a role in our mixed fortunes during the year. 
*   Declining iron ore prices in the ﬁrst three quarters of 2012 gave way to a pleasing recovery in iron ore prices in the latter part of the year. 
*   Our expectation is for stable demand counter-balanced by growth in seaborne iron ore supply, with the likelihood of softening iron ore prices in the second half of 2013. On average, prices are anticipated to be ﬁrmer than in 2012.
*   The labour unrest that we experienced in the fourth quarter of 2012 at Sishen mine was unexpected given the historical state of employee relations within the group, and disappointing, given the fact that our employees have beneﬁtted signiﬁcantly from the Envision programme. </t>
    </r>
    <r>
      <rPr>
        <sz val="11"/>
        <color theme="1"/>
        <rFont val="Arial"/>
        <family val="2"/>
      </rPr>
      <t xml:space="preserve">
*   Our growth prospects are on two tracks: ﬁrst, the further expansion of our capacity in the Northern Cape and Limpopo provinces, and secondly, our second footprint in west and central Africa.
*   Wildcat strike at Sishen mine and its impact on Kumba, the residual effects of which are expected to continue into early 2013.
*   Kolomela mine has undoubtedly been a success story all round, delivering an exceptional performance in its ramp up year and producing 8.5 million tonnes, ahead of its production schedule and our expectations. This accelerated ramp-up of Kolomela mine assisted in minimising the production impact of the Sishen mine strike on our customers.
*   Revenue from shipping operations increased by 19% and was earned on the total tonnes of 24.1 Mt (2011: 21.7 Mt) shipped by Kumba on behalf of customers, at lower margins than 2011.
*   Although operating costs rose sharply in the period under review, this is largely a function of the company being in growth mode and the increased waste mined at Sishen mine, exacerbated by the unprotected strike in October 2012. 
*   The Kolomela project development costs were capitalised to ﬁxed assets up to November 2011. In 2012, these costs were fully accounted for and included in operating costs. </t>
    </r>
  </si>
  <si>
    <r>
      <rPr>
        <sz val="11"/>
        <color rgb="FFFF0000"/>
        <rFont val="Arial"/>
        <family val="2"/>
      </rPr>
      <t>*   For Kumba 2013 was a year of transition in which we revised our strategy and strengthened our purpose in the face of both challenges and successes.
*   At Kumba we believe an essential part of strategy implementation is to ensure that every member of the company understands the strategy and their role in it.
*   During 2013 we saw our landscape change signiﬁcantly and the combination of both internal and external factors has naturally meant revisions in strategy. External inﬂuences included the volatility in the market demand and the general sentiment in South African mining. Internal factors encompassed the redesign of Sishen mine, the continued ramp-up of Kolomela mine, the ﬁnal judgment from the Constitutional Court, and the new supply agreement signed with ArcelorMittal SA.</t>
    </r>
    <r>
      <rPr>
        <sz val="11"/>
        <color theme="1"/>
        <rFont val="Arial"/>
        <family val="2"/>
      </rPr>
      <t xml:space="preserve">
</t>
    </r>
    <r>
      <rPr>
        <sz val="11"/>
        <color rgb="FFFF0000"/>
        <rFont val="Arial"/>
        <family val="2"/>
      </rPr>
      <t>*   Taking all this into consideration we revised our strategy, making it more ﬂexible. This ﬂexibility allows the company to adapt implementation plans to appropriately meet challenges and changes while still achieving strategic goals. These goals are to effectively optimise our current operations and grow our South African pipeline with the development of the second footprint elsewhere in Africa remaining a long-term priority.</t>
    </r>
    <r>
      <rPr>
        <sz val="11"/>
        <color theme="1"/>
        <rFont val="Arial"/>
        <family val="2"/>
      </rPr>
      <t xml:space="preserve">
*   The toughest challenges of 2013 were addressing the on-going pit constraints, together with the safety stoppages at Sishen mine that impacted production.
*   Pleasingly, in February 2014 we were granted the mining right for the rail properties at Sishen mine, allowing us to proceed with the mining plan.
*   At Kolomela mine production has exceeded expectations and we are conﬁdent we will be able to sustain this good performance.
*   Thabazimbi mine has become a more commercial operation in the Kumba portfolio, having changed from being a mine captive to ArcelorMittal SA, through the new supply agreement concluded in November 2013.
</t>
    </r>
    <r>
      <rPr>
        <sz val="11"/>
        <color rgb="FFFF0000"/>
        <rFont val="Arial"/>
        <family val="2"/>
      </rPr>
      <t>*   The judgment given by the Constitutional Court in December 2013 in respect of the 21.4% Sishen mining right represents a win for both Kumba and the DMR. It has provided welcome clarity for us on our mining rights, and it has provided clarity for government on its role in the awarding of mining rights. We have applied to the DMR for the outstanding 21.4% Sishen mining right and expect this will be granted in the ﬁrst half of 2014</t>
    </r>
    <r>
      <rPr>
        <sz val="11"/>
        <color theme="1"/>
        <rFont val="Arial"/>
        <family val="2"/>
      </rPr>
      <t xml:space="preserve">
</t>
    </r>
    <r>
      <rPr>
        <sz val="11"/>
        <color rgb="FFFF0000"/>
        <rFont val="Arial"/>
        <family val="2"/>
      </rPr>
      <t>*   In 2013 market prices exceeded our expectations even as supply from Australia and Latin America grew at a faster rate than demand. On the positive side, economic conditions in the US improved, stabilised in Europe, and growth in China was also stronger than expected.</t>
    </r>
    <r>
      <rPr>
        <sz val="11"/>
        <color theme="1"/>
        <rFont val="Arial"/>
        <family val="2"/>
      </rPr>
      <t xml:space="preserve">
*   We are satisﬁed with the quality of our relationships with communities around our operations. Dividends to the SIOC-CDT continue to ﬂow.</t>
    </r>
  </si>
  <si>
    <r>
      <rPr>
        <sz val="11"/>
        <color rgb="FFFF0000"/>
        <rFont val="Arial"/>
        <family val="2"/>
      </rPr>
      <t>*   A substantial increase in production in Australia and Brazil has coincided with a slackening of growth for imported ore from China’s steel industry, leading to an oversupplied market and significantly lower prices. All indications are that this situation is the new normal for the market, at least for the next few years.
*   In the near term, we have set productivity targets and are targeting efficiencies that will allow us to optimise the value of our current assets.
*   We continue to target the expansion of our operations, in order to leverage off existing infrastructure and our sound knowledge of the areas in which we mine. This expansion will provide us replacement resources that will ensure the sustainability of Kumba.
*   In the longer term, we work to extend our reach outside of our home country in partnership with the Anglo American plc Group. However, this move is dependent upon the direction in which the iron ore market develops.</t>
    </r>
    <r>
      <rPr>
        <sz val="11"/>
        <color theme="1"/>
        <rFont val="Arial"/>
        <family val="2"/>
      </rPr>
      <t xml:space="preserve">
*   We focused on efficiency at all of our mines this year. We improved operational practices and equipment efficiencies through a variety of initiatives, including the implementation of the new Operating Model at Sishen mine and better use of our equipment fleet. This focus, combined with efforts to reduce costs, played a crucial role in our response to the decline in iron ore prices.
</t>
    </r>
    <r>
      <rPr>
        <sz val="11"/>
        <color rgb="FFFF0000"/>
        <rFont val="Arial"/>
        <family val="2"/>
      </rPr>
      <t>*   The first of these choices involved organisational restructuring, which has seen a 40% reduction in the number of our corporate office employees in early 2015. This equates to around 140 people, 70 of whom have taken voluntary separation packages (VSPs).</t>
    </r>
    <r>
      <rPr>
        <sz val="11"/>
        <color theme="1"/>
        <rFont val="Arial"/>
        <family val="2"/>
      </rPr>
      <t xml:space="preserve">
</t>
    </r>
    <r>
      <rPr>
        <sz val="11"/>
        <color rgb="FFFF0000"/>
        <rFont val="Arial"/>
        <family val="2"/>
      </rPr>
      <t>*   Phase 2 of the redesign will commence at the mines in the first half of 2015, focusing on the support functions. Very few companies can survive around a 50% drop in prices and the effects it has on profitability but Kumba will continue to provide returns to its shareholders, which is a result of making decisions like this one.
*   The second fundamental review currently being considered is the viability of the Thabazimbi mine within the Kumba stable. Following the conclusion of a new supply agreement with ArcelorMittal SA in 2013, we reported that Kumba would examine how we might reconfigure the mine and further extend its life. Thabazinbi mine is no longer a ‘captive’ mine and product may be delivered to ArcelorMittal SA from any Kumba mine at a Sishen-related cost. At this stage, the options available to the company are: to see if there is a viable way to mine, placing the mine on care and maintenance, closing the mine or selling it.</t>
    </r>
    <r>
      <rPr>
        <sz val="11"/>
        <color theme="1"/>
        <rFont val="Arial"/>
        <family val="2"/>
      </rPr>
      <t xml:space="preserve">
*   Employees are, and always have been, one of our most critical stakeholders – they are the people who make up Kumba and are the key to our success. We, in return, try to be the key to their success too, through various training and development initiatives to help them increase their skill set and advance their careers.</t>
    </r>
  </si>
  <si>
    <r>
      <rPr>
        <sz val="11"/>
        <color rgb="FFFF0000"/>
        <rFont val="Arial"/>
        <family val="2"/>
      </rPr>
      <t>*   The unparalleled fall in the iron ore price reflects a continuing supply glut combined with softening demand, primarily in China, the principal price-setter for most global commodities. The outlook for the year ahead is one in which we cannot expect an upturn in the commodity cycle any time soon.</t>
    </r>
    <r>
      <rPr>
        <sz val="11"/>
        <color theme="1"/>
        <rFont val="Arial"/>
        <family val="2"/>
      </rPr>
      <t xml:space="preserve">
*   After falling an average of US$38/tonne in 2014, the average Platts index came down another US$41/tonne in 2015, from US$97/tonne to US$56/tonne. Prices started the year at US$71.75 and fell steadily throughout the year, declining to an all-time low of US$38.50/tonne in December 2015. Prices have remained volatile – ranging between US$40/tonne and US$50/tonne in early 2016.
*   Contributing to this challenging market environment are the continuing levels of volatility in financial markets, as well as signs of growing instability at a global geo-political level.
</t>
    </r>
    <r>
      <rPr>
        <sz val="11"/>
        <color rgb="FFFF0000"/>
        <rFont val="Arial"/>
        <family val="2"/>
      </rPr>
      <t>*   Our response to the steep fall in price and increasingly volatile global markets has been to fundamentally review our business, change our life of mine plans and implement restructuring across the group.</t>
    </r>
    <r>
      <rPr>
        <sz val="11"/>
        <color theme="1"/>
        <rFont val="Arial"/>
        <family val="2"/>
      </rPr>
      <t xml:space="preserve">
*</t>
    </r>
    <r>
      <rPr>
        <sz val="11"/>
        <color rgb="FFFF0000"/>
        <rFont val="Arial"/>
        <family val="2"/>
      </rPr>
      <t xml:space="preserve">   Kumba, in response to the downward-spiralling iron ore price, has moved quickly in introducing a refined Operating Model that significantly resets the Company’s cost base.</t>
    </r>
    <r>
      <rPr>
        <sz val="11"/>
        <color theme="1"/>
        <rFont val="Arial"/>
        <family val="2"/>
      </rPr>
      <t xml:space="preserve">
*</t>
    </r>
    <r>
      <rPr>
        <sz val="11"/>
        <color rgb="FFFF0000"/>
        <rFont val="Arial"/>
        <family val="2"/>
      </rPr>
      <t xml:space="preserve">   The Company is in the process of closing its operations at Thabazimbi, has restructured the Sishen pit to a lower cost shell, and increased production at the successful Kolomela operation. 
*   Additional stringent capital austerity measures have been introduced, with capital expenditure down 20%, while significant savings have been achieved on overheads, project and technical study costs and headcount.
*   We have moved from a volume (increasing waste and production volumes) - to a value (cash generating)-based strategy, reconfiguring our mines to reduce the amount of waste mined and save costs in all operational areas.</t>
    </r>
    <r>
      <rPr>
        <sz val="11"/>
        <color theme="1"/>
        <rFont val="Arial"/>
        <family val="2"/>
      </rPr>
      <t xml:space="preserve">
*   In line with our strategy of cost containment and capital preservation, this year we delivered a R4 billion reduction in controllable costs.</t>
    </r>
  </si>
  <si>
    <r>
      <rPr>
        <sz val="11"/>
        <color rgb="FFFF0000"/>
        <rFont val="Arial"/>
        <family val="2"/>
      </rPr>
      <t>*   This has been a particularly turbulent year, not only for Kumba and the mining sector generally, but also globally at a geopolitical level and across financial markets.
*   In February, Kumba commenced with the Sishen retrenchment process as part of a significant reconfiguration of the Sishen pit, regrettably culminating in a 32.5% reduction in headcount at the mine.</t>
    </r>
    <r>
      <rPr>
        <sz val="11"/>
        <color theme="1"/>
        <rFont val="Arial"/>
        <family val="2"/>
      </rPr>
      <t xml:space="preserve">
*   In October, the Department of Mineral Resources (DMR) granted the residual 21.4% undivided share of the mining right for the Sishen mine to Kumba’s subsidiary, Sishen Iron Ore Company (Pty) Ltd (SIOC), which is now the sole and exclusive holder of the right to mine iron ore and quartzite at the Sishen mine. We appreciate the work of the Department of Mineral Resources in bringing this matter to a successful conclusion.
</t>
    </r>
    <r>
      <rPr>
        <sz val="11"/>
        <color rgb="FFFF0000"/>
        <rFont val="Arial"/>
        <family val="2"/>
      </rPr>
      <t>*   These various changes were accompanied by further restructuring and a strong efficiency drive across the Company, the closure of the Thabazimbi mine and an agreement to transfer the mine to ArcelorMittal SA, as well as important progress towards completing the relocation of the Dingleton community neighbouring our Sishen operation. All of these developments have been against the backdrop of uncertain and volatile iron ore prices.
*   Although we saw a material improvement in iron ore prices during the second half of the year, we remain cautious about the market outlook, with fundamentals suggesting that prices will be subdued over the short and medium term.</t>
    </r>
    <r>
      <rPr>
        <sz val="11"/>
        <color theme="1"/>
        <rFont val="Arial"/>
        <family val="2"/>
      </rPr>
      <t xml:space="preserve">
*   Kumba has made significant progress down this road, with its strict capital and cost discipline measures contributing to the Company’s year-end net cash position of R6.2 billion, compared to a net debt position of R4.6 billion in 2015.
*   A key drive this year has been on completing the Sishen reconfiguration and setting Sishen up to continuously produce around 27 to 28 Mt per annum over the life of mine.</t>
    </r>
  </si>
  <si>
    <r>
      <rPr>
        <sz val="11"/>
        <color rgb="FFFF0000"/>
        <rFont val="Arial"/>
        <family val="2"/>
      </rPr>
      <t>*   Internationally, volatility in the iron ore price has been accompanied by a further flattening of the producer cost curve and continued pressure on margins. 
*   In South Africa, the mining sector has continued to operate in the context of regulatory and policy uncertainty. 
*   The gazetting of the third version of the Mining Charter in June 2017, and the subsequent legal impasse, has negatively impacted market capitalisation of listed mining companies and resulted in some hesitance to take large-scale, long-term investment decisions.
*   This has been another eventful year in the global and local operating environment, characterised by further volatility in iron ore prices, rising non-controllable costs, and continuing uncertainty in the national regulatory and policy context.
*   This price growth was driven by healthy demand and lower than expected supply growth. Looking to the future, analysts forecast iron ore prices in a mid-term range of US$50 to US$70/tonne.
*   The volatility in iron ore prices was accompanied by the first depreciation in the US Dollar for five years, while rising oil prices contributed to an increase in freight rates, especially in the last quarter. Given our distance from the market, Kumba is particularly exposed to rising freight costs and a strengthening of the Rand against the US Dollar.
*   The pleasing turnaround of the business, delivered over a remarkably short timeframe, required some tough decisions that had to be taken regarding the restructuring of our business following the collapse of iron ore prices in 2014/15. Although the process has been painful, the Company is now much stronger, enabling us to deliver significant growth in value for our key stakeholders.
*   We face the challenge that our assets have a relative short remaining life, and that without a change in pit shell or growth projects, our operations would close in 13 to 14 years.</t>
    </r>
    <r>
      <rPr>
        <sz val="11"/>
        <color theme="1"/>
        <rFont val="Arial"/>
        <family val="2"/>
      </rPr>
      <t xml:space="preserve">
*   Given the evident need to enhance our competitive position, we have taken the strategic decision to embark on a journey to deliver a fatality-free business, significant margin improvement and extension of LoM by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</si>
</sst>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quot;R&quot;#,##0"/>
  </numFmts>
  <fonts count="31" x14ac:knownFonts="1">
    <font>
      <sz val="10"/>
      <color theme="1"/>
      <name val="Arial"/>
      <family val="2"/>
      <scheme val="minor"/>
    </font>
    <font>
      <sz val="11"/>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
      <sz val="10"/>
      <color theme="1"/>
      <name val="Lucida Bright"/>
      <family val="1"/>
    </font>
    <font>
      <b/>
      <sz val="10"/>
      <color theme="1"/>
      <name val="Lucida Bright"/>
      <family val="1"/>
    </font>
    <font>
      <b/>
      <sz val="10"/>
      <color theme="0"/>
      <name val="Lucida Bright"/>
      <family val="1"/>
    </font>
    <font>
      <b/>
      <u/>
      <sz val="12"/>
      <color theme="1"/>
      <name val="Lucida Bright"/>
      <family val="1"/>
    </font>
    <font>
      <sz val="10"/>
      <name val="Lucida Bright"/>
      <family val="1"/>
    </font>
    <font>
      <sz val="10"/>
      <color theme="0"/>
      <name val="Lucida Bright"/>
      <family val="1"/>
    </font>
    <font>
      <sz val="11"/>
      <color theme="1"/>
      <name val="Arial"/>
      <family val="2"/>
    </font>
    <font>
      <b/>
      <sz val="11"/>
      <color theme="1"/>
      <name val="Arial"/>
      <family val="2"/>
    </font>
    <font>
      <b/>
      <sz val="11"/>
      <color theme="1"/>
      <name val="Arial"/>
      <family val="2"/>
      <scheme val="minor"/>
    </font>
    <font>
      <sz val="9"/>
      <color indexed="81"/>
      <name val="Tahoma"/>
      <family val="2"/>
    </font>
    <font>
      <b/>
      <sz val="9"/>
      <color indexed="81"/>
      <name val="Tahoma"/>
      <family val="2"/>
    </font>
    <font>
      <sz val="11"/>
      <color rgb="FFFF0000"/>
      <name val="Arial"/>
      <family val="2"/>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2" tint="-4.9989318521683403E-2"/>
        <bgColor indexed="64"/>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12" fillId="0" borderId="1" applyNumberFormat="0" applyFill="0" applyAlignment="0" applyProtection="0"/>
    <xf numFmtId="0" fontId="13" fillId="0" borderId="2" applyNumberFormat="0" applyFill="0" applyAlignment="0" applyProtection="0"/>
    <xf numFmtId="0" fontId="3" fillId="2" borderId="0" applyNumberFormat="0" applyBorder="0" applyAlignment="0" applyProtection="0"/>
    <xf numFmtId="0" fontId="2" fillId="3" borderId="0" applyNumberFormat="0" applyBorder="0" applyAlignment="0" applyProtection="0"/>
    <xf numFmtId="0" fontId="4" fillId="4" borderId="0" applyNumberFormat="0" applyBorder="0" applyAlignment="0" applyProtection="0"/>
    <xf numFmtId="0" fontId="8" fillId="5" borderId="3" applyNumberFormat="0" applyAlignment="0" applyProtection="0"/>
    <xf numFmtId="0" fontId="10" fillId="6" borderId="4" applyNumberFormat="0" applyAlignment="0" applyProtection="0"/>
    <xf numFmtId="0" fontId="5" fillId="6" borderId="3" applyNumberFormat="0" applyAlignment="0" applyProtection="0"/>
    <xf numFmtId="0" fontId="9" fillId="0" borderId="5" applyNumberFormat="0" applyFill="0" applyAlignment="0" applyProtection="0"/>
    <xf numFmtId="0" fontId="6" fillId="7" borderId="6" applyNumberFormat="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7" fillId="31" borderId="0" applyNumberFormat="0" applyBorder="0" applyAlignment="0" applyProtection="0"/>
    <xf numFmtId="9" fontId="14" fillId="0" borderId="0" applyFon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cellStyleXfs>
  <cellXfs count="135">
    <xf numFmtId="0" fontId="0" fillId="0" borderId="0" xfId="0"/>
    <xf numFmtId="0" fontId="18" fillId="0" borderId="0" xfId="0" applyFont="1"/>
    <xf numFmtId="0" fontId="19" fillId="0" borderId="0" xfId="0" applyFont="1"/>
    <xf numFmtId="0" fontId="21" fillId="0" borderId="0" xfId="0" applyFont="1"/>
    <xf numFmtId="0" fontId="22" fillId="32" borderId="0" xfId="0" applyFont="1" applyFill="1"/>
    <xf numFmtId="2" fontId="18" fillId="0" borderId="0" xfId="0" applyNumberFormat="1" applyFont="1"/>
    <xf numFmtId="0" fontId="22" fillId="0" borderId="0" xfId="0" applyFont="1" applyAlignment="1">
      <alignment horizontal="center"/>
    </xf>
    <xf numFmtId="1" fontId="18" fillId="0" borderId="0" xfId="0" applyNumberFormat="1" applyFont="1"/>
    <xf numFmtId="9" fontId="18" fillId="0" borderId="0" xfId="40" applyFont="1"/>
    <xf numFmtId="0" fontId="22" fillId="0" borderId="0" xfId="0" applyFont="1"/>
    <xf numFmtId="9" fontId="19" fillId="0" borderId="0" xfId="40" applyFont="1"/>
    <xf numFmtId="0" fontId="23" fillId="35" borderId="0" xfId="0" applyFont="1" applyFill="1"/>
    <xf numFmtId="3" fontId="23" fillId="35" borderId="0" xfId="0" applyNumberFormat="1" applyFont="1" applyFill="1"/>
    <xf numFmtId="164" fontId="23" fillId="35" borderId="0" xfId="40" applyNumberFormat="1" applyFont="1" applyFill="1"/>
    <xf numFmtId="4" fontId="23" fillId="35" borderId="0" xfId="0" applyNumberFormat="1" applyFont="1" applyFill="1"/>
    <xf numFmtId="0" fontId="20" fillId="33" borderId="0" xfId="0" applyFont="1" applyFill="1"/>
    <xf numFmtId="164" fontId="19" fillId="0" borderId="0" xfId="40" applyNumberFormat="1" applyFont="1"/>
    <xf numFmtId="0" fontId="19" fillId="0" borderId="0" xfId="0" applyFont="1" applyAlignment="1">
      <alignment horizontal="right"/>
    </xf>
    <xf numFmtId="0" fontId="24" fillId="0" borderId="0" xfId="41" applyFont="1" applyAlignment="1">
      <alignment vertical="top"/>
    </xf>
    <xf numFmtId="0" fontId="25" fillId="0" borderId="0" xfId="41" applyFont="1" applyAlignment="1">
      <alignment vertical="top"/>
    </xf>
    <xf numFmtId="0" fontId="24" fillId="34" borderId="12" xfId="41" applyFont="1" applyFill="1" applyBorder="1" applyAlignment="1">
      <alignment vertical="top"/>
    </xf>
    <xf numFmtId="0" fontId="24" fillId="34" borderId="0" xfId="41" applyFont="1" applyFill="1" applyBorder="1" applyAlignment="1">
      <alignment vertical="top"/>
    </xf>
    <xf numFmtId="0" fontId="24" fillId="34" borderId="13" xfId="41" applyFont="1" applyFill="1" applyBorder="1" applyAlignment="1">
      <alignment vertical="top"/>
    </xf>
    <xf numFmtId="0" fontId="25" fillId="0" borderId="9" xfId="41" applyFont="1" applyBorder="1" applyAlignment="1">
      <alignment vertical="top"/>
    </xf>
    <xf numFmtId="0" fontId="25" fillId="0" borderId="11" xfId="41" applyFont="1" applyBorder="1" applyAlignment="1">
      <alignment vertical="top"/>
    </xf>
    <xf numFmtId="0" fontId="25" fillId="0" borderId="12" xfId="41" applyFont="1" applyBorder="1" applyAlignment="1">
      <alignment vertical="top"/>
    </xf>
    <xf numFmtId="0" fontId="25" fillId="0" borderId="13" xfId="41" applyFont="1" applyBorder="1" applyAlignment="1">
      <alignment vertical="top"/>
    </xf>
    <xf numFmtId="0" fontId="25" fillId="34" borderId="12" xfId="41" applyFont="1" applyFill="1" applyBorder="1" applyAlignment="1">
      <alignment vertical="top"/>
    </xf>
    <xf numFmtId="0" fontId="25" fillId="34" borderId="13" xfId="41" applyFont="1" applyFill="1" applyBorder="1" applyAlignment="1">
      <alignment vertical="top"/>
    </xf>
    <xf numFmtId="0" fontId="25" fillId="0" borderId="14" xfId="41" applyFont="1" applyBorder="1" applyAlignment="1">
      <alignment vertical="top"/>
    </xf>
    <xf numFmtId="0" fontId="25" fillId="0" borderId="16" xfId="41" applyFont="1" applyBorder="1" applyAlignment="1">
      <alignment vertical="top"/>
    </xf>
    <xf numFmtId="0" fontId="24" fillId="0" borderId="9" xfId="41" applyFont="1" applyBorder="1" applyAlignment="1">
      <alignment vertical="top"/>
    </xf>
    <xf numFmtId="0" fontId="24" fillId="0" borderId="10" xfId="41" applyFont="1" applyBorder="1" applyAlignment="1">
      <alignment vertical="top"/>
    </xf>
    <xf numFmtId="0" fontId="24" fillId="0" borderId="11" xfId="41" applyFont="1" applyBorder="1" applyAlignment="1">
      <alignment vertical="top"/>
    </xf>
    <xf numFmtId="0" fontId="25" fillId="36" borderId="14" xfId="41" applyFont="1" applyFill="1" applyBorder="1" applyAlignment="1">
      <alignment vertical="top"/>
    </xf>
    <xf numFmtId="0" fontId="25" fillId="36" borderId="16" xfId="41" applyFont="1" applyFill="1" applyBorder="1" applyAlignment="1">
      <alignment vertical="top"/>
    </xf>
    <xf numFmtId="0" fontId="24" fillId="36" borderId="14" xfId="41" applyFont="1" applyFill="1" applyBorder="1" applyAlignment="1">
      <alignment vertical="top"/>
    </xf>
    <xf numFmtId="0" fontId="24" fillId="36" borderId="15" xfId="41" applyFont="1" applyFill="1" applyBorder="1" applyAlignment="1">
      <alignment vertical="top"/>
    </xf>
    <xf numFmtId="0" fontId="24" fillId="36" borderId="16" xfId="41" applyFont="1" applyFill="1" applyBorder="1" applyAlignment="1">
      <alignment vertical="top"/>
    </xf>
    <xf numFmtId="0" fontId="25" fillId="37" borderId="9" xfId="41" applyFont="1" applyFill="1" applyBorder="1" applyAlignment="1">
      <alignment vertical="top"/>
    </xf>
    <xf numFmtId="0" fontId="25" fillId="37" borderId="11" xfId="41" applyFont="1" applyFill="1" applyBorder="1" applyAlignment="1">
      <alignment vertical="top"/>
    </xf>
    <xf numFmtId="0" fontId="24" fillId="37" borderId="9" xfId="41" applyFont="1" applyFill="1" applyBorder="1" applyAlignment="1">
      <alignment vertical="top"/>
    </xf>
    <xf numFmtId="0" fontId="24" fillId="37" borderId="10" xfId="41" applyFont="1" applyFill="1" applyBorder="1" applyAlignment="1">
      <alignment vertical="top"/>
    </xf>
    <xf numFmtId="0" fontId="24" fillId="37" borderId="11" xfId="41" applyFont="1" applyFill="1" applyBorder="1" applyAlignment="1">
      <alignment vertical="top"/>
    </xf>
    <xf numFmtId="0" fontId="25" fillId="34" borderId="14" xfId="41" applyFont="1" applyFill="1" applyBorder="1" applyAlignment="1">
      <alignment vertical="top"/>
    </xf>
    <xf numFmtId="0" fontId="25" fillId="34" borderId="16" xfId="41" applyFont="1" applyFill="1" applyBorder="1" applyAlignment="1">
      <alignment vertical="top"/>
    </xf>
    <xf numFmtId="0" fontId="24" fillId="34" borderId="14" xfId="41" applyFont="1" applyFill="1" applyBorder="1" applyAlignment="1">
      <alignment vertical="top"/>
    </xf>
    <xf numFmtId="0" fontId="24" fillId="34" borderId="15" xfId="41" applyFont="1" applyFill="1" applyBorder="1" applyAlignment="1">
      <alignment vertical="top"/>
    </xf>
    <xf numFmtId="0" fontId="24" fillId="34" borderId="16" xfId="41" applyFont="1" applyFill="1" applyBorder="1" applyAlignment="1">
      <alignment vertical="top"/>
    </xf>
    <xf numFmtId="165" fontId="18" fillId="0" borderId="0" xfId="43" applyNumberFormat="1" applyFont="1"/>
    <xf numFmtId="165" fontId="19" fillId="0" borderId="0" xfId="43" applyNumberFormat="1" applyFont="1"/>
    <xf numFmtId="0" fontId="18" fillId="0" borderId="0" xfId="0" applyFont="1" applyAlignment="1">
      <alignment wrapText="1"/>
    </xf>
    <xf numFmtId="0" fontId="19" fillId="0" borderId="0" xfId="0" applyFont="1" applyAlignment="1">
      <alignment wrapText="1"/>
    </xf>
    <xf numFmtId="164" fontId="18" fillId="0" borderId="0" xfId="40" applyNumberFormat="1" applyFont="1"/>
    <xf numFmtId="0" fontId="24" fillId="0" borderId="0" xfId="41" applyFont="1" applyAlignment="1">
      <alignment vertical="top" wrapText="1"/>
    </xf>
    <xf numFmtId="0" fontId="25" fillId="0" borderId="12" xfId="41" applyFont="1" applyBorder="1" applyAlignment="1">
      <alignment vertical="top" wrapText="1"/>
    </xf>
    <xf numFmtId="0" fontId="25" fillId="0" borderId="13" xfId="41" applyFont="1" applyBorder="1" applyAlignment="1">
      <alignment vertical="top" wrapText="1"/>
    </xf>
    <xf numFmtId="0" fontId="24" fillId="0" borderId="12" xfId="41" applyFont="1" applyBorder="1" applyAlignment="1">
      <alignment vertical="top" wrapText="1"/>
    </xf>
    <xf numFmtId="0" fontId="24" fillId="0" borderId="0" xfId="41" applyFont="1" applyBorder="1" applyAlignment="1">
      <alignment vertical="top" wrapText="1"/>
    </xf>
    <xf numFmtId="0" fontId="24" fillId="0" borderId="13" xfId="41" applyFont="1" applyBorder="1" applyAlignment="1">
      <alignment vertical="top" wrapText="1"/>
    </xf>
    <xf numFmtId="0" fontId="25" fillId="0" borderId="9" xfId="41" applyFont="1" applyBorder="1" applyAlignment="1">
      <alignment vertical="top" wrapText="1"/>
    </xf>
    <xf numFmtId="0" fontId="25" fillId="0" borderId="11" xfId="41" applyFont="1" applyBorder="1" applyAlignment="1">
      <alignment vertical="top" wrapText="1"/>
    </xf>
    <xf numFmtId="0" fontId="24" fillId="0" borderId="9" xfId="41" applyFont="1" applyBorder="1" applyAlignment="1">
      <alignment vertical="top" wrapText="1"/>
    </xf>
    <xf numFmtId="0" fontId="24" fillId="0" borderId="10" xfId="41" applyFont="1" applyBorder="1" applyAlignment="1">
      <alignment vertical="top" wrapText="1"/>
    </xf>
    <xf numFmtId="0" fontId="24" fillId="0" borderId="11" xfId="41" applyFont="1" applyBorder="1" applyAlignment="1">
      <alignment vertical="top" wrapText="1"/>
    </xf>
    <xf numFmtId="9" fontId="24" fillId="0" borderId="12" xfId="42" applyFont="1" applyBorder="1" applyAlignment="1">
      <alignment vertical="top" wrapText="1"/>
    </xf>
    <xf numFmtId="0" fontId="25" fillId="0" borderId="14" xfId="41" applyFont="1" applyBorder="1" applyAlignment="1">
      <alignment vertical="top" wrapText="1"/>
    </xf>
    <xf numFmtId="0" fontId="25" fillId="0" borderId="16" xfId="41" applyFont="1" applyBorder="1" applyAlignment="1">
      <alignment vertical="top" wrapText="1"/>
    </xf>
    <xf numFmtId="0" fontId="24" fillId="0" borderId="14" xfId="41" applyFont="1" applyBorder="1" applyAlignment="1">
      <alignment vertical="top" wrapText="1"/>
    </xf>
    <xf numFmtId="0" fontId="24" fillId="0" borderId="15" xfId="41" applyFont="1" applyBorder="1" applyAlignment="1">
      <alignment vertical="top" wrapText="1"/>
    </xf>
    <xf numFmtId="0" fontId="24" fillId="0" borderId="16" xfId="41" applyFont="1" applyBorder="1" applyAlignment="1">
      <alignment vertical="top" wrapText="1"/>
    </xf>
    <xf numFmtId="0" fontId="25" fillId="36" borderId="9" xfId="41" applyFont="1" applyFill="1" applyBorder="1" applyAlignment="1">
      <alignment vertical="top"/>
    </xf>
    <xf numFmtId="0" fontId="25" fillId="36" borderId="11" xfId="41" applyFont="1" applyFill="1" applyBorder="1" applyAlignment="1">
      <alignment vertical="top"/>
    </xf>
    <xf numFmtId="0" fontId="25" fillId="34" borderId="9" xfId="41" applyFont="1" applyFill="1" applyBorder="1" applyAlignment="1">
      <alignment vertical="top"/>
    </xf>
    <xf numFmtId="0" fontId="25" fillId="34" borderId="11" xfId="41" applyFont="1" applyFill="1" applyBorder="1" applyAlignment="1">
      <alignment vertical="top"/>
    </xf>
    <xf numFmtId="0" fontId="24" fillId="34" borderId="9" xfId="41" applyFont="1" applyFill="1" applyBorder="1" applyAlignment="1">
      <alignment vertical="top" wrapText="1"/>
    </xf>
    <xf numFmtId="0" fontId="24" fillId="34" borderId="10" xfId="41" applyFont="1" applyFill="1" applyBorder="1" applyAlignment="1">
      <alignment vertical="top" wrapText="1"/>
    </xf>
    <xf numFmtId="0" fontId="24" fillId="34" borderId="11" xfId="41" applyFont="1" applyFill="1" applyBorder="1" applyAlignment="1">
      <alignment vertical="top" wrapText="1"/>
    </xf>
    <xf numFmtId="0" fontId="24" fillId="34" borderId="10" xfId="41" applyFont="1" applyFill="1" applyBorder="1" applyAlignment="1">
      <alignment horizontal="left" vertical="top" wrapText="1"/>
    </xf>
    <xf numFmtId="0" fontId="24" fillId="34" borderId="9" xfId="41" applyFont="1" applyFill="1" applyBorder="1" applyAlignment="1">
      <alignment horizontal="left" vertical="top" wrapText="1"/>
    </xf>
    <xf numFmtId="0" fontId="24" fillId="34" borderId="11" xfId="41" applyFont="1" applyFill="1" applyBorder="1" applyAlignment="1">
      <alignment horizontal="left" vertical="top" wrapText="1"/>
    </xf>
    <xf numFmtId="0" fontId="24" fillId="34" borderId="10" xfId="41" applyFont="1" applyFill="1" applyBorder="1" applyAlignment="1">
      <alignment vertical="top"/>
    </xf>
    <xf numFmtId="0" fontId="24" fillId="34" borderId="9" xfId="41" applyFont="1" applyFill="1" applyBorder="1" applyAlignment="1">
      <alignment vertical="top"/>
    </xf>
    <xf numFmtId="0" fontId="24" fillId="34" borderId="11" xfId="41" applyFont="1" applyFill="1" applyBorder="1" applyAlignment="1">
      <alignment vertical="top"/>
    </xf>
    <xf numFmtId="166" fontId="18" fillId="0" borderId="0" xfId="43" applyNumberFormat="1" applyFont="1"/>
    <xf numFmtId="166" fontId="19" fillId="0" borderId="0" xfId="43" applyNumberFormat="1" applyFont="1"/>
    <xf numFmtId="166" fontId="18" fillId="0" borderId="0" xfId="0" applyNumberFormat="1" applyFont="1"/>
    <xf numFmtId="0" fontId="0" fillId="0" borderId="0" xfId="0" applyAlignment="1">
      <alignment vertical="top" wrapText="1"/>
    </xf>
    <xf numFmtId="0" fontId="26" fillId="0" borderId="0" xfId="0" applyFont="1" applyFill="1" applyAlignment="1">
      <alignment horizontal="center" vertical="top" wrapText="1"/>
    </xf>
    <xf numFmtId="0" fontId="0" fillId="0" borderId="0" xfId="0" applyAlignment="1">
      <alignment vertical="top"/>
    </xf>
    <xf numFmtId="0" fontId="16" fillId="34" borderId="0" xfId="0" applyFont="1" applyFill="1" applyAlignment="1">
      <alignment vertical="top" wrapText="1"/>
    </xf>
    <xf numFmtId="0" fontId="16" fillId="34" borderId="0" xfId="0" applyFont="1" applyFill="1" applyAlignment="1">
      <alignment wrapText="1"/>
    </xf>
    <xf numFmtId="0" fontId="0" fillId="0" borderId="0" xfId="0" applyAlignment="1">
      <alignment wrapText="1"/>
    </xf>
    <xf numFmtId="0" fontId="18" fillId="0" borderId="0" xfId="0" applyFont="1" applyAlignment="1">
      <alignment horizontal="right"/>
    </xf>
    <xf numFmtId="0" fontId="24" fillId="0" borderId="0" xfId="41" applyFont="1" applyBorder="1" applyAlignment="1">
      <alignment horizontal="left" vertical="top" wrapText="1"/>
    </xf>
    <xf numFmtId="0" fontId="24" fillId="0" borderId="13" xfId="41" applyFont="1" applyBorder="1" applyAlignment="1">
      <alignment horizontal="left" vertical="top" wrapText="1"/>
    </xf>
    <xf numFmtId="0" fontId="24" fillId="0" borderId="12" xfId="41" applyFont="1" applyBorder="1" applyAlignment="1">
      <alignment horizontal="left" vertical="top" wrapText="1"/>
    </xf>
    <xf numFmtId="0" fontId="25" fillId="0" borderId="12" xfId="41" applyFont="1" applyBorder="1" applyAlignment="1">
      <alignment horizontal="left" vertical="top" wrapText="1"/>
    </xf>
    <xf numFmtId="0" fontId="25" fillId="0" borderId="13" xfId="41" applyFont="1" applyBorder="1" applyAlignment="1">
      <alignment horizontal="left" vertical="top" wrapText="1"/>
    </xf>
    <xf numFmtId="0" fontId="25" fillId="0" borderId="9" xfId="41" applyFont="1" applyBorder="1" applyAlignment="1">
      <alignment horizontal="left" vertical="top" wrapText="1"/>
    </xf>
    <xf numFmtId="0" fontId="25" fillId="0" borderId="11" xfId="41" applyFont="1" applyBorder="1" applyAlignment="1">
      <alignment horizontal="left" vertical="top" wrapText="1"/>
    </xf>
    <xf numFmtId="0" fontId="24" fillId="0" borderId="0" xfId="41" applyFont="1" applyBorder="1" applyAlignment="1">
      <alignment horizontal="center" vertical="top"/>
    </xf>
    <xf numFmtId="0" fontId="24" fillId="0" borderId="12" xfId="41" applyFont="1" applyBorder="1" applyAlignment="1">
      <alignment horizontal="center" vertical="top"/>
    </xf>
    <xf numFmtId="0" fontId="24" fillId="0" borderId="13" xfId="41" applyFont="1" applyBorder="1" applyAlignment="1">
      <alignment horizontal="center" vertical="top"/>
    </xf>
    <xf numFmtId="0" fontId="25" fillId="0" borderId="12" xfId="41" applyFont="1" applyBorder="1" applyAlignment="1">
      <alignment horizontal="left" vertical="top"/>
    </xf>
    <xf numFmtId="0" fontId="25" fillId="0" borderId="13" xfId="41" applyFont="1" applyBorder="1" applyAlignment="1">
      <alignment horizontal="left" vertical="top"/>
    </xf>
    <xf numFmtId="0" fontId="25" fillId="34" borderId="14" xfId="41" applyFont="1" applyFill="1" applyBorder="1" applyAlignment="1">
      <alignment horizontal="left" vertical="top"/>
    </xf>
    <xf numFmtId="0" fontId="25" fillId="34" borderId="16" xfId="41" applyFont="1" applyFill="1" applyBorder="1" applyAlignment="1">
      <alignment horizontal="left" vertical="top"/>
    </xf>
    <xf numFmtId="0" fontId="29" fillId="0" borderId="12" xfId="41" applyFont="1" applyBorder="1" applyAlignment="1">
      <alignment horizontal="left" vertical="top" wrapText="1"/>
    </xf>
    <xf numFmtId="0" fontId="25" fillId="36" borderId="17" xfId="41" applyFont="1" applyFill="1" applyBorder="1" applyAlignment="1">
      <alignment horizontal="center" vertical="top"/>
    </xf>
    <xf numFmtId="0" fontId="25" fillId="36" borderId="18" xfId="41" applyFont="1" applyFill="1" applyBorder="1" applyAlignment="1">
      <alignment horizontal="center" vertical="top"/>
    </xf>
    <xf numFmtId="0" fontId="25" fillId="36" borderId="19" xfId="41" applyFont="1" applyFill="1" applyBorder="1" applyAlignment="1">
      <alignment horizontal="center" vertical="top"/>
    </xf>
    <xf numFmtId="0" fontId="24" fillId="0" borderId="9" xfId="41" applyFont="1" applyBorder="1" applyAlignment="1">
      <alignment horizontal="left" vertical="top" wrapText="1"/>
    </xf>
    <xf numFmtId="0" fontId="24" fillId="0" borderId="10" xfId="41" applyFont="1" applyBorder="1" applyAlignment="1">
      <alignment horizontal="left" vertical="top" wrapText="1"/>
    </xf>
    <xf numFmtId="0" fontId="24" fillId="0" borderId="11" xfId="41" applyFont="1" applyBorder="1" applyAlignment="1">
      <alignment horizontal="left" vertical="top" wrapText="1"/>
    </xf>
    <xf numFmtId="0" fontId="29" fillId="0" borderId="9" xfId="41" applyFont="1" applyBorder="1" applyAlignment="1">
      <alignment horizontal="left" vertical="top" wrapText="1"/>
    </xf>
    <xf numFmtId="0" fontId="29" fillId="0" borderId="10" xfId="41" applyFont="1" applyBorder="1" applyAlignment="1">
      <alignment horizontal="left" vertical="top" wrapText="1"/>
    </xf>
    <xf numFmtId="0" fontId="29" fillId="0" borderId="11" xfId="41" applyFont="1" applyBorder="1" applyAlignment="1">
      <alignment horizontal="left" vertical="top" wrapText="1"/>
    </xf>
    <xf numFmtId="0" fontId="24" fillId="0" borderId="14" xfId="41" applyFont="1" applyBorder="1" applyAlignment="1">
      <alignment horizontal="left" vertical="top"/>
    </xf>
    <xf numFmtId="0" fontId="24" fillId="0" borderId="15" xfId="41" applyFont="1" applyBorder="1" applyAlignment="1">
      <alignment horizontal="left" vertical="top"/>
    </xf>
    <xf numFmtId="0" fontId="24" fillId="0" borderId="16" xfId="41" applyFont="1" applyBorder="1" applyAlignment="1">
      <alignment horizontal="left" vertical="top"/>
    </xf>
    <xf numFmtId="0" fontId="24" fillId="0" borderId="9" xfId="41" applyFont="1" applyBorder="1" applyAlignment="1">
      <alignment horizontal="left" vertical="top"/>
    </xf>
    <xf numFmtId="0" fontId="24" fillId="0" borderId="10" xfId="41" applyFont="1" applyBorder="1" applyAlignment="1">
      <alignment horizontal="left" vertical="top"/>
    </xf>
    <xf numFmtId="0" fontId="24" fillId="0" borderId="11" xfId="41" applyFont="1" applyBorder="1" applyAlignment="1">
      <alignment horizontal="left" vertical="top"/>
    </xf>
    <xf numFmtId="0" fontId="24" fillId="0" borderId="12" xfId="41" applyFont="1" applyBorder="1" applyAlignment="1">
      <alignment horizontal="left" vertical="top"/>
    </xf>
    <xf numFmtId="0" fontId="24" fillId="0" borderId="0" xfId="41" applyFont="1" applyBorder="1" applyAlignment="1">
      <alignment horizontal="left" vertical="top"/>
    </xf>
    <xf numFmtId="0" fontId="24" fillId="0" borderId="13" xfId="41" applyFont="1" applyBorder="1" applyAlignment="1">
      <alignment horizontal="left" vertical="top"/>
    </xf>
    <xf numFmtId="0" fontId="24" fillId="0" borderId="12" xfId="41" applyFont="1" applyBorder="1" applyAlignment="1">
      <alignment horizontal="center" vertical="top" wrapText="1"/>
    </xf>
    <xf numFmtId="0" fontId="24" fillId="0" borderId="0" xfId="41" applyFont="1" applyBorder="1" applyAlignment="1">
      <alignment horizontal="center" vertical="top" wrapText="1"/>
    </xf>
    <xf numFmtId="0" fontId="24" fillId="0" borderId="13" xfId="41" applyFont="1" applyBorder="1" applyAlignment="1">
      <alignment horizontal="center" vertical="top" wrapText="1"/>
    </xf>
    <xf numFmtId="0" fontId="25" fillId="36" borderId="9" xfId="41" applyFont="1" applyFill="1" applyBorder="1" applyAlignment="1">
      <alignment horizontal="center" vertical="top"/>
    </xf>
    <xf numFmtId="0" fontId="25" fillId="36" borderId="10" xfId="41" applyFont="1" applyFill="1" applyBorder="1" applyAlignment="1">
      <alignment horizontal="center" vertical="top"/>
    </xf>
    <xf numFmtId="0" fontId="25" fillId="36" borderId="11" xfId="41" applyFont="1" applyFill="1" applyBorder="1" applyAlignment="1">
      <alignment horizontal="center" vertical="top"/>
    </xf>
    <xf numFmtId="0" fontId="21" fillId="0" borderId="0" xfId="0" applyFont="1" applyAlignment="1">
      <alignment horizontal="center"/>
    </xf>
    <xf numFmtId="0" fontId="22" fillId="32" borderId="0" xfId="0" applyFont="1" applyFill="1" applyAlignment="1">
      <alignment horizontal="center" wrapText="1"/>
    </xf>
  </cellXfs>
  <cellStyles count="44">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Comma" xfId="43" builtinId="3"/>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Input" xfId="6" builtinId="20" customBuiltin="1"/>
    <cellStyle name="Linked Cell" xfId="9" builtinId="24" customBuiltin="1"/>
    <cellStyle name="Neutral" xfId="5" builtinId="28" customBuiltin="1"/>
    <cellStyle name="Normal" xfId="0" builtinId="0" customBuiltin="1"/>
    <cellStyle name="Normal 2" xfId="41"/>
    <cellStyle name="Output" xfId="7" builtinId="21" customBuiltin="1"/>
    <cellStyle name="Percent" xfId="40" builtinId="5"/>
    <cellStyle name="Percent 2" xfId="42"/>
    <cellStyle name="Total" xfId="15" builtinId="25" customBuiltin="1"/>
    <cellStyle name="Warning Text" xfId="11" builtinId="11" customBuiltin="1"/>
  </cellStyles>
  <dxfs count="0"/>
  <tableStyles count="0" defaultTableStyle="TableStyleMedium9" defaultPivotStyle="PivotStyleLight16"/>
  <colors>
    <mruColors>
      <color rgb="FF009632"/>
      <color rgb="FF99CC00"/>
      <color rgb="FFA0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Revenue (Rm)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Statement Analysis'!$A$38</c:f>
              <c:strCache>
                <c:ptCount val="1"/>
                <c:pt idx="0">
                  <c:v>Revenue</c:v>
                </c:pt>
              </c:strCache>
            </c:strRef>
          </c:tx>
          <c:spPr>
            <a:solidFill>
              <a:schemeClr val="accent1"/>
            </a:solidFill>
            <a:ln>
              <a:noFill/>
            </a:ln>
            <a:effectLst/>
          </c:spPr>
          <c:invertIfNegative val="0"/>
          <c:cat>
            <c:numRef>
              <c:f>'Income Statement Analysis'!$B$37:$L$37</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'Income Statement Analysis'!$B$38:$L$38</c:f>
              <c:numCache>
                <c:formatCode>General</c:formatCode>
                <c:ptCount val="11"/>
                <c:pt idx="0">
                  <c:v>11497</c:v>
                </c:pt>
                <c:pt idx="1">
                  <c:v>21360</c:v>
                </c:pt>
                <c:pt idx="2">
                  <c:v>23408</c:v>
                </c:pt>
                <c:pt idx="3">
                  <c:v>38704</c:v>
                </c:pt>
                <c:pt idx="4">
                  <c:v>48553</c:v>
                </c:pt>
                <c:pt idx="5">
                  <c:v>45446</c:v>
                </c:pt>
                <c:pt idx="6">
                  <c:v>54461</c:v>
                </c:pt>
                <c:pt idx="7">
                  <c:v>47597</c:v>
                </c:pt>
                <c:pt idx="8">
                  <c:v>35260</c:v>
                </c:pt>
                <c:pt idx="9">
                  <c:v>40155</c:v>
                </c:pt>
                <c:pt idx="10">
                  <c:v>46379</c:v>
                </c:pt>
              </c:numCache>
            </c:numRef>
          </c:val>
        </c:ser>
        <c:dLbls>
          <c:showLegendKey val="0"/>
          <c:showVal val="0"/>
          <c:showCatName val="0"/>
          <c:showSerName val="0"/>
          <c:showPercent val="0"/>
          <c:showBubbleSize val="0"/>
        </c:dLbls>
        <c:gapWidth val="219"/>
        <c:overlap val="-27"/>
        <c:axId val="450680736"/>
        <c:axId val="450712744"/>
      </c:barChart>
      <c:catAx>
        <c:axId val="45068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2744"/>
        <c:crosses val="autoZero"/>
        <c:auto val="1"/>
        <c:lblAlgn val="ctr"/>
        <c:lblOffset val="100"/>
        <c:noMultiLvlLbl val="0"/>
      </c:catAx>
      <c:valAx>
        <c:axId val="450712744"/>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68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sz="1400" b="0" i="0" baseline="0">
                <a:effectLst/>
              </a:rPr>
              <a:t>EBIT (Rm) vs %PAT</a:t>
            </a:r>
            <a:endParaRPr lang="en-ZA"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Statement Analysis'!$A$40</c:f>
              <c:strCache>
                <c:ptCount val="1"/>
                <c:pt idx="0">
                  <c:v>Operating profit (EBIT)</c:v>
                </c:pt>
              </c:strCache>
            </c:strRef>
          </c:tx>
          <c:spPr>
            <a:solidFill>
              <a:schemeClr val="accent1"/>
            </a:solidFill>
            <a:ln>
              <a:noFill/>
            </a:ln>
            <a:effectLst/>
          </c:spPr>
          <c:invertIfNegative val="0"/>
          <c:cat>
            <c:numRef>
              <c:f>'Income Statement Analysis'!$B$37:$L$37</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'Income Statement Analysis'!$B$40:$L$40</c:f>
              <c:numCache>
                <c:formatCode>General</c:formatCode>
                <c:ptCount val="11"/>
                <c:pt idx="0">
                  <c:v>5978</c:v>
                </c:pt>
                <c:pt idx="1">
                  <c:v>13513</c:v>
                </c:pt>
                <c:pt idx="2">
                  <c:v>12880</c:v>
                </c:pt>
                <c:pt idx="3">
                  <c:v>25131</c:v>
                </c:pt>
                <c:pt idx="4">
                  <c:v>31966</c:v>
                </c:pt>
                <c:pt idx="5">
                  <c:v>23153</c:v>
                </c:pt>
                <c:pt idx="6">
                  <c:v>28385</c:v>
                </c:pt>
                <c:pt idx="7">
                  <c:v>19192</c:v>
                </c:pt>
                <c:pt idx="8">
                  <c:v>2696</c:v>
                </c:pt>
                <c:pt idx="9">
                  <c:v>15274</c:v>
                </c:pt>
                <c:pt idx="10">
                  <c:v>21390</c:v>
                </c:pt>
              </c:numCache>
            </c:numRef>
          </c:val>
        </c:ser>
        <c:dLbls>
          <c:showLegendKey val="0"/>
          <c:showVal val="0"/>
          <c:showCatName val="0"/>
          <c:showSerName val="0"/>
          <c:showPercent val="0"/>
          <c:showBubbleSize val="0"/>
        </c:dLbls>
        <c:gapWidth val="219"/>
        <c:overlap val="-27"/>
        <c:axId val="450715096"/>
        <c:axId val="450710392"/>
      </c:barChart>
      <c:lineChart>
        <c:grouping val="standard"/>
        <c:varyColors val="0"/>
        <c:ser>
          <c:idx val="1"/>
          <c:order val="1"/>
          <c:tx>
            <c:strRef>
              <c:f>'Income Statement Analysis'!$A$41</c:f>
              <c:strCache>
                <c:ptCount val="1"/>
                <c:pt idx="0">
                  <c:v>Profit for the year</c:v>
                </c:pt>
              </c:strCache>
            </c:strRef>
          </c:tx>
          <c:spPr>
            <a:ln w="28575" cap="rnd">
              <a:solidFill>
                <a:schemeClr val="accent2"/>
              </a:solidFill>
              <a:round/>
            </a:ln>
            <a:effectLst/>
          </c:spPr>
          <c:marker>
            <c:symbol val="none"/>
          </c:marker>
          <c:cat>
            <c:numRef>
              <c:f>'Income Statement Analysis'!$B$37:$L$37</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'Income Statement Analysis'!$B$41:$L$41</c:f>
              <c:numCache>
                <c:formatCode>0%</c:formatCode>
                <c:ptCount val="11"/>
                <c:pt idx="0">
                  <c:v>0.33939288510046101</c:v>
                </c:pt>
                <c:pt idx="1">
                  <c:v>0.42523408239700372</c:v>
                </c:pt>
                <c:pt idx="2">
                  <c:v>0.37611073137388928</c:v>
                </c:pt>
                <c:pt idx="3">
                  <c:v>0.47253513848697809</c:v>
                </c:pt>
                <c:pt idx="4">
                  <c:v>0.4592507157127263</c:v>
                </c:pt>
                <c:pt idx="5">
                  <c:v>0.35426660212119876</c:v>
                </c:pt>
                <c:pt idx="6">
                  <c:v>0.37274379831439014</c:v>
                </c:pt>
                <c:pt idx="7">
                  <c:v>0.29724562472424731</c:v>
                </c:pt>
                <c:pt idx="8">
                  <c:v>2.0334656834940443E-2</c:v>
                </c:pt>
                <c:pt idx="9">
                  <c:v>0.27744988170838003</c:v>
                </c:pt>
                <c:pt idx="10">
                  <c:v>0.34944694797214254</c:v>
                </c:pt>
              </c:numCache>
            </c:numRef>
          </c:val>
          <c:smooth val="0"/>
        </c:ser>
        <c:dLbls>
          <c:showLegendKey val="0"/>
          <c:showVal val="0"/>
          <c:showCatName val="0"/>
          <c:showSerName val="0"/>
          <c:showPercent val="0"/>
          <c:showBubbleSize val="0"/>
        </c:dLbls>
        <c:marker val="1"/>
        <c:smooth val="0"/>
        <c:axId val="450711176"/>
        <c:axId val="450710784"/>
      </c:lineChart>
      <c:catAx>
        <c:axId val="450715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0392"/>
        <c:crosses val="autoZero"/>
        <c:auto val="1"/>
        <c:lblAlgn val="ctr"/>
        <c:lblOffset val="100"/>
        <c:noMultiLvlLbl val="0"/>
      </c:catAx>
      <c:valAx>
        <c:axId val="450710392"/>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5096"/>
        <c:crosses val="autoZero"/>
        <c:crossBetween val="between"/>
      </c:valAx>
      <c:valAx>
        <c:axId val="45071078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1176"/>
        <c:crosses val="max"/>
        <c:crossBetween val="between"/>
      </c:valAx>
      <c:catAx>
        <c:axId val="450711176"/>
        <c:scaling>
          <c:orientation val="minMax"/>
        </c:scaling>
        <c:delete val="1"/>
        <c:axPos val="b"/>
        <c:numFmt formatCode="General" sourceLinked="1"/>
        <c:majorTickMark val="none"/>
        <c:minorTickMark val="none"/>
        <c:tickLblPos val="nextTo"/>
        <c:crossAx val="45071078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Balance Sheet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'Balance Sheet Analysis'!$A$59</c:f>
              <c:strCache>
                <c:ptCount val="1"/>
                <c:pt idx="0">
                  <c:v>TOTAL ASSETS</c:v>
                </c:pt>
              </c:strCache>
            </c:strRef>
          </c:tx>
          <c:spPr>
            <a:solidFill>
              <a:schemeClr val="accent1"/>
            </a:solidFill>
            <a:ln>
              <a:noFill/>
            </a:ln>
            <a:effectLst/>
          </c:spPr>
          <c:invertIfNegative val="0"/>
          <c:cat>
            <c:numRef>
              <c:f>'Balance Sheet Analysis'!$B$58:$L$58</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'Balance Sheet Analysis'!$B$59:$L$59</c:f>
              <c:numCache>
                <c:formatCode>General</c:formatCode>
                <c:ptCount val="11"/>
                <c:pt idx="0">
                  <c:v>9878</c:v>
                </c:pt>
                <c:pt idx="1">
                  <c:v>16703</c:v>
                </c:pt>
                <c:pt idx="2">
                  <c:v>17807</c:v>
                </c:pt>
                <c:pt idx="3">
                  <c:v>27875</c:v>
                </c:pt>
                <c:pt idx="4">
                  <c:v>34413</c:v>
                </c:pt>
                <c:pt idx="5">
                  <c:v>36536</c:v>
                </c:pt>
                <c:pt idx="6">
                  <c:v>44538</c:v>
                </c:pt>
                <c:pt idx="7">
                  <c:v>50899</c:v>
                </c:pt>
                <c:pt idx="8">
                  <c:v>48511</c:v>
                </c:pt>
                <c:pt idx="9">
                  <c:v>56274</c:v>
                </c:pt>
                <c:pt idx="10">
                  <c:v>61231</c:v>
                </c:pt>
              </c:numCache>
            </c:numRef>
          </c:val>
        </c:ser>
        <c:ser>
          <c:idx val="1"/>
          <c:order val="1"/>
          <c:tx>
            <c:strRef>
              <c:f>'Balance Sheet Analysis'!$A$60</c:f>
              <c:strCache>
                <c:ptCount val="1"/>
                <c:pt idx="0">
                  <c:v>Total equity</c:v>
                </c:pt>
              </c:strCache>
            </c:strRef>
          </c:tx>
          <c:spPr>
            <a:solidFill>
              <a:schemeClr val="accent2"/>
            </a:solidFill>
            <a:ln>
              <a:noFill/>
            </a:ln>
            <a:effectLst/>
          </c:spPr>
          <c:invertIfNegative val="0"/>
          <c:cat>
            <c:numRef>
              <c:f>'Balance Sheet Analysis'!$B$58:$L$58</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'Balance Sheet Analysis'!$B$60:$L$60</c:f>
              <c:numCache>
                <c:formatCode>General</c:formatCode>
                <c:ptCount val="11"/>
                <c:pt idx="0">
                  <c:v>3397</c:v>
                </c:pt>
                <c:pt idx="1">
                  <c:v>8506</c:v>
                </c:pt>
                <c:pt idx="2">
                  <c:v>8956</c:v>
                </c:pt>
                <c:pt idx="3">
                  <c:v>18376</c:v>
                </c:pt>
                <c:pt idx="4">
                  <c:v>20592</c:v>
                </c:pt>
                <c:pt idx="5">
                  <c:v>19309</c:v>
                </c:pt>
                <c:pt idx="6">
                  <c:v>27184</c:v>
                </c:pt>
                <c:pt idx="7">
                  <c:v>27001</c:v>
                </c:pt>
                <c:pt idx="8">
                  <c:v>25167</c:v>
                </c:pt>
                <c:pt idx="9">
                  <c:v>36536</c:v>
                </c:pt>
                <c:pt idx="10">
                  <c:v>45546</c:v>
                </c:pt>
              </c:numCache>
            </c:numRef>
          </c:val>
        </c:ser>
        <c:ser>
          <c:idx val="2"/>
          <c:order val="2"/>
          <c:tx>
            <c:strRef>
              <c:f>'Balance Sheet Analysis'!$A$61</c:f>
              <c:strCache>
                <c:ptCount val="1"/>
                <c:pt idx="0">
                  <c:v>TOTAL LIABILITIES</c:v>
                </c:pt>
              </c:strCache>
            </c:strRef>
          </c:tx>
          <c:spPr>
            <a:solidFill>
              <a:schemeClr val="accent3"/>
            </a:solidFill>
            <a:ln>
              <a:noFill/>
            </a:ln>
            <a:effectLst/>
          </c:spPr>
          <c:invertIfNegative val="0"/>
          <c:cat>
            <c:numRef>
              <c:f>'Balance Sheet Analysis'!$B$58:$L$58</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'Balance Sheet Analysis'!$B$61:$L$61</c:f>
              <c:numCache>
                <c:formatCode>General</c:formatCode>
                <c:ptCount val="11"/>
                <c:pt idx="0">
                  <c:v>6481</c:v>
                </c:pt>
                <c:pt idx="1">
                  <c:v>8197</c:v>
                </c:pt>
                <c:pt idx="2">
                  <c:v>8851</c:v>
                </c:pt>
                <c:pt idx="3">
                  <c:v>9499</c:v>
                </c:pt>
                <c:pt idx="4">
                  <c:v>13821</c:v>
                </c:pt>
                <c:pt idx="5">
                  <c:v>17227</c:v>
                </c:pt>
                <c:pt idx="6">
                  <c:v>17354</c:v>
                </c:pt>
                <c:pt idx="7">
                  <c:v>23898</c:v>
                </c:pt>
                <c:pt idx="8">
                  <c:v>23344</c:v>
                </c:pt>
                <c:pt idx="9">
                  <c:v>19740</c:v>
                </c:pt>
                <c:pt idx="10">
                  <c:v>15871</c:v>
                </c:pt>
              </c:numCache>
            </c:numRef>
          </c:val>
        </c:ser>
        <c:dLbls>
          <c:showLegendKey val="0"/>
          <c:showVal val="0"/>
          <c:showCatName val="0"/>
          <c:showSerName val="0"/>
          <c:showPercent val="0"/>
          <c:showBubbleSize val="0"/>
        </c:dLbls>
        <c:gapWidth val="219"/>
        <c:overlap val="-27"/>
        <c:axId val="450711568"/>
        <c:axId val="450711960"/>
      </c:barChart>
      <c:catAx>
        <c:axId val="45071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1960"/>
        <c:crosses val="autoZero"/>
        <c:auto val="1"/>
        <c:lblAlgn val="ctr"/>
        <c:lblOffset val="100"/>
        <c:noMultiLvlLbl val="0"/>
      </c:catAx>
      <c:valAx>
        <c:axId val="450711960"/>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1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'Balance Sheet Analysis'!$A$63</c:f>
              <c:strCache>
                <c:ptCount val="1"/>
                <c:pt idx="0">
                  <c:v>Capital Expenditure</c:v>
                </c:pt>
              </c:strCache>
            </c:strRef>
          </c:tx>
          <c:spPr>
            <a:solidFill>
              <a:schemeClr val="accent1"/>
            </a:solidFill>
            <a:ln>
              <a:noFill/>
            </a:ln>
            <a:effectLst/>
          </c:spPr>
          <c:invertIfNegative val="0"/>
          <c:cat>
            <c:numRef>
              <c:f>'Balance Sheet Analysis'!$B$58:$L$58</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'Balance Sheet Analysis'!$B$63:$L$63</c:f>
              <c:numCache>
                <c:formatCode>General</c:formatCode>
                <c:ptCount val="11"/>
                <c:pt idx="0">
                  <c:v>2064</c:v>
                </c:pt>
                <c:pt idx="1">
                  <c:v>2487</c:v>
                </c:pt>
                <c:pt idx="2">
                  <c:v>4087</c:v>
                </c:pt>
                <c:pt idx="3">
                  <c:v>4733</c:v>
                </c:pt>
                <c:pt idx="4">
                  <c:v>6034</c:v>
                </c:pt>
                <c:pt idx="5">
                  <c:v>5418</c:v>
                </c:pt>
                <c:pt idx="6">
                  <c:v>6428</c:v>
                </c:pt>
                <c:pt idx="7">
                  <c:v>8404</c:v>
                </c:pt>
                <c:pt idx="8">
                  <c:v>6627</c:v>
                </c:pt>
                <c:pt idx="9">
                  <c:v>2344</c:v>
                </c:pt>
                <c:pt idx="10">
                  <c:v>3047</c:v>
                </c:pt>
              </c:numCache>
            </c:numRef>
          </c:val>
        </c:ser>
        <c:dLbls>
          <c:showLegendKey val="0"/>
          <c:showVal val="0"/>
          <c:showCatName val="0"/>
          <c:showSerName val="0"/>
          <c:showPercent val="0"/>
          <c:showBubbleSize val="0"/>
        </c:dLbls>
        <c:gapWidth val="219"/>
        <c:overlap val="-27"/>
        <c:axId val="450714312"/>
        <c:axId val="450713920"/>
      </c:barChart>
      <c:catAx>
        <c:axId val="450714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3920"/>
        <c:crosses val="autoZero"/>
        <c:auto val="1"/>
        <c:lblAlgn val="ctr"/>
        <c:lblOffset val="100"/>
        <c:noMultiLvlLbl val="0"/>
      </c:catAx>
      <c:valAx>
        <c:axId val="450713920"/>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4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'Financial Analsysis'!$A$18</c:f>
              <c:strCache>
                <c:ptCount val="1"/>
                <c:pt idx="0">
                  <c:v>Debt ratio</c:v>
                </c:pt>
              </c:strCache>
            </c:strRef>
          </c:tx>
          <c:spPr>
            <a:solidFill>
              <a:schemeClr val="accent1"/>
            </a:solidFill>
            <a:ln>
              <a:noFill/>
            </a:ln>
            <a:effectLst/>
          </c:spPr>
          <c:invertIfNegative val="0"/>
          <c:cat>
            <c:numRef>
              <c:f>'Financial Analsysis'!$B$5:$L$5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'Financial Analsysis'!$B$18:$L$18</c:f>
              <c:numCache>
                <c:formatCode>0%</c:formatCode>
                <c:ptCount val="11"/>
                <c:pt idx="0">
                  <c:v>0.65610447458999799</c:v>
                </c:pt>
                <c:pt idx="1">
                  <c:v>0.49075016464108245</c:v>
                </c:pt>
                <c:pt idx="2">
                  <c:v>0.49705172123322289</c:v>
                </c:pt>
                <c:pt idx="3">
                  <c:v>0.34077130044843051</c:v>
                </c:pt>
                <c:pt idx="4">
                  <c:v>0.40162148025455496</c:v>
                </c:pt>
                <c:pt idx="5">
                  <c:v>0.47150755419312457</c:v>
                </c:pt>
                <c:pt idx="6">
                  <c:v>0.38964479770083971</c:v>
                </c:pt>
                <c:pt idx="7">
                  <c:v>0.46951806518792116</c:v>
                </c:pt>
                <c:pt idx="8">
                  <c:v>0.48121044711508731</c:v>
                </c:pt>
                <c:pt idx="9">
                  <c:v>0.35078366563599533</c:v>
                </c:pt>
                <c:pt idx="10">
                  <c:v>0.25919877186392515</c:v>
                </c:pt>
              </c:numCache>
            </c:numRef>
          </c:val>
        </c:ser>
        <c:dLbls>
          <c:showLegendKey val="0"/>
          <c:showVal val="0"/>
          <c:showCatName val="0"/>
          <c:showSerName val="0"/>
          <c:showPercent val="0"/>
          <c:showBubbleSize val="0"/>
        </c:dLbls>
        <c:gapWidth val="219"/>
        <c:overlap val="-27"/>
        <c:axId val="450709608"/>
        <c:axId val="450710000"/>
      </c:barChart>
      <c:catAx>
        <c:axId val="450709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10000"/>
        <c:crosses val="autoZero"/>
        <c:auto val="1"/>
        <c:lblAlgn val="ctr"/>
        <c:lblOffset val="100"/>
        <c:noMultiLvlLbl val="0"/>
      </c:catAx>
      <c:valAx>
        <c:axId val="450710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709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4762</xdr:rowOff>
    </xdr:from>
    <xdr:to>
      <xdr:col>4</xdr:col>
      <xdr:colOff>381000</xdr:colOff>
      <xdr:row>58</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385762</xdr:colOff>
      <xdr:row>42</xdr:row>
      <xdr:rowOff>4762</xdr:rowOff>
    </xdr:from>
    <xdr:to>
      <xdr:col>9</xdr:col>
      <xdr:colOff>766762</xdr:colOff>
      <xdr:row>58</xdr:row>
      <xdr:rowOff>157162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65</xdr:row>
      <xdr:rowOff>14287</xdr:rowOff>
    </xdr:from>
    <xdr:to>
      <xdr:col>3</xdr:col>
      <xdr:colOff>523875</xdr:colOff>
      <xdr:row>82</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65</xdr:row>
      <xdr:rowOff>14287</xdr:rowOff>
    </xdr:from>
    <xdr:to>
      <xdr:col>9</xdr:col>
      <xdr:colOff>533400</xdr:colOff>
      <xdr:row>82</xdr:row>
      <xdr:rowOff>4762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561975</xdr:colOff>
      <xdr:row>65</xdr:row>
      <xdr:rowOff>9525</xdr:rowOff>
    </xdr:from>
    <xdr:to>
      <xdr:col>18</xdr:col>
      <xdr:colOff>57150</xdr:colOff>
      <xdr:row>82</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E7" sqref="E7"/>
    </sheetView>
  </sheetViews>
  <sheetFormatPr defaultRowHeight="12.75" x14ac:dyDescent="0.2"/>
  <cols>
    <col min="1" max="1" width="9.140625" style="1"/>
    <col min="2" max="2" width="14.85546875" style="1" customWidth="1"/>
    <col min="3" max="16384" width="9.140625" style="1"/>
  </cols>
  <sheetData>
    <row r="1" spans="1:2" x14ac:dyDescent="0.2">
      <c r="A1" s="2" t="s">
        <v>82</v>
      </c>
    </row>
    <row r="3" spans="1:2" x14ac:dyDescent="0.2">
      <c r="A3" s="2" t="s">
        <v>83</v>
      </c>
      <c r="B3" s="2" t="s">
        <v>84</v>
      </c>
    </row>
    <row r="4" spans="1:2" x14ac:dyDescent="0.2">
      <c r="A4" s="1">
        <v>1</v>
      </c>
      <c r="B4" s="1" t="s">
        <v>87</v>
      </c>
    </row>
    <row r="5" spans="1:2" x14ac:dyDescent="0.2">
      <c r="A5" s="1">
        <v>2</v>
      </c>
      <c r="B5" s="1" t="s">
        <v>88</v>
      </c>
    </row>
    <row r="6" spans="1:2" x14ac:dyDescent="0.2">
      <c r="A6" s="1">
        <v>3</v>
      </c>
      <c r="B6" s="1" t="s">
        <v>86</v>
      </c>
    </row>
    <row r="7" spans="1:2" x14ac:dyDescent="0.2">
      <c r="A7" s="1">
        <v>4</v>
      </c>
      <c r="B7" s="1" t="s">
        <v>89</v>
      </c>
    </row>
    <row r="8" spans="1:2" x14ac:dyDescent="0.2">
      <c r="A8" s="1">
        <v>5</v>
      </c>
      <c r="B8" s="1" t="s">
        <v>85</v>
      </c>
    </row>
  </sheetData>
  <sortState ref="A4:B8">
    <sortCondition ref="A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55"/>
  <sheetViews>
    <sheetView showGridLines="0" workbookViewId="0">
      <pane xSplit="1" ySplit="3" topLeftCell="B35" activePane="bottomRight" state="frozen"/>
      <selection pane="topRight" activeCell="B1" sqref="B1"/>
      <selection pane="bottomLeft" activeCell="A4" sqref="A4"/>
      <selection pane="bottomRight" sqref="A1:L1"/>
    </sheetView>
  </sheetViews>
  <sheetFormatPr defaultRowHeight="12.75" x14ac:dyDescent="0.2"/>
  <cols>
    <col min="1" max="1" width="33" style="1" bestFit="1" customWidth="1"/>
    <col min="2" max="2" width="10.140625" style="1" bestFit="1" customWidth="1"/>
    <col min="3" max="6" width="10.140625" style="1" customWidth="1"/>
    <col min="7" max="10" width="9.28515625" style="1" customWidth="1"/>
    <col min="11" max="12" width="9.28515625" style="1" bestFit="1" customWidth="1"/>
    <col min="13" max="16384" width="9.140625" style="1"/>
  </cols>
  <sheetData>
    <row r="1" spans="1:12" ht="15" x14ac:dyDescent="0.2">
      <c r="A1" s="133" t="s">
        <v>1</v>
      </c>
      <c r="B1" s="133"/>
      <c r="C1" s="133"/>
      <c r="D1" s="133"/>
      <c r="E1" s="133"/>
      <c r="F1" s="133"/>
      <c r="G1" s="133"/>
      <c r="H1" s="133"/>
      <c r="I1" s="133"/>
      <c r="J1" s="133"/>
      <c r="K1" s="133"/>
      <c r="L1" s="133"/>
    </row>
    <row r="3" spans="1:12" x14ac:dyDescent="0.2">
      <c r="A3" s="2" t="s">
        <v>130</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row>
    <row r="4" spans="1:12" x14ac:dyDescent="0.2">
      <c r="A4" s="2" t="s">
        <v>12</v>
      </c>
      <c r="B4" s="49"/>
      <c r="C4" s="49"/>
      <c r="D4" s="49"/>
      <c r="E4" s="49"/>
      <c r="F4" s="49"/>
      <c r="G4" s="49"/>
      <c r="H4" s="49"/>
      <c r="I4" s="49"/>
      <c r="J4" s="49"/>
      <c r="K4" s="49"/>
      <c r="L4" s="49"/>
    </row>
    <row r="5" spans="1:12" x14ac:dyDescent="0.2">
      <c r="A5" s="2" t="s">
        <v>11</v>
      </c>
      <c r="B5" s="49"/>
      <c r="C5" s="49"/>
      <c r="D5" s="49"/>
      <c r="E5" s="49"/>
      <c r="F5" s="49"/>
      <c r="G5" s="49"/>
      <c r="H5" s="49"/>
      <c r="I5" s="49"/>
      <c r="J5" s="49"/>
      <c r="K5" s="49"/>
      <c r="L5" s="49"/>
    </row>
    <row r="6" spans="1:12" x14ac:dyDescent="0.2">
      <c r="A6" s="1" t="s">
        <v>131</v>
      </c>
      <c r="B6" s="49">
        <v>5889</v>
      </c>
      <c r="C6" s="49">
        <v>7911</v>
      </c>
      <c r="D6" s="49">
        <v>11568</v>
      </c>
      <c r="E6" s="49">
        <v>15866</v>
      </c>
      <c r="F6" s="49">
        <v>20878</v>
      </c>
      <c r="G6" s="49">
        <v>24765</v>
      </c>
      <c r="H6" s="49">
        <v>29922</v>
      </c>
      <c r="I6" s="49">
        <v>35170</v>
      </c>
      <c r="J6" s="49">
        <v>32671</v>
      </c>
      <c r="K6" s="49">
        <v>32131</v>
      </c>
      <c r="L6" s="49">
        <v>36833</v>
      </c>
    </row>
    <row r="7" spans="1:12" x14ac:dyDescent="0.2">
      <c r="A7" s="1" t="s">
        <v>162</v>
      </c>
      <c r="B7" s="49">
        <v>6</v>
      </c>
      <c r="C7" s="49">
        <v>8</v>
      </c>
      <c r="D7" s="49">
        <v>7</v>
      </c>
      <c r="E7" s="49">
        <v>6</v>
      </c>
      <c r="F7" s="49">
        <v>6</v>
      </c>
      <c r="G7" s="49">
        <v>8</v>
      </c>
      <c r="H7" s="49">
        <v>6</v>
      </c>
      <c r="I7" s="49">
        <v>6</v>
      </c>
      <c r="J7" s="49">
        <v>11</v>
      </c>
      <c r="K7" s="49">
        <v>2</v>
      </c>
      <c r="L7" s="49">
        <v>3</v>
      </c>
    </row>
    <row r="8" spans="1:12" x14ac:dyDescent="0.2">
      <c r="A8" s="1" t="s">
        <v>163</v>
      </c>
      <c r="B8" s="49">
        <v>2</v>
      </c>
      <c r="C8" s="49">
        <v>6</v>
      </c>
      <c r="D8" s="49">
        <v>20</v>
      </c>
      <c r="E8" s="49">
        <v>29</v>
      </c>
      <c r="F8" s="49">
        <v>33</v>
      </c>
      <c r="G8" s="49">
        <v>47</v>
      </c>
      <c r="H8" s="49"/>
      <c r="I8" s="49"/>
      <c r="J8" s="49"/>
      <c r="K8" s="49"/>
      <c r="L8" s="49"/>
    </row>
    <row r="9" spans="1:12" x14ac:dyDescent="0.2">
      <c r="A9" s="1" t="s">
        <v>164</v>
      </c>
      <c r="B9" s="49">
        <v>165</v>
      </c>
      <c r="C9" s="49">
        <v>237</v>
      </c>
      <c r="D9" s="49">
        <v>279</v>
      </c>
      <c r="E9" s="49">
        <v>372</v>
      </c>
      <c r="F9" s="49">
        <v>568</v>
      </c>
      <c r="G9" s="49">
        <v>673</v>
      </c>
      <c r="H9" s="49">
        <v>737</v>
      </c>
      <c r="I9" s="49">
        <v>791</v>
      </c>
      <c r="J9" s="49">
        <v>818</v>
      </c>
      <c r="K9" s="49">
        <v>559</v>
      </c>
      <c r="L9" s="49">
        <v>627</v>
      </c>
    </row>
    <row r="10" spans="1:12" x14ac:dyDescent="0.2">
      <c r="A10" s="1" t="s">
        <v>165</v>
      </c>
      <c r="B10" s="49">
        <v>14</v>
      </c>
      <c r="C10" s="49">
        <v>32</v>
      </c>
      <c r="D10" s="49">
        <v>28</v>
      </c>
      <c r="E10" s="49">
        <v>53</v>
      </c>
      <c r="F10" s="49">
        <v>95</v>
      </c>
      <c r="G10" s="49">
        <v>130</v>
      </c>
      <c r="H10" s="49">
        <v>605</v>
      </c>
      <c r="I10" s="49">
        <v>555</v>
      </c>
      <c r="J10" s="49">
        <v>581</v>
      </c>
      <c r="K10" s="49">
        <v>84</v>
      </c>
      <c r="L10" s="49">
        <v>211</v>
      </c>
    </row>
    <row r="11" spans="1:12" x14ac:dyDescent="0.2">
      <c r="A11" s="1" t="s">
        <v>198</v>
      </c>
      <c r="B11" s="49"/>
      <c r="C11" s="49"/>
      <c r="D11" s="49"/>
      <c r="E11" s="49"/>
      <c r="F11" s="49"/>
      <c r="G11" s="49"/>
      <c r="H11" s="49"/>
      <c r="I11" s="49"/>
      <c r="J11" s="49">
        <v>2560</v>
      </c>
      <c r="K11" s="49">
        <v>2889</v>
      </c>
      <c r="L11" s="49">
        <v>2841</v>
      </c>
    </row>
    <row r="12" spans="1:12" x14ac:dyDescent="0.2">
      <c r="A12" s="1" t="s">
        <v>191</v>
      </c>
      <c r="B12" s="49">
        <v>9</v>
      </c>
      <c r="C12" s="49">
        <v>11</v>
      </c>
      <c r="D12" s="49">
        <v>129</v>
      </c>
      <c r="E12" s="49">
        <v>472</v>
      </c>
      <c r="F12" s="49">
        <v>658</v>
      </c>
      <c r="G12" s="49">
        <v>842</v>
      </c>
      <c r="H12" s="49">
        <v>920</v>
      </c>
      <c r="I12" s="49">
        <v>871</v>
      </c>
      <c r="J12" s="49">
        <v>1</v>
      </c>
      <c r="K12" s="49">
        <v>87</v>
      </c>
      <c r="L12" s="49">
        <v>72</v>
      </c>
    </row>
    <row r="13" spans="1:12" x14ac:dyDescent="0.2">
      <c r="A13" s="2" t="s">
        <v>13</v>
      </c>
      <c r="B13" s="50">
        <f t="shared" ref="B13:K13" si="0">SUM(B6:B12)</f>
        <v>6085</v>
      </c>
      <c r="C13" s="50">
        <f t="shared" si="0"/>
        <v>8205</v>
      </c>
      <c r="D13" s="50">
        <f t="shared" si="0"/>
        <v>12031</v>
      </c>
      <c r="E13" s="50">
        <f t="shared" si="0"/>
        <v>16798</v>
      </c>
      <c r="F13" s="50">
        <f t="shared" si="0"/>
        <v>22238</v>
      </c>
      <c r="G13" s="50">
        <f t="shared" si="0"/>
        <v>26465</v>
      </c>
      <c r="H13" s="50">
        <f t="shared" si="0"/>
        <v>32190</v>
      </c>
      <c r="I13" s="50">
        <f t="shared" si="0"/>
        <v>37393</v>
      </c>
      <c r="J13" s="50">
        <f t="shared" si="0"/>
        <v>36642</v>
      </c>
      <c r="K13" s="50">
        <f t="shared" si="0"/>
        <v>35752</v>
      </c>
      <c r="L13" s="50">
        <f t="shared" ref="L13" si="1">SUM(L6:L12)</f>
        <v>40587</v>
      </c>
    </row>
    <row r="14" spans="1:12" x14ac:dyDescent="0.2">
      <c r="B14" s="49"/>
      <c r="C14" s="49"/>
      <c r="D14" s="49"/>
      <c r="E14" s="49"/>
      <c r="F14" s="49"/>
      <c r="G14" s="49"/>
      <c r="H14" s="49"/>
      <c r="I14" s="49"/>
      <c r="J14" s="49"/>
      <c r="K14" s="49"/>
      <c r="L14" s="49"/>
    </row>
    <row r="15" spans="1:12" x14ac:dyDescent="0.2">
      <c r="A15" s="2" t="s">
        <v>14</v>
      </c>
      <c r="B15" s="49"/>
      <c r="C15" s="49"/>
      <c r="D15" s="49"/>
      <c r="E15" s="49"/>
      <c r="F15" s="49"/>
      <c r="G15" s="49"/>
      <c r="H15" s="49"/>
      <c r="I15" s="49"/>
      <c r="J15" s="49"/>
      <c r="K15" s="49"/>
      <c r="L15" s="49"/>
    </row>
    <row r="16" spans="1:12" x14ac:dyDescent="0.2">
      <c r="A16" s="1" t="s">
        <v>132</v>
      </c>
      <c r="B16" s="49"/>
      <c r="C16" s="49"/>
      <c r="D16" s="49"/>
      <c r="E16" s="49"/>
      <c r="F16" s="49"/>
      <c r="G16" s="49"/>
      <c r="H16" s="49"/>
      <c r="I16" s="49"/>
      <c r="J16" s="49"/>
      <c r="K16" s="49"/>
      <c r="L16" s="49"/>
    </row>
    <row r="17" spans="1:12" x14ac:dyDescent="0.2">
      <c r="A17" s="1" t="s">
        <v>134</v>
      </c>
      <c r="B17" s="49">
        <v>1310</v>
      </c>
      <c r="C17" s="49">
        <v>1879</v>
      </c>
      <c r="D17" s="49">
        <v>2559</v>
      </c>
      <c r="E17" s="49">
        <v>3102</v>
      </c>
      <c r="F17" s="49">
        <v>3864</v>
      </c>
      <c r="G17" s="49">
        <v>4136</v>
      </c>
      <c r="H17" s="49">
        <v>5171</v>
      </c>
      <c r="I17" s="49">
        <v>7366</v>
      </c>
      <c r="J17" s="49">
        <v>5056</v>
      </c>
      <c r="K17" s="49">
        <v>4604</v>
      </c>
      <c r="L17" s="49">
        <v>4061</v>
      </c>
    </row>
    <row r="18" spans="1:12" x14ac:dyDescent="0.2">
      <c r="A18" s="1" t="s">
        <v>133</v>
      </c>
      <c r="B18" s="49">
        <v>1531</v>
      </c>
      <c r="C18" s="49">
        <v>2262</v>
      </c>
      <c r="D18" s="49">
        <v>2195</v>
      </c>
      <c r="E18" s="49">
        <v>3096</v>
      </c>
      <c r="F18" s="49">
        <v>3537</v>
      </c>
      <c r="G18" s="49">
        <v>4332</v>
      </c>
      <c r="H18" s="49">
        <v>6124</v>
      </c>
      <c r="I18" s="49">
        <v>4476</v>
      </c>
      <c r="J18" s="49">
        <v>3212</v>
      </c>
      <c r="K18" s="49">
        <v>5253</v>
      </c>
      <c r="L18" s="49">
        <v>2709</v>
      </c>
    </row>
    <row r="19" spans="1:12" x14ac:dyDescent="0.2">
      <c r="A19" s="1" t="s">
        <v>135</v>
      </c>
      <c r="B19" s="49"/>
      <c r="C19" s="49"/>
      <c r="D19" s="49"/>
      <c r="E19" s="49"/>
      <c r="F19" s="49"/>
      <c r="G19" s="49"/>
      <c r="H19" s="49"/>
      <c r="I19" s="49"/>
      <c r="J19" s="49"/>
      <c r="K19" s="49"/>
      <c r="L19" s="49"/>
    </row>
    <row r="20" spans="1:12" x14ac:dyDescent="0.2">
      <c r="A20" s="1" t="s">
        <v>136</v>
      </c>
      <c r="B20" s="49"/>
      <c r="C20" s="49"/>
      <c r="D20" s="49"/>
      <c r="E20" s="49"/>
      <c r="F20" s="49"/>
      <c r="G20" s="49"/>
      <c r="H20" s="49"/>
      <c r="I20" s="49"/>
      <c r="J20" s="49"/>
      <c r="K20" s="49"/>
      <c r="L20" s="49"/>
    </row>
    <row r="21" spans="1:12" x14ac:dyDescent="0.2">
      <c r="A21" s="1" t="s">
        <v>188</v>
      </c>
      <c r="B21" s="49"/>
      <c r="C21" s="49">
        <v>547</v>
      </c>
      <c r="D21" s="49">
        <v>131</v>
      </c>
      <c r="E21" s="49">
        <v>24</v>
      </c>
      <c r="F21" s="49">
        <v>32</v>
      </c>
      <c r="G21" s="49">
        <v>76</v>
      </c>
      <c r="H21" s="49"/>
      <c r="I21" s="49"/>
      <c r="J21" s="49"/>
      <c r="K21" s="49"/>
      <c r="L21" s="49"/>
    </row>
    <row r="22" spans="1:12" x14ac:dyDescent="0.2">
      <c r="A22" s="1" t="s">
        <v>166</v>
      </c>
      <c r="B22" s="49">
        <v>952</v>
      </c>
      <c r="C22" s="49">
        <v>3810</v>
      </c>
      <c r="D22" s="49">
        <v>891</v>
      </c>
      <c r="E22" s="49">
        <v>4855</v>
      </c>
      <c r="F22" s="49">
        <v>4742</v>
      </c>
      <c r="G22" s="49">
        <v>1527</v>
      </c>
      <c r="H22" s="49">
        <v>1053</v>
      </c>
      <c r="I22" s="49">
        <v>1664</v>
      </c>
      <c r="J22" s="49">
        <v>3601</v>
      </c>
      <c r="K22" s="49">
        <v>10665</v>
      </c>
      <c r="L22" s="49">
        <v>13874</v>
      </c>
    </row>
    <row r="23" spans="1:12" x14ac:dyDescent="0.2">
      <c r="A23" s="2" t="s">
        <v>15</v>
      </c>
      <c r="B23" s="50">
        <f t="shared" ref="B23:F23" si="2">SUM(B16:B22)</f>
        <v>3793</v>
      </c>
      <c r="C23" s="50">
        <f t="shared" si="2"/>
        <v>8498</v>
      </c>
      <c r="D23" s="50">
        <f t="shared" si="2"/>
        <v>5776</v>
      </c>
      <c r="E23" s="50">
        <f t="shared" si="2"/>
        <v>11077</v>
      </c>
      <c r="F23" s="50">
        <f t="shared" si="2"/>
        <v>12175</v>
      </c>
      <c r="G23" s="50">
        <f t="shared" ref="G23:L23" si="3">SUM(G16:G22)</f>
        <v>10071</v>
      </c>
      <c r="H23" s="50">
        <f t="shared" si="3"/>
        <v>12348</v>
      </c>
      <c r="I23" s="50">
        <f t="shared" si="3"/>
        <v>13506</v>
      </c>
      <c r="J23" s="50">
        <f t="shared" si="3"/>
        <v>11869</v>
      </c>
      <c r="K23" s="50">
        <f t="shared" si="3"/>
        <v>20522</v>
      </c>
      <c r="L23" s="50">
        <f t="shared" si="3"/>
        <v>20644</v>
      </c>
    </row>
    <row r="24" spans="1:12" x14ac:dyDescent="0.2">
      <c r="B24" s="49"/>
      <c r="C24" s="49"/>
      <c r="D24" s="49"/>
      <c r="E24" s="49"/>
      <c r="F24" s="49"/>
      <c r="G24" s="49"/>
      <c r="H24" s="49"/>
      <c r="I24" s="49"/>
      <c r="J24" s="49"/>
      <c r="K24" s="49"/>
      <c r="L24" s="49"/>
    </row>
    <row r="25" spans="1:12" x14ac:dyDescent="0.2">
      <c r="A25" s="2" t="s">
        <v>16</v>
      </c>
      <c r="B25" s="50">
        <f>B13+B23</f>
        <v>9878</v>
      </c>
      <c r="C25" s="50">
        <f t="shared" ref="C25:G25" si="4">C13+C23</f>
        <v>16703</v>
      </c>
      <c r="D25" s="50">
        <f t="shared" si="4"/>
        <v>17807</v>
      </c>
      <c r="E25" s="50">
        <f t="shared" si="4"/>
        <v>27875</v>
      </c>
      <c r="F25" s="50">
        <f t="shared" si="4"/>
        <v>34413</v>
      </c>
      <c r="G25" s="50">
        <f t="shared" si="4"/>
        <v>36536</v>
      </c>
      <c r="H25" s="50">
        <f t="shared" ref="H25:L25" si="5">H13+H23</f>
        <v>44538</v>
      </c>
      <c r="I25" s="50">
        <f t="shared" si="5"/>
        <v>50899</v>
      </c>
      <c r="J25" s="50">
        <f t="shared" si="5"/>
        <v>48511</v>
      </c>
      <c r="K25" s="50">
        <f t="shared" si="5"/>
        <v>56274</v>
      </c>
      <c r="L25" s="50">
        <f t="shared" si="5"/>
        <v>61231</v>
      </c>
    </row>
    <row r="26" spans="1:12" x14ac:dyDescent="0.2">
      <c r="B26" s="49"/>
      <c r="C26" s="49"/>
      <c r="D26" s="49"/>
      <c r="E26" s="49"/>
      <c r="F26" s="49"/>
      <c r="G26" s="49"/>
      <c r="H26" s="49"/>
      <c r="I26" s="49"/>
      <c r="J26" s="49"/>
      <c r="K26" s="49"/>
      <c r="L26" s="49"/>
    </row>
    <row r="27" spans="1:12" x14ac:dyDescent="0.2">
      <c r="A27" s="2" t="s">
        <v>17</v>
      </c>
      <c r="B27" s="49"/>
      <c r="C27" s="49"/>
      <c r="D27" s="49"/>
      <c r="E27" s="49"/>
      <c r="F27" s="49"/>
      <c r="G27" s="49"/>
      <c r="H27" s="49"/>
      <c r="I27" s="49"/>
      <c r="J27" s="49"/>
      <c r="K27" s="49"/>
      <c r="L27" s="49"/>
    </row>
    <row r="28" spans="1:12" x14ac:dyDescent="0.2">
      <c r="B28" s="49"/>
      <c r="C28" s="49"/>
      <c r="D28" s="49"/>
      <c r="E28" s="49"/>
      <c r="F28" s="49"/>
      <c r="G28" s="49"/>
      <c r="H28" s="49"/>
      <c r="I28" s="49"/>
      <c r="J28" s="49"/>
      <c r="K28" s="49"/>
      <c r="L28" s="49"/>
    </row>
    <row r="29" spans="1:12" x14ac:dyDescent="0.2">
      <c r="A29" s="2" t="s">
        <v>18</v>
      </c>
      <c r="B29" s="49"/>
      <c r="C29" s="49"/>
      <c r="D29" s="49"/>
      <c r="E29" s="49"/>
      <c r="F29" s="49"/>
      <c r="G29" s="49"/>
      <c r="H29" s="49"/>
      <c r="I29" s="49"/>
      <c r="J29" s="49"/>
      <c r="K29" s="49"/>
      <c r="L29" s="49"/>
    </row>
    <row r="30" spans="1:12" x14ac:dyDescent="0.2">
      <c r="A30" s="1" t="s">
        <v>167</v>
      </c>
      <c r="B30" s="49">
        <v>2736</v>
      </c>
      <c r="C30" s="49">
        <v>6859</v>
      </c>
      <c r="D30" s="49">
        <v>7306</v>
      </c>
      <c r="E30" s="49">
        <v>14338</v>
      </c>
      <c r="F30" s="49">
        <v>15833</v>
      </c>
      <c r="G30" s="49">
        <v>14964</v>
      </c>
      <c r="H30" s="49">
        <v>20831</v>
      </c>
      <c r="I30" s="49">
        <v>20764</v>
      </c>
      <c r="J30" s="49">
        <v>19320</v>
      </c>
      <c r="K30" s="49">
        <v>27850</v>
      </c>
      <c r="L30" s="49">
        <v>34769</v>
      </c>
    </row>
    <row r="31" spans="1:12" x14ac:dyDescent="0.2">
      <c r="A31" s="1" t="s">
        <v>168</v>
      </c>
      <c r="B31" s="49">
        <v>661</v>
      </c>
      <c r="C31" s="49">
        <v>1647</v>
      </c>
      <c r="D31" s="49">
        <v>1650</v>
      </c>
      <c r="E31" s="49">
        <v>4038</v>
      </c>
      <c r="F31" s="49">
        <v>4759</v>
      </c>
      <c r="G31" s="49">
        <v>4345</v>
      </c>
      <c r="H31" s="49">
        <v>6353</v>
      </c>
      <c r="I31" s="49">
        <v>6237</v>
      </c>
      <c r="J31" s="49">
        <v>5847</v>
      </c>
      <c r="K31" s="49">
        <v>8686</v>
      </c>
      <c r="L31" s="49">
        <v>10777</v>
      </c>
    </row>
    <row r="32" spans="1:12" x14ac:dyDescent="0.2">
      <c r="A32" s="1" t="s">
        <v>19</v>
      </c>
      <c r="B32" s="49"/>
      <c r="C32" s="49"/>
      <c r="D32" s="49"/>
      <c r="E32" s="49"/>
      <c r="F32" s="49"/>
      <c r="G32" s="49"/>
      <c r="H32" s="49"/>
      <c r="I32" s="49"/>
      <c r="J32" s="49"/>
      <c r="K32" s="49"/>
      <c r="L32" s="49"/>
    </row>
    <row r="33" spans="1:12" x14ac:dyDescent="0.2">
      <c r="A33" s="1" t="s">
        <v>137</v>
      </c>
      <c r="B33" s="49"/>
      <c r="C33" s="49"/>
      <c r="D33" s="49"/>
      <c r="E33" s="49"/>
      <c r="F33" s="49"/>
      <c r="G33" s="49"/>
      <c r="H33" s="49"/>
      <c r="I33" s="49"/>
      <c r="J33" s="49"/>
      <c r="K33" s="49"/>
      <c r="L33" s="49"/>
    </row>
    <row r="34" spans="1:12" x14ac:dyDescent="0.2">
      <c r="A34" s="1" t="s">
        <v>138</v>
      </c>
      <c r="B34" s="49"/>
      <c r="C34" s="49"/>
      <c r="D34" s="49"/>
      <c r="E34" s="49"/>
      <c r="F34" s="49"/>
      <c r="G34" s="49"/>
      <c r="H34" s="49"/>
      <c r="I34" s="49"/>
      <c r="J34" s="49"/>
      <c r="K34" s="49"/>
      <c r="L34" s="49"/>
    </row>
    <row r="35" spans="1:12" x14ac:dyDescent="0.2">
      <c r="A35" s="2" t="s">
        <v>20</v>
      </c>
      <c r="B35" s="50">
        <f t="shared" ref="B35:J35" si="6">SUM(B30:B33)</f>
        <v>3397</v>
      </c>
      <c r="C35" s="50">
        <f t="shared" si="6"/>
        <v>8506</v>
      </c>
      <c r="D35" s="50">
        <f t="shared" si="6"/>
        <v>8956</v>
      </c>
      <c r="E35" s="50">
        <f t="shared" si="6"/>
        <v>18376</v>
      </c>
      <c r="F35" s="50">
        <f t="shared" si="6"/>
        <v>20592</v>
      </c>
      <c r="G35" s="50">
        <f t="shared" si="6"/>
        <v>19309</v>
      </c>
      <c r="H35" s="50">
        <f t="shared" si="6"/>
        <v>27184</v>
      </c>
      <c r="I35" s="50">
        <f t="shared" si="6"/>
        <v>27001</v>
      </c>
      <c r="J35" s="50">
        <f t="shared" si="6"/>
        <v>25167</v>
      </c>
      <c r="K35" s="50">
        <f>SUM(K30:K34)</f>
        <v>36536</v>
      </c>
      <c r="L35" s="50">
        <f>SUM(L30:L34)</f>
        <v>45546</v>
      </c>
    </row>
    <row r="36" spans="1:12" x14ac:dyDescent="0.2">
      <c r="B36" s="49"/>
      <c r="C36" s="49"/>
      <c r="D36" s="49"/>
      <c r="E36" s="49"/>
      <c r="F36" s="49"/>
      <c r="G36" s="49"/>
      <c r="H36" s="49"/>
      <c r="I36" s="49"/>
      <c r="J36" s="49"/>
      <c r="K36" s="49"/>
      <c r="L36" s="49"/>
    </row>
    <row r="37" spans="1:12" x14ac:dyDescent="0.2">
      <c r="A37" s="2" t="s">
        <v>21</v>
      </c>
      <c r="B37" s="49"/>
      <c r="C37" s="49"/>
      <c r="D37" s="49"/>
      <c r="E37" s="49"/>
      <c r="F37" s="49"/>
      <c r="G37" s="49"/>
      <c r="H37" s="49"/>
      <c r="I37" s="49"/>
      <c r="J37" s="49"/>
      <c r="K37" s="49"/>
      <c r="L37" s="49"/>
    </row>
    <row r="38" spans="1:12" x14ac:dyDescent="0.2">
      <c r="A38" s="1" t="s">
        <v>169</v>
      </c>
      <c r="B38" s="49">
        <v>1040</v>
      </c>
      <c r="C38" s="49">
        <v>977</v>
      </c>
      <c r="D38" s="49">
        <v>3859</v>
      </c>
      <c r="E38" s="49">
        <v>3185</v>
      </c>
      <c r="F38" s="49">
        <v>0</v>
      </c>
      <c r="G38" s="49">
        <v>3200</v>
      </c>
      <c r="H38" s="49">
        <v>2234</v>
      </c>
      <c r="I38" s="49">
        <v>4000</v>
      </c>
      <c r="J38" s="49">
        <v>8000</v>
      </c>
      <c r="K38" s="49">
        <v>4500</v>
      </c>
      <c r="L38" s="49">
        <v>0</v>
      </c>
    </row>
    <row r="39" spans="1:12" x14ac:dyDescent="0.2">
      <c r="A39" s="1" t="s">
        <v>24</v>
      </c>
      <c r="B39" s="49"/>
      <c r="C39" s="49"/>
      <c r="D39" s="49"/>
      <c r="E39" s="49"/>
      <c r="F39" s="49"/>
      <c r="G39" s="49"/>
      <c r="H39" s="49"/>
      <c r="I39" s="49"/>
      <c r="J39" s="49"/>
      <c r="K39" s="49"/>
      <c r="L39" s="49"/>
    </row>
    <row r="40" spans="1:12" x14ac:dyDescent="0.2">
      <c r="A40" s="1" t="s">
        <v>139</v>
      </c>
      <c r="B40" s="49">
        <v>339</v>
      </c>
      <c r="C40" s="49">
        <v>384</v>
      </c>
      <c r="D40" s="49">
        <v>468</v>
      </c>
      <c r="E40" s="49">
        <v>672</v>
      </c>
      <c r="F40" s="49">
        <v>901</v>
      </c>
      <c r="G40" s="49">
        <v>1420</v>
      </c>
      <c r="H40" s="49">
        <v>1809</v>
      </c>
      <c r="I40" s="49">
        <v>1964</v>
      </c>
      <c r="J40" s="49">
        <v>2717</v>
      </c>
      <c r="K40" s="49">
        <v>1967</v>
      </c>
      <c r="L40" s="49">
        <v>1860</v>
      </c>
    </row>
    <row r="41" spans="1:12" x14ac:dyDescent="0.2">
      <c r="A41" s="1" t="s">
        <v>170</v>
      </c>
      <c r="B41" s="49">
        <v>1490</v>
      </c>
      <c r="C41" s="49">
        <v>1990</v>
      </c>
      <c r="D41" s="49">
        <v>2282</v>
      </c>
      <c r="E41" s="49">
        <v>2272</v>
      </c>
      <c r="F41" s="49">
        <v>4942</v>
      </c>
      <c r="G41" s="49">
        <v>6697</v>
      </c>
      <c r="H41" s="49">
        <v>7888</v>
      </c>
      <c r="I41" s="49">
        <v>8201</v>
      </c>
      <c r="J41" s="49">
        <v>7680</v>
      </c>
      <c r="K41" s="49">
        <v>7462</v>
      </c>
      <c r="L41" s="49">
        <v>8860</v>
      </c>
    </row>
    <row r="42" spans="1:12" x14ac:dyDescent="0.2">
      <c r="A42" s="2" t="s">
        <v>22</v>
      </c>
      <c r="B42" s="50">
        <f>SUM(B38:B41)</f>
        <v>2869</v>
      </c>
      <c r="C42" s="50">
        <f t="shared" ref="C42:J42" si="7">SUM(C38:C41)</f>
        <v>3351</v>
      </c>
      <c r="D42" s="50">
        <f t="shared" si="7"/>
        <v>6609</v>
      </c>
      <c r="E42" s="50">
        <f t="shared" si="7"/>
        <v>6129</v>
      </c>
      <c r="F42" s="50">
        <f t="shared" si="7"/>
        <v>5843</v>
      </c>
      <c r="G42" s="50">
        <f t="shared" si="7"/>
        <v>11317</v>
      </c>
      <c r="H42" s="50">
        <f t="shared" si="7"/>
        <v>11931</v>
      </c>
      <c r="I42" s="50">
        <f t="shared" si="7"/>
        <v>14165</v>
      </c>
      <c r="J42" s="50">
        <f t="shared" si="7"/>
        <v>18397</v>
      </c>
      <c r="K42" s="50">
        <f t="shared" ref="K42" si="8">SUM(K38:K41)</f>
        <v>13929</v>
      </c>
      <c r="L42" s="50">
        <f>SUM(L38:L41)</f>
        <v>10720</v>
      </c>
    </row>
    <row r="43" spans="1:12" x14ac:dyDescent="0.2">
      <c r="B43" s="49"/>
      <c r="C43" s="49"/>
      <c r="D43" s="49"/>
      <c r="E43" s="49"/>
      <c r="F43" s="49"/>
      <c r="G43" s="49"/>
      <c r="H43" s="49"/>
      <c r="I43" s="49"/>
      <c r="J43" s="49"/>
      <c r="K43" s="49"/>
      <c r="L43" s="49"/>
    </row>
    <row r="44" spans="1:12" x14ac:dyDescent="0.2">
      <c r="A44" s="2" t="s">
        <v>23</v>
      </c>
      <c r="B44" s="49"/>
      <c r="C44" s="49"/>
      <c r="D44" s="49"/>
      <c r="E44" s="49"/>
      <c r="F44" s="49"/>
      <c r="G44" s="49"/>
      <c r="H44" s="49"/>
      <c r="I44" s="49"/>
      <c r="J44" s="49"/>
      <c r="K44" s="49"/>
      <c r="L44" s="49"/>
    </row>
    <row r="45" spans="1:12" x14ac:dyDescent="0.2">
      <c r="A45" s="1" t="s">
        <v>169</v>
      </c>
      <c r="B45" s="49">
        <v>2490</v>
      </c>
      <c r="C45" s="49">
        <v>2881</v>
      </c>
      <c r="D45" s="49">
        <v>55</v>
      </c>
      <c r="E45" s="49">
        <v>0</v>
      </c>
      <c r="F45" s="49">
        <v>3191</v>
      </c>
      <c r="G45" s="49">
        <v>2669</v>
      </c>
      <c r="H45" s="49">
        <v>615</v>
      </c>
      <c r="I45" s="49">
        <v>5593</v>
      </c>
      <c r="J45" s="49">
        <v>205</v>
      </c>
      <c r="K45" s="49">
        <v>0</v>
      </c>
      <c r="L45" s="49">
        <v>0</v>
      </c>
    </row>
    <row r="46" spans="1:12" x14ac:dyDescent="0.2">
      <c r="A46" s="1" t="s">
        <v>24</v>
      </c>
      <c r="B46" s="49">
        <v>1058</v>
      </c>
      <c r="C46" s="49">
        <v>1655</v>
      </c>
      <c r="D46" s="49">
        <v>2161</v>
      </c>
      <c r="E46" s="49">
        <v>3274</v>
      </c>
      <c r="F46" s="49">
        <v>4556</v>
      </c>
      <c r="G46" s="49">
        <v>3012</v>
      </c>
      <c r="H46" s="49">
        <v>3888</v>
      </c>
      <c r="I46" s="49">
        <v>3493</v>
      </c>
      <c r="J46" s="49">
        <v>3407</v>
      </c>
      <c r="K46" s="49">
        <v>3741</v>
      </c>
      <c r="L46" s="49">
        <v>4945</v>
      </c>
    </row>
    <row r="47" spans="1:12" x14ac:dyDescent="0.2">
      <c r="A47" s="1" t="s">
        <v>139</v>
      </c>
      <c r="B47" s="49"/>
      <c r="C47" s="49">
        <v>310</v>
      </c>
      <c r="D47" s="49">
        <v>4</v>
      </c>
      <c r="E47" s="49">
        <v>11</v>
      </c>
      <c r="F47" s="49">
        <v>11</v>
      </c>
      <c r="G47" s="49">
        <v>26</v>
      </c>
      <c r="H47" s="49">
        <v>355</v>
      </c>
      <c r="I47" s="49">
        <v>92</v>
      </c>
      <c r="J47" s="49">
        <v>349</v>
      </c>
      <c r="K47" s="49">
        <v>164</v>
      </c>
      <c r="L47" s="49">
        <v>147</v>
      </c>
    </row>
    <row r="48" spans="1:12" x14ac:dyDescent="0.2">
      <c r="A48" s="1" t="s">
        <v>171</v>
      </c>
      <c r="B48" s="49">
        <v>64</v>
      </c>
      <c r="C48" s="49"/>
      <c r="D48" s="49">
        <v>22</v>
      </c>
      <c r="E48" s="49">
        <v>85</v>
      </c>
      <c r="F48" s="49">
        <v>220</v>
      </c>
      <c r="G48" s="49">
        <v>203</v>
      </c>
      <c r="H48" s="49">
        <v>565</v>
      </c>
      <c r="I48" s="49">
        <v>555</v>
      </c>
      <c r="J48" s="49">
        <v>986</v>
      </c>
      <c r="K48" s="49">
        <v>1906</v>
      </c>
      <c r="L48" s="49">
        <v>59</v>
      </c>
    </row>
    <row r="49" spans="1:12" x14ac:dyDescent="0.2">
      <c r="A49" s="1" t="s">
        <v>140</v>
      </c>
      <c r="B49" s="49"/>
      <c r="C49" s="49"/>
      <c r="D49" s="49"/>
      <c r="E49" s="49"/>
      <c r="F49" s="49"/>
      <c r="G49" s="49"/>
      <c r="H49" s="49"/>
      <c r="I49" s="49"/>
      <c r="J49" s="49"/>
      <c r="K49" s="49"/>
      <c r="L49" s="49"/>
    </row>
    <row r="50" spans="1:12" x14ac:dyDescent="0.2">
      <c r="A50" s="1" t="s">
        <v>141</v>
      </c>
      <c r="B50" s="49"/>
      <c r="C50" s="49"/>
      <c r="D50" s="49"/>
      <c r="E50" s="49"/>
      <c r="F50" s="49"/>
      <c r="G50" s="49"/>
      <c r="H50" s="49"/>
      <c r="I50" s="49"/>
      <c r="J50" s="49"/>
      <c r="K50" s="49"/>
      <c r="L50" s="49"/>
    </row>
    <row r="51" spans="1:12" x14ac:dyDescent="0.2">
      <c r="A51" s="2" t="s">
        <v>25</v>
      </c>
      <c r="B51" s="50">
        <f>SUM(B45:B50)</f>
        <v>3612</v>
      </c>
      <c r="C51" s="50">
        <f t="shared" ref="C51:J51" si="9">SUM(C45:C50)</f>
        <v>4846</v>
      </c>
      <c r="D51" s="50">
        <f t="shared" si="9"/>
        <v>2242</v>
      </c>
      <c r="E51" s="50">
        <f t="shared" si="9"/>
        <v>3370</v>
      </c>
      <c r="F51" s="50">
        <f t="shared" si="9"/>
        <v>7978</v>
      </c>
      <c r="G51" s="50">
        <f t="shared" si="9"/>
        <v>5910</v>
      </c>
      <c r="H51" s="50">
        <f t="shared" si="9"/>
        <v>5423</v>
      </c>
      <c r="I51" s="50">
        <f t="shared" si="9"/>
        <v>9733</v>
      </c>
      <c r="J51" s="50">
        <f t="shared" si="9"/>
        <v>4947</v>
      </c>
      <c r="K51" s="50">
        <f t="shared" ref="K51" si="10">SUM(K45:K50)</f>
        <v>5811</v>
      </c>
      <c r="L51" s="50">
        <f t="shared" ref="L51" si="11">SUM(L45:L50)</f>
        <v>5151</v>
      </c>
    </row>
    <row r="52" spans="1:12" x14ac:dyDescent="0.2">
      <c r="B52" s="49"/>
      <c r="C52" s="49"/>
      <c r="D52" s="49"/>
      <c r="E52" s="49"/>
      <c r="F52" s="49"/>
      <c r="G52" s="49"/>
      <c r="H52" s="49"/>
      <c r="I52" s="49"/>
      <c r="J52" s="49"/>
      <c r="K52" s="49"/>
      <c r="L52" s="49"/>
    </row>
    <row r="53" spans="1:12" x14ac:dyDescent="0.2">
      <c r="A53" s="2" t="s">
        <v>26</v>
      </c>
      <c r="B53" s="50">
        <f t="shared" ref="B53:F53" si="12">B42+B51</f>
        <v>6481</v>
      </c>
      <c r="C53" s="50">
        <f t="shared" si="12"/>
        <v>8197</v>
      </c>
      <c r="D53" s="50">
        <f t="shared" si="12"/>
        <v>8851</v>
      </c>
      <c r="E53" s="50">
        <f t="shared" si="12"/>
        <v>9499</v>
      </c>
      <c r="F53" s="50">
        <f t="shared" si="12"/>
        <v>13821</v>
      </c>
      <c r="G53" s="50">
        <f t="shared" ref="G53:I53" si="13">G42+G51</f>
        <v>17227</v>
      </c>
      <c r="H53" s="50">
        <f t="shared" si="13"/>
        <v>17354</v>
      </c>
      <c r="I53" s="50">
        <f t="shared" si="13"/>
        <v>23898</v>
      </c>
      <c r="J53" s="50">
        <f t="shared" ref="J53:K53" si="14">J42+J51</f>
        <v>23344</v>
      </c>
      <c r="K53" s="50">
        <f t="shared" si="14"/>
        <v>19740</v>
      </c>
      <c r="L53" s="50">
        <f t="shared" ref="L53" si="15">L42+L51</f>
        <v>15871</v>
      </c>
    </row>
    <row r="54" spans="1:12" x14ac:dyDescent="0.2">
      <c r="B54" s="49"/>
      <c r="C54" s="49"/>
      <c r="D54" s="49"/>
      <c r="E54" s="49"/>
      <c r="F54" s="49"/>
      <c r="G54" s="49"/>
      <c r="H54" s="49"/>
      <c r="I54" s="49"/>
      <c r="J54" s="49"/>
      <c r="K54" s="49"/>
      <c r="L54" s="49"/>
    </row>
    <row r="55" spans="1:12" x14ac:dyDescent="0.2">
      <c r="A55" s="2" t="s">
        <v>27</v>
      </c>
      <c r="B55" s="50">
        <f t="shared" ref="B55:F55" si="16">B35+B53</f>
        <v>9878</v>
      </c>
      <c r="C55" s="50">
        <f t="shared" si="16"/>
        <v>16703</v>
      </c>
      <c r="D55" s="50">
        <f t="shared" si="16"/>
        <v>17807</v>
      </c>
      <c r="E55" s="50">
        <f t="shared" si="16"/>
        <v>27875</v>
      </c>
      <c r="F55" s="50">
        <f t="shared" si="16"/>
        <v>34413</v>
      </c>
      <c r="G55" s="50">
        <f t="shared" ref="G55:I55" si="17">G35+G53</f>
        <v>36536</v>
      </c>
      <c r="H55" s="50">
        <f t="shared" si="17"/>
        <v>44538</v>
      </c>
      <c r="I55" s="50">
        <f t="shared" si="17"/>
        <v>50899</v>
      </c>
      <c r="J55" s="50">
        <f t="shared" ref="J55:K55" si="18">J35+J53</f>
        <v>48511</v>
      </c>
      <c r="K55" s="50">
        <f t="shared" si="18"/>
        <v>56276</v>
      </c>
      <c r="L55" s="50">
        <f t="shared" ref="L55" si="19">L35+L53</f>
        <v>61417</v>
      </c>
    </row>
  </sheetData>
  <mergeCells count="1">
    <mergeCell ref="A1:L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40"/>
  <sheetViews>
    <sheetView showGridLines="0" workbookViewId="0">
      <pane xSplit="1" ySplit="3" topLeftCell="B4" activePane="bottomRight" state="frozen"/>
      <selection pane="topRight" activeCell="B1" sqref="B1"/>
      <selection pane="bottomLeft" activeCell="A4" sqref="A4"/>
      <selection pane="bottomRight" sqref="A1:L1"/>
    </sheetView>
  </sheetViews>
  <sheetFormatPr defaultRowHeight="12.75" x14ac:dyDescent="0.2"/>
  <cols>
    <col min="1" max="1" width="43.28515625" style="1" bestFit="1" customWidth="1"/>
    <col min="2" max="3" width="9.28515625" style="1" bestFit="1" customWidth="1"/>
    <col min="4" max="10" width="9.140625" style="1" customWidth="1"/>
    <col min="11" max="12" width="11.28515625" style="1" bestFit="1" customWidth="1"/>
    <col min="13" max="16384" width="9.140625" style="1"/>
  </cols>
  <sheetData>
    <row r="1" spans="1:12" ht="15" x14ac:dyDescent="0.2">
      <c r="A1" s="133" t="s">
        <v>0</v>
      </c>
      <c r="B1" s="133"/>
      <c r="C1" s="133"/>
      <c r="D1" s="133"/>
      <c r="E1" s="133"/>
      <c r="F1" s="133"/>
      <c r="G1" s="133"/>
      <c r="H1" s="133"/>
      <c r="I1" s="133"/>
      <c r="J1" s="133"/>
      <c r="K1" s="133"/>
      <c r="L1" s="133"/>
    </row>
    <row r="3" spans="1:12" x14ac:dyDescent="0.2">
      <c r="A3" s="2" t="s">
        <v>130</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row>
    <row r="4" spans="1:12" x14ac:dyDescent="0.2">
      <c r="A4" s="2" t="s">
        <v>28</v>
      </c>
    </row>
    <row r="5" spans="1:12" x14ac:dyDescent="0.2">
      <c r="A5" s="1" t="s">
        <v>173</v>
      </c>
      <c r="B5" s="49">
        <v>10963</v>
      </c>
      <c r="C5" s="49">
        <v>21098</v>
      </c>
      <c r="D5" s="49"/>
      <c r="E5" s="49"/>
      <c r="F5" s="49"/>
      <c r="G5" s="49"/>
      <c r="H5" s="49"/>
      <c r="I5" s="49"/>
      <c r="J5" s="49"/>
      <c r="K5" s="49"/>
      <c r="L5" s="49"/>
    </row>
    <row r="6" spans="1:12" x14ac:dyDescent="0.2">
      <c r="A6" s="1" t="s">
        <v>174</v>
      </c>
      <c r="B6" s="49">
        <v>-5158</v>
      </c>
      <c r="C6" s="49">
        <v>-6579</v>
      </c>
      <c r="D6" s="49"/>
      <c r="E6" s="49"/>
      <c r="F6" s="49"/>
      <c r="G6" s="49"/>
      <c r="H6" s="49"/>
      <c r="I6" s="49"/>
      <c r="J6" s="49"/>
      <c r="K6" s="49"/>
      <c r="L6" s="49"/>
    </row>
    <row r="7" spans="1:12" x14ac:dyDescent="0.2">
      <c r="A7" s="1" t="s">
        <v>142</v>
      </c>
      <c r="B7" s="49">
        <f t="shared" ref="B7:C7" si="0">B5+B6</f>
        <v>5805</v>
      </c>
      <c r="C7" s="49">
        <f t="shared" si="0"/>
        <v>14519</v>
      </c>
      <c r="D7" s="49">
        <v>12744</v>
      </c>
      <c r="E7" s="49">
        <v>25555</v>
      </c>
      <c r="F7" s="49">
        <v>32814</v>
      </c>
      <c r="G7" s="49">
        <v>24170</v>
      </c>
      <c r="H7" s="49">
        <v>29354</v>
      </c>
      <c r="I7" s="49">
        <v>21769</v>
      </c>
      <c r="J7" s="49">
        <v>13841</v>
      </c>
      <c r="K7" s="49">
        <v>17218</v>
      </c>
      <c r="L7" s="49">
        <v>22432</v>
      </c>
    </row>
    <row r="8" spans="1:12" x14ac:dyDescent="0.2">
      <c r="A8" s="1" t="s">
        <v>175</v>
      </c>
      <c r="B8" s="49">
        <v>-301</v>
      </c>
      <c r="C8" s="49">
        <v>-401</v>
      </c>
      <c r="D8" s="49">
        <v>-287</v>
      </c>
      <c r="E8" s="49">
        <v>-283</v>
      </c>
      <c r="F8" s="49">
        <v>-96</v>
      </c>
      <c r="G8" s="49">
        <v>-227</v>
      </c>
      <c r="H8" s="49">
        <v>-161</v>
      </c>
      <c r="I8" s="49">
        <v>-285</v>
      </c>
      <c r="J8" s="49">
        <v>-578</v>
      </c>
      <c r="K8" s="49">
        <v>-319</v>
      </c>
      <c r="L8" s="49">
        <v>461</v>
      </c>
    </row>
    <row r="9" spans="1:12" x14ac:dyDescent="0.2">
      <c r="A9" s="1" t="s">
        <v>176</v>
      </c>
      <c r="B9" s="49">
        <v>-1401</v>
      </c>
      <c r="C9" s="49">
        <v>-4311</v>
      </c>
      <c r="D9" s="49">
        <v>-3232</v>
      </c>
      <c r="E9" s="49">
        <v>-7031</v>
      </c>
      <c r="F9" s="49">
        <v>-7035</v>
      </c>
      <c r="G9" s="49">
        <v>-5215</v>
      </c>
      <c r="H9" s="49">
        <v>-6171</v>
      </c>
      <c r="I9" s="49">
        <v>-4165</v>
      </c>
      <c r="J9" s="49">
        <v>-594</v>
      </c>
      <c r="K9" s="49">
        <v>-3363</v>
      </c>
      <c r="L9" s="49">
        <v>-5883</v>
      </c>
    </row>
    <row r="10" spans="1:12" x14ac:dyDescent="0.2">
      <c r="A10" s="1" t="s">
        <v>177</v>
      </c>
      <c r="B10" s="49">
        <v>-1353</v>
      </c>
      <c r="C10" s="49">
        <v>-3794</v>
      </c>
      <c r="D10" s="49"/>
      <c r="E10" s="49"/>
      <c r="F10" s="49"/>
      <c r="G10" s="49"/>
      <c r="H10" s="49"/>
      <c r="I10" s="49"/>
      <c r="J10" s="49"/>
      <c r="K10" s="49"/>
      <c r="L10" s="49"/>
    </row>
    <row r="11" spans="1:12" x14ac:dyDescent="0.2">
      <c r="A11" s="1" t="s">
        <v>199</v>
      </c>
      <c r="B11" s="49"/>
      <c r="C11" s="49"/>
      <c r="D11" s="49"/>
      <c r="E11" s="49"/>
      <c r="F11" s="49"/>
      <c r="G11" s="49"/>
      <c r="H11" s="49"/>
      <c r="I11" s="49"/>
      <c r="J11" s="49">
        <v>0</v>
      </c>
      <c r="K11" s="49">
        <v>2</v>
      </c>
      <c r="L11" s="49"/>
    </row>
    <row r="12" spans="1:12" x14ac:dyDescent="0.2">
      <c r="A12" s="2" t="s">
        <v>29</v>
      </c>
      <c r="B12" s="50">
        <f t="shared" ref="B12:L12" si="1">SUM(B5:B11)</f>
        <v>8555</v>
      </c>
      <c r="C12" s="50">
        <f t="shared" si="1"/>
        <v>20532</v>
      </c>
      <c r="D12" s="50">
        <f t="shared" si="1"/>
        <v>9225</v>
      </c>
      <c r="E12" s="50">
        <f t="shared" si="1"/>
        <v>18241</v>
      </c>
      <c r="F12" s="50">
        <f t="shared" si="1"/>
        <v>25683</v>
      </c>
      <c r="G12" s="50">
        <f t="shared" si="1"/>
        <v>18728</v>
      </c>
      <c r="H12" s="50">
        <f t="shared" si="1"/>
        <v>23022</v>
      </c>
      <c r="I12" s="50">
        <f t="shared" si="1"/>
        <v>17319</v>
      </c>
      <c r="J12" s="50">
        <f t="shared" si="1"/>
        <v>12669</v>
      </c>
      <c r="K12" s="50">
        <f t="shared" si="1"/>
        <v>13538</v>
      </c>
      <c r="L12" s="50">
        <f t="shared" si="1"/>
        <v>17010</v>
      </c>
    </row>
    <row r="13" spans="1:12" x14ac:dyDescent="0.2">
      <c r="B13" s="49"/>
      <c r="C13" s="49"/>
      <c r="D13" s="49"/>
      <c r="E13" s="49"/>
      <c r="F13" s="49"/>
      <c r="G13" s="49"/>
      <c r="H13" s="49"/>
      <c r="I13" s="49"/>
      <c r="J13" s="49"/>
      <c r="K13" s="49"/>
      <c r="L13" s="49"/>
    </row>
    <row r="14" spans="1:12" x14ac:dyDescent="0.2">
      <c r="A14" s="2" t="s">
        <v>30</v>
      </c>
      <c r="B14" s="49"/>
      <c r="C14" s="49"/>
      <c r="D14" s="49"/>
      <c r="E14" s="49"/>
      <c r="F14" s="49"/>
      <c r="G14" s="49"/>
      <c r="H14" s="49"/>
      <c r="I14" s="49"/>
      <c r="J14" s="49"/>
      <c r="K14" s="49"/>
      <c r="L14" s="49"/>
    </row>
    <row r="15" spans="1:12" x14ac:dyDescent="0.2">
      <c r="A15" s="51" t="s">
        <v>178</v>
      </c>
      <c r="B15" s="49">
        <v>-2119</v>
      </c>
      <c r="C15" s="49">
        <v>-2563</v>
      </c>
      <c r="D15" s="49">
        <v>-3996</v>
      </c>
      <c r="E15" s="49">
        <v>-4723</v>
      </c>
      <c r="F15" s="49">
        <v>-5849</v>
      </c>
      <c r="G15" s="49">
        <v>-5399</v>
      </c>
      <c r="H15" s="49">
        <v>-6453</v>
      </c>
      <c r="I15" s="49">
        <v>-8477</v>
      </c>
      <c r="J15" s="49">
        <v>-6752</v>
      </c>
      <c r="K15" s="49">
        <v>-2353</v>
      </c>
      <c r="L15" s="49">
        <v>-3074</v>
      </c>
    </row>
    <row r="16" spans="1:12" x14ac:dyDescent="0.2">
      <c r="A16" s="51" t="s">
        <v>179</v>
      </c>
      <c r="B16" s="49">
        <v>-2</v>
      </c>
      <c r="C16" s="49">
        <v>-3</v>
      </c>
      <c r="D16" s="49">
        <v>-15</v>
      </c>
      <c r="E16" s="49">
        <v>-9</v>
      </c>
      <c r="F16" s="49">
        <v>-4</v>
      </c>
      <c r="G16" s="49">
        <v>-14</v>
      </c>
      <c r="H16" s="49">
        <v>-17</v>
      </c>
      <c r="I16" s="49">
        <v>-5</v>
      </c>
      <c r="J16" s="49">
        <v>5</v>
      </c>
      <c r="K16" s="49">
        <v>0</v>
      </c>
      <c r="L16" s="49"/>
    </row>
    <row r="17" spans="1:12" x14ac:dyDescent="0.2">
      <c r="A17" s="51" t="s">
        <v>194</v>
      </c>
      <c r="B17" s="49"/>
      <c r="C17" s="49"/>
      <c r="D17" s="49"/>
      <c r="E17" s="49"/>
      <c r="F17" s="49">
        <v>-183</v>
      </c>
      <c r="G17" s="49">
        <v>-45</v>
      </c>
      <c r="H17" s="49"/>
      <c r="I17" s="49"/>
      <c r="J17" s="49"/>
      <c r="K17" s="49"/>
      <c r="L17" s="49"/>
    </row>
    <row r="18" spans="1:12" ht="12.75" customHeight="1" x14ac:dyDescent="0.2">
      <c r="A18" s="51" t="s">
        <v>180</v>
      </c>
      <c r="B18" s="49">
        <v>26</v>
      </c>
      <c r="C18" s="49"/>
      <c r="D18" s="49">
        <v>39</v>
      </c>
      <c r="E18" s="49">
        <v>1</v>
      </c>
      <c r="F18" s="49">
        <v>2</v>
      </c>
      <c r="G18" s="49">
        <v>37</v>
      </c>
      <c r="H18" s="49">
        <v>37</v>
      </c>
      <c r="I18" s="49">
        <v>78</v>
      </c>
      <c r="J18" s="49">
        <v>120</v>
      </c>
      <c r="K18" s="49">
        <v>9</v>
      </c>
      <c r="L18" s="49">
        <v>27</v>
      </c>
    </row>
    <row r="19" spans="1:12" x14ac:dyDescent="0.2">
      <c r="A19" s="51" t="s">
        <v>181</v>
      </c>
      <c r="B19" s="49"/>
      <c r="C19" s="49"/>
      <c r="D19" s="49">
        <v>-115</v>
      </c>
      <c r="E19" s="49"/>
      <c r="F19" s="49">
        <v>0</v>
      </c>
      <c r="G19" s="49">
        <v>3</v>
      </c>
      <c r="H19" s="49"/>
      <c r="I19" s="49"/>
      <c r="J19" s="49"/>
      <c r="K19" s="49"/>
      <c r="L19" s="49"/>
    </row>
    <row r="20" spans="1:12" x14ac:dyDescent="0.2">
      <c r="A20" s="51" t="s">
        <v>182</v>
      </c>
      <c r="B20" s="49"/>
      <c r="C20" s="49"/>
      <c r="D20" s="49">
        <v>0</v>
      </c>
      <c r="E20" s="49">
        <v>-2</v>
      </c>
      <c r="F20" s="49"/>
      <c r="G20" s="49"/>
      <c r="H20" s="49">
        <v>5</v>
      </c>
      <c r="I20" s="49">
        <v>0</v>
      </c>
      <c r="J20" s="49"/>
      <c r="K20" s="49"/>
      <c r="L20" s="49"/>
    </row>
    <row r="21" spans="1:12" ht="25.5" x14ac:dyDescent="0.2">
      <c r="A21" s="51" t="s">
        <v>183</v>
      </c>
      <c r="B21" s="49">
        <v>31</v>
      </c>
      <c r="C21" s="49">
        <v>79</v>
      </c>
      <c r="D21" s="49"/>
      <c r="E21" s="49"/>
      <c r="F21" s="49"/>
      <c r="G21" s="49"/>
      <c r="H21" s="49"/>
      <c r="I21" s="49"/>
      <c r="J21" s="49"/>
      <c r="K21" s="49"/>
      <c r="L21" s="49"/>
    </row>
    <row r="22" spans="1:12" x14ac:dyDescent="0.2">
      <c r="A22" s="2" t="s">
        <v>31</v>
      </c>
      <c r="B22" s="50">
        <f t="shared" ref="B22:L22" si="2">SUM(B15:B21)</f>
        <v>-2064</v>
      </c>
      <c r="C22" s="50">
        <f t="shared" si="2"/>
        <v>-2487</v>
      </c>
      <c r="D22" s="50">
        <f t="shared" si="2"/>
        <v>-4087</v>
      </c>
      <c r="E22" s="50">
        <f t="shared" si="2"/>
        <v>-4733</v>
      </c>
      <c r="F22" s="50">
        <f t="shared" si="2"/>
        <v>-6034</v>
      </c>
      <c r="G22" s="50">
        <f t="shared" si="2"/>
        <v>-5418</v>
      </c>
      <c r="H22" s="50">
        <f t="shared" si="2"/>
        <v>-6428</v>
      </c>
      <c r="I22" s="50">
        <f t="shared" si="2"/>
        <v>-8404</v>
      </c>
      <c r="J22" s="50">
        <f t="shared" si="2"/>
        <v>-6627</v>
      </c>
      <c r="K22" s="50">
        <f t="shared" si="2"/>
        <v>-2344</v>
      </c>
      <c r="L22" s="50">
        <f t="shared" si="2"/>
        <v>-3047</v>
      </c>
    </row>
    <row r="23" spans="1:12" x14ac:dyDescent="0.2">
      <c r="B23" s="49"/>
      <c r="C23" s="49"/>
      <c r="D23" s="49"/>
      <c r="E23" s="49"/>
      <c r="F23" s="49"/>
      <c r="G23" s="49"/>
      <c r="H23" s="49"/>
      <c r="I23" s="49"/>
      <c r="J23" s="49"/>
      <c r="K23" s="49"/>
      <c r="L23" s="49"/>
    </row>
    <row r="24" spans="1:12" x14ac:dyDescent="0.2">
      <c r="A24" s="2" t="s">
        <v>32</v>
      </c>
      <c r="B24" s="49"/>
      <c r="C24" s="49"/>
      <c r="D24" s="49"/>
      <c r="E24" s="49"/>
      <c r="F24" s="49"/>
      <c r="G24" s="49"/>
      <c r="H24" s="49"/>
      <c r="I24" s="49"/>
      <c r="J24" s="49"/>
      <c r="K24" s="49"/>
      <c r="L24" s="49"/>
    </row>
    <row r="25" spans="1:12" x14ac:dyDescent="0.2">
      <c r="A25" s="1" t="s">
        <v>184</v>
      </c>
      <c r="B25" s="49">
        <v>53</v>
      </c>
      <c r="C25" s="49">
        <v>80</v>
      </c>
      <c r="D25" s="49">
        <v>132</v>
      </c>
      <c r="E25" s="49">
        <v>74</v>
      </c>
      <c r="F25" s="49">
        <v>16</v>
      </c>
      <c r="G25" s="49">
        <v>5</v>
      </c>
      <c r="H25" s="49">
        <v>2</v>
      </c>
      <c r="I25" s="49">
        <v>0</v>
      </c>
      <c r="J25" s="49"/>
      <c r="K25" s="49"/>
      <c r="L25" s="49"/>
    </row>
    <row r="26" spans="1:12" x14ac:dyDescent="0.2">
      <c r="A26" s="1" t="s">
        <v>185</v>
      </c>
      <c r="B26" s="49">
        <v>-392</v>
      </c>
      <c r="C26" s="49">
        <v>-1076</v>
      </c>
      <c r="D26" s="49">
        <v>-1811</v>
      </c>
      <c r="E26" s="49">
        <v>-1876</v>
      </c>
      <c r="F26" s="49">
        <v>-4170</v>
      </c>
      <c r="G26" s="49">
        <v>-4578</v>
      </c>
      <c r="H26" s="49">
        <v>-3207</v>
      </c>
      <c r="I26" s="49">
        <v>-3728</v>
      </c>
      <c r="J26" s="49">
        <v>-811</v>
      </c>
      <c r="K26" s="49">
        <v>0</v>
      </c>
      <c r="L26" s="49">
        <v>-1599</v>
      </c>
    </row>
    <row r="27" spans="1:12" x14ac:dyDescent="0.2">
      <c r="A27" s="1" t="s">
        <v>195</v>
      </c>
      <c r="B27" s="49"/>
      <c r="C27" s="49"/>
      <c r="D27" s="49"/>
      <c r="E27" s="49"/>
      <c r="F27" s="49">
        <v>-1694</v>
      </c>
      <c r="G27" s="49">
        <v>-968</v>
      </c>
      <c r="H27" s="49"/>
      <c r="I27" s="49"/>
      <c r="J27" s="49"/>
      <c r="K27" s="49"/>
      <c r="L27" s="49"/>
    </row>
    <row r="28" spans="1:12" x14ac:dyDescent="0.2">
      <c r="A28" s="1" t="s">
        <v>186</v>
      </c>
      <c r="B28" s="49">
        <v>1311</v>
      </c>
      <c r="C28" s="49">
        <v>3847</v>
      </c>
      <c r="D28" s="49">
        <v>56</v>
      </c>
      <c r="E28" s="49">
        <v>-729</v>
      </c>
      <c r="F28" s="49">
        <v>0</v>
      </c>
      <c r="G28" s="49">
        <v>2678</v>
      </c>
      <c r="H28" s="49">
        <v>-3332</v>
      </c>
      <c r="I28" s="49">
        <v>6744</v>
      </c>
      <c r="J28" s="49"/>
      <c r="K28" s="49"/>
      <c r="L28" s="49"/>
    </row>
    <row r="29" spans="1:12" x14ac:dyDescent="0.2">
      <c r="A29" s="1" t="s">
        <v>187</v>
      </c>
      <c r="B29" s="49">
        <v>-1800</v>
      </c>
      <c r="C29" s="49">
        <v>-3519</v>
      </c>
      <c r="D29" s="49"/>
      <c r="E29" s="49"/>
      <c r="F29" s="49"/>
      <c r="G29" s="49"/>
      <c r="H29" s="49"/>
      <c r="I29" s="49"/>
      <c r="J29" s="49">
        <v>-1388</v>
      </c>
      <c r="K29" s="49">
        <v>-3705</v>
      </c>
      <c r="L29" s="49">
        <v>-4500</v>
      </c>
    </row>
    <row r="30" spans="1:12" x14ac:dyDescent="0.2">
      <c r="A30" s="1" t="s">
        <v>197</v>
      </c>
      <c r="B30" s="49"/>
      <c r="C30" s="49"/>
      <c r="D30" s="49">
        <v>-60</v>
      </c>
      <c r="E30" s="49">
        <v>-191</v>
      </c>
      <c r="F30" s="49">
        <v>-278</v>
      </c>
      <c r="G30" s="49">
        <v>-261</v>
      </c>
      <c r="H30" s="49">
        <v>-265</v>
      </c>
      <c r="I30" s="49">
        <v>-107</v>
      </c>
      <c r="J30" s="49">
        <v>0</v>
      </c>
      <c r="K30" s="49">
        <v>-180</v>
      </c>
      <c r="L30" s="49">
        <v>-61</v>
      </c>
    </row>
    <row r="31" spans="1:12" x14ac:dyDescent="0.2">
      <c r="A31" s="1" t="s">
        <v>192</v>
      </c>
      <c r="B31" s="49"/>
      <c r="C31" s="49"/>
      <c r="D31" s="49"/>
      <c r="E31" s="49">
        <v>-147</v>
      </c>
      <c r="F31" s="49"/>
      <c r="G31" s="49"/>
      <c r="H31" s="49"/>
      <c r="I31" s="49"/>
      <c r="J31" s="49"/>
      <c r="K31" s="49"/>
      <c r="L31" s="49"/>
    </row>
    <row r="32" spans="1:12" x14ac:dyDescent="0.2">
      <c r="A32" s="1" t="s">
        <v>177</v>
      </c>
      <c r="B32" s="49"/>
      <c r="C32" s="49"/>
      <c r="D32" s="49">
        <v>-6437</v>
      </c>
      <c r="E32" s="49">
        <v>-6714</v>
      </c>
      <c r="F32" s="49">
        <v>-13742</v>
      </c>
      <c r="G32" s="49">
        <v>-13428</v>
      </c>
      <c r="H32" s="49">
        <v>-10500</v>
      </c>
      <c r="I32" s="49">
        <v>-11450</v>
      </c>
      <c r="J32" s="49">
        <v>-2490</v>
      </c>
      <c r="K32" s="49">
        <v>0</v>
      </c>
      <c r="L32" s="49">
        <v>-5144</v>
      </c>
    </row>
    <row r="33" spans="1:12" x14ac:dyDescent="0.2">
      <c r="A33" s="2" t="s">
        <v>33</v>
      </c>
      <c r="B33" s="50">
        <f t="shared" ref="B33:F33" si="3">SUM(B25:B32)</f>
        <v>-828</v>
      </c>
      <c r="C33" s="50">
        <f t="shared" si="3"/>
        <v>-668</v>
      </c>
      <c r="D33" s="50">
        <f t="shared" si="3"/>
        <v>-8120</v>
      </c>
      <c r="E33" s="50">
        <f t="shared" si="3"/>
        <v>-9583</v>
      </c>
      <c r="F33" s="50">
        <f t="shared" si="3"/>
        <v>-19868</v>
      </c>
      <c r="G33" s="50">
        <f t="shared" ref="G33:L33" si="4">SUM(G25:G32)</f>
        <v>-16552</v>
      </c>
      <c r="H33" s="50">
        <f t="shared" si="4"/>
        <v>-17302</v>
      </c>
      <c r="I33" s="50">
        <f t="shared" si="4"/>
        <v>-8541</v>
      </c>
      <c r="J33" s="50">
        <f t="shared" si="4"/>
        <v>-4689</v>
      </c>
      <c r="K33" s="50">
        <f t="shared" si="4"/>
        <v>-3885</v>
      </c>
      <c r="L33" s="50">
        <f t="shared" si="4"/>
        <v>-11304</v>
      </c>
    </row>
    <row r="34" spans="1:12" x14ac:dyDescent="0.2">
      <c r="B34" s="49"/>
      <c r="C34" s="49"/>
      <c r="D34" s="49"/>
      <c r="E34" s="49"/>
      <c r="F34" s="49"/>
      <c r="G34" s="49"/>
      <c r="H34" s="49"/>
      <c r="I34" s="49"/>
      <c r="J34" s="49"/>
      <c r="K34" s="49"/>
      <c r="L34" s="49"/>
    </row>
    <row r="35" spans="1:12" x14ac:dyDescent="0.2">
      <c r="A35" s="52" t="s">
        <v>34</v>
      </c>
      <c r="B35" s="50">
        <f t="shared" ref="B35:L35" si="5">B12+B22+B33</f>
        <v>5663</v>
      </c>
      <c r="C35" s="50">
        <f t="shared" si="5"/>
        <v>17377</v>
      </c>
      <c r="D35" s="50">
        <f t="shared" si="5"/>
        <v>-2982</v>
      </c>
      <c r="E35" s="50">
        <f t="shared" si="5"/>
        <v>3925</v>
      </c>
      <c r="F35" s="50">
        <f t="shared" si="5"/>
        <v>-219</v>
      </c>
      <c r="G35" s="50">
        <f t="shared" si="5"/>
        <v>-3242</v>
      </c>
      <c r="H35" s="50">
        <f t="shared" si="5"/>
        <v>-708</v>
      </c>
      <c r="I35" s="50">
        <f t="shared" si="5"/>
        <v>374</v>
      </c>
      <c r="J35" s="50">
        <f t="shared" si="5"/>
        <v>1353</v>
      </c>
      <c r="K35" s="50">
        <f t="shared" si="5"/>
        <v>7309</v>
      </c>
      <c r="L35" s="50">
        <f t="shared" si="5"/>
        <v>2659</v>
      </c>
    </row>
    <row r="36" spans="1:12" x14ac:dyDescent="0.2">
      <c r="A36" s="51"/>
      <c r="B36" s="49"/>
      <c r="C36" s="49"/>
      <c r="D36" s="49"/>
      <c r="E36" s="49"/>
      <c r="F36" s="49"/>
      <c r="G36" s="49"/>
      <c r="H36" s="49"/>
      <c r="I36" s="49"/>
      <c r="J36" s="49"/>
      <c r="K36" s="49"/>
      <c r="L36" s="49"/>
    </row>
    <row r="37" spans="1:12" ht="25.5" x14ac:dyDescent="0.2">
      <c r="A37" s="51" t="s">
        <v>143</v>
      </c>
      <c r="B37" s="49">
        <v>1094</v>
      </c>
      <c r="C37" s="49">
        <v>952</v>
      </c>
      <c r="D37" s="49">
        <v>3810</v>
      </c>
      <c r="E37" s="49">
        <v>891</v>
      </c>
      <c r="F37" s="49">
        <v>4855</v>
      </c>
      <c r="G37" s="49">
        <v>4742</v>
      </c>
      <c r="H37" s="49">
        <v>1527</v>
      </c>
      <c r="I37" s="49">
        <v>1053</v>
      </c>
      <c r="J37" s="49">
        <v>1664</v>
      </c>
      <c r="K37" s="49">
        <v>3601</v>
      </c>
      <c r="L37" s="49">
        <v>10655</v>
      </c>
    </row>
    <row r="38" spans="1:12" ht="25.5" x14ac:dyDescent="0.2">
      <c r="A38" s="51" t="s">
        <v>193</v>
      </c>
      <c r="B38" s="49"/>
      <c r="C38" s="49"/>
      <c r="D38" s="49">
        <v>63</v>
      </c>
      <c r="E38" s="49">
        <v>39</v>
      </c>
      <c r="F38" s="49">
        <v>106</v>
      </c>
      <c r="G38" s="49">
        <v>27</v>
      </c>
      <c r="H38" s="49">
        <v>234</v>
      </c>
      <c r="I38" s="49">
        <v>237</v>
      </c>
      <c r="J38" s="49">
        <v>584</v>
      </c>
      <c r="K38" s="49">
        <v>-245</v>
      </c>
      <c r="L38" s="49">
        <v>550</v>
      </c>
    </row>
    <row r="39" spans="1:12" x14ac:dyDescent="0.2">
      <c r="A39" s="51"/>
      <c r="B39" s="49"/>
      <c r="C39" s="49"/>
      <c r="D39" s="49"/>
      <c r="E39" s="49"/>
      <c r="F39" s="49"/>
      <c r="G39" s="49"/>
      <c r="H39" s="49"/>
      <c r="I39" s="49"/>
      <c r="J39" s="49"/>
      <c r="K39" s="49"/>
      <c r="L39" s="49"/>
    </row>
    <row r="40" spans="1:12" ht="25.5" x14ac:dyDescent="0.2">
      <c r="A40" s="52" t="s">
        <v>144</v>
      </c>
      <c r="B40" s="49">
        <f t="shared" ref="B40:J40" si="6">B35+B37+B38</f>
        <v>6757</v>
      </c>
      <c r="C40" s="49">
        <f t="shared" si="6"/>
        <v>18329</v>
      </c>
      <c r="D40" s="49">
        <f t="shared" si="6"/>
        <v>891</v>
      </c>
      <c r="E40" s="49">
        <f t="shared" si="6"/>
        <v>4855</v>
      </c>
      <c r="F40" s="49">
        <f t="shared" si="6"/>
        <v>4742</v>
      </c>
      <c r="G40" s="49">
        <f t="shared" si="6"/>
        <v>1527</v>
      </c>
      <c r="H40" s="49">
        <f t="shared" si="6"/>
        <v>1053</v>
      </c>
      <c r="I40" s="49">
        <f t="shared" si="6"/>
        <v>1664</v>
      </c>
      <c r="J40" s="49">
        <f t="shared" si="6"/>
        <v>3601</v>
      </c>
      <c r="K40" s="49">
        <f>K35+K37+K38</f>
        <v>10665</v>
      </c>
      <c r="L40" s="49">
        <f>L35+L37+L38</f>
        <v>13864</v>
      </c>
    </row>
  </sheetData>
  <mergeCells count="1">
    <mergeCell ref="A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0FFA0"/>
  </sheetPr>
  <dimension ref="A1:A38"/>
  <sheetViews>
    <sheetView tabSelected="1" workbookViewId="0"/>
  </sheetViews>
  <sheetFormatPr defaultRowHeight="12.75" x14ac:dyDescent="0.2"/>
  <cols>
    <col min="1" max="1" width="121" style="87" customWidth="1"/>
    <col min="2" max="16384" width="9.140625" style="89"/>
  </cols>
  <sheetData>
    <row r="1" spans="1:1" ht="15" x14ac:dyDescent="0.2">
      <c r="A1" s="88" t="s">
        <v>200</v>
      </c>
    </row>
    <row r="4" spans="1:1" x14ac:dyDescent="0.2">
      <c r="A4" s="90" t="s">
        <v>84</v>
      </c>
    </row>
    <row r="5" spans="1:1" ht="89.25" x14ac:dyDescent="0.2">
      <c r="A5" s="87" t="s">
        <v>158</v>
      </c>
    </row>
    <row r="8" spans="1:1" x14ac:dyDescent="0.2">
      <c r="A8" s="90" t="s">
        <v>118</v>
      </c>
    </row>
    <row r="9" spans="1:1" ht="25.5" x14ac:dyDescent="0.2">
      <c r="A9" s="87" t="s">
        <v>160</v>
      </c>
    </row>
    <row r="11" spans="1:1" x14ac:dyDescent="0.2">
      <c r="A11" s="90" t="s">
        <v>119</v>
      </c>
    </row>
    <row r="12" spans="1:1" x14ac:dyDescent="0.2">
      <c r="A12" s="87" t="s">
        <v>296</v>
      </c>
    </row>
    <row r="14" spans="1:1" x14ac:dyDescent="0.2">
      <c r="A14" s="90" t="s">
        <v>120</v>
      </c>
    </row>
    <row r="15" spans="1:1" ht="76.5" x14ac:dyDescent="0.2">
      <c r="A15" s="87" t="s">
        <v>161</v>
      </c>
    </row>
    <row r="17" spans="1:1" x14ac:dyDescent="0.2">
      <c r="A17" s="90" t="s">
        <v>297</v>
      </c>
    </row>
    <row r="18" spans="1:1" x14ac:dyDescent="0.2">
      <c r="A18" s="87" t="s">
        <v>298</v>
      </c>
    </row>
    <row r="21" spans="1:1" x14ac:dyDescent="0.2">
      <c r="A21" s="90" t="s">
        <v>127</v>
      </c>
    </row>
    <row r="22" spans="1:1" ht="178.5" x14ac:dyDescent="0.2">
      <c r="A22" s="87" t="s">
        <v>159</v>
      </c>
    </row>
    <row r="25" spans="1:1" x14ac:dyDescent="0.2">
      <c r="A25" s="90" t="s">
        <v>121</v>
      </c>
    </row>
    <row r="26" spans="1:1" ht="90" customHeight="1" x14ac:dyDescent="0.2">
      <c r="A26" s="87" t="s">
        <v>157</v>
      </c>
    </row>
    <row r="29" spans="1:1" x14ac:dyDescent="0.2">
      <c r="A29" s="91" t="s">
        <v>300</v>
      </c>
    </row>
    <row r="30" spans="1:1" ht="130.5" customHeight="1" x14ac:dyDescent="0.2">
      <c r="A30" s="87" t="s">
        <v>299</v>
      </c>
    </row>
    <row r="31" spans="1:1" x14ac:dyDescent="0.2">
      <c r="A31" s="92"/>
    </row>
    <row r="33" spans="1:1" x14ac:dyDescent="0.2">
      <c r="A33" s="90" t="s">
        <v>122</v>
      </c>
    </row>
    <row r="34" spans="1:1" ht="25.5" x14ac:dyDescent="0.2">
      <c r="A34" s="87" t="s">
        <v>156</v>
      </c>
    </row>
    <row r="37" spans="1:1" x14ac:dyDescent="0.2">
      <c r="A37" s="90" t="s">
        <v>147</v>
      </c>
    </row>
    <row r="38" spans="1:1" ht="69" customHeight="1" x14ac:dyDescent="0.2">
      <c r="A38" s="87" t="s">
        <v>295</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32"/>
  </sheetPr>
  <dimension ref="A1:AT60"/>
  <sheetViews>
    <sheetView topLeftCell="A4" zoomScaleNormal="100" workbookViewId="0">
      <pane xSplit="2" ySplit="2" topLeftCell="C6" activePane="bottomRight" state="frozen"/>
      <selection activeCell="A4" sqref="A4"/>
      <selection pane="topRight" activeCell="C4" sqref="C4"/>
      <selection pane="bottomLeft" activeCell="A6" sqref="A6"/>
      <selection pane="bottomRight" activeCell="A4" sqref="A4"/>
    </sheetView>
  </sheetViews>
  <sheetFormatPr defaultRowHeight="15" x14ac:dyDescent="0.2"/>
  <cols>
    <col min="1" max="1" width="23.7109375" style="19" customWidth="1"/>
    <col min="2" max="2" width="8.7109375" style="19" customWidth="1"/>
    <col min="3" max="17" width="30.7109375" style="18" customWidth="1"/>
    <col min="18" max="29" width="38.7109375" style="18" customWidth="1"/>
    <col min="30" max="33" width="37.7109375" style="18" customWidth="1"/>
    <col min="34" max="37" width="38.7109375" style="18" customWidth="1"/>
    <col min="38" max="46" width="50.7109375" style="18" customWidth="1"/>
    <col min="47" max="16384" width="9.140625" style="18"/>
  </cols>
  <sheetData>
    <row r="1" spans="1:46" x14ac:dyDescent="0.2">
      <c r="A1" s="19" t="s">
        <v>116</v>
      </c>
    </row>
    <row r="3" spans="1:46" x14ac:dyDescent="0.2">
      <c r="A3" s="19" t="s">
        <v>115</v>
      </c>
    </row>
    <row r="5" spans="1:46" s="19" customFormat="1" x14ac:dyDescent="0.2">
      <c r="A5" s="71" t="s">
        <v>126</v>
      </c>
      <c r="B5" s="72"/>
      <c r="C5" s="109">
        <v>2007</v>
      </c>
      <c r="D5" s="110"/>
      <c r="E5" s="110"/>
      <c r="F5" s="110"/>
      <c r="G5" s="111"/>
      <c r="H5" s="109">
        <v>2008</v>
      </c>
      <c r="I5" s="110"/>
      <c r="J5" s="110"/>
      <c r="K5" s="110"/>
      <c r="L5" s="111"/>
      <c r="M5" s="109">
        <v>2009</v>
      </c>
      <c r="N5" s="110"/>
      <c r="O5" s="110"/>
      <c r="P5" s="110"/>
      <c r="Q5" s="111"/>
      <c r="R5" s="109">
        <v>2010</v>
      </c>
      <c r="S5" s="110"/>
      <c r="T5" s="110"/>
      <c r="U5" s="111"/>
      <c r="V5" s="109">
        <v>2011</v>
      </c>
      <c r="W5" s="110"/>
      <c r="X5" s="110"/>
      <c r="Y5" s="111"/>
      <c r="Z5" s="109">
        <v>2012</v>
      </c>
      <c r="AA5" s="110"/>
      <c r="AB5" s="110"/>
      <c r="AC5" s="111"/>
      <c r="AD5" s="109">
        <v>2013</v>
      </c>
      <c r="AE5" s="110"/>
      <c r="AF5" s="110"/>
      <c r="AG5" s="111"/>
      <c r="AH5" s="109">
        <v>2014</v>
      </c>
      <c r="AI5" s="110"/>
      <c r="AJ5" s="110"/>
      <c r="AK5" s="111"/>
      <c r="AL5" s="109">
        <v>2015</v>
      </c>
      <c r="AM5" s="110"/>
      <c r="AN5" s="111"/>
      <c r="AO5" s="109">
        <v>2016</v>
      </c>
      <c r="AP5" s="110"/>
      <c r="AQ5" s="111"/>
      <c r="AR5" s="130">
        <v>2017</v>
      </c>
      <c r="AS5" s="131"/>
      <c r="AT5" s="132"/>
    </row>
    <row r="6" spans="1:46" x14ac:dyDescent="0.2">
      <c r="A6" s="23" t="s">
        <v>125</v>
      </c>
      <c r="B6" s="24"/>
      <c r="C6" s="121" t="s">
        <v>207</v>
      </c>
      <c r="D6" s="122"/>
      <c r="E6" s="122"/>
      <c r="F6" s="122"/>
      <c r="G6" s="123"/>
      <c r="H6" s="121" t="s">
        <v>207</v>
      </c>
      <c r="I6" s="122"/>
      <c r="J6" s="122"/>
      <c r="K6" s="122"/>
      <c r="L6" s="123"/>
      <c r="M6" s="121" t="s">
        <v>207</v>
      </c>
      <c r="N6" s="122"/>
      <c r="O6" s="122"/>
      <c r="P6" s="122"/>
      <c r="Q6" s="123"/>
      <c r="R6" s="121" t="s">
        <v>222</v>
      </c>
      <c r="S6" s="122"/>
      <c r="T6" s="122"/>
      <c r="U6" s="123"/>
      <c r="V6" s="121" t="s">
        <v>222</v>
      </c>
      <c r="W6" s="122"/>
      <c r="X6" s="122"/>
      <c r="Y6" s="123"/>
      <c r="Z6" s="121" t="s">
        <v>237</v>
      </c>
      <c r="AA6" s="122"/>
      <c r="AB6" s="122"/>
      <c r="AC6" s="123"/>
      <c r="AD6" s="121" t="s">
        <v>237</v>
      </c>
      <c r="AE6" s="122"/>
      <c r="AF6" s="122"/>
      <c r="AG6" s="123"/>
      <c r="AH6" s="121" t="s">
        <v>237</v>
      </c>
      <c r="AI6" s="122"/>
      <c r="AJ6" s="122"/>
      <c r="AK6" s="123"/>
      <c r="AL6" s="121" t="s">
        <v>237</v>
      </c>
      <c r="AM6" s="122"/>
      <c r="AN6" s="123"/>
      <c r="AO6" s="121" t="s">
        <v>237</v>
      </c>
      <c r="AP6" s="122"/>
      <c r="AQ6" s="123"/>
      <c r="AR6" s="121" t="s">
        <v>284</v>
      </c>
      <c r="AS6" s="122"/>
      <c r="AT6" s="123"/>
    </row>
    <row r="7" spans="1:46" x14ac:dyDescent="0.2">
      <c r="A7" s="25" t="s">
        <v>123</v>
      </c>
      <c r="B7" s="26"/>
      <c r="C7" s="124" t="s">
        <v>208</v>
      </c>
      <c r="D7" s="125"/>
      <c r="E7" s="125"/>
      <c r="F7" s="125"/>
      <c r="G7" s="126"/>
      <c r="H7" s="124" t="s">
        <v>215</v>
      </c>
      <c r="I7" s="125"/>
      <c r="J7" s="125"/>
      <c r="K7" s="125"/>
      <c r="L7" s="126"/>
      <c r="M7" s="124" t="s">
        <v>215</v>
      </c>
      <c r="N7" s="125"/>
      <c r="O7" s="125"/>
      <c r="P7" s="125"/>
      <c r="Q7" s="126"/>
      <c r="R7" s="124" t="s">
        <v>215</v>
      </c>
      <c r="S7" s="125"/>
      <c r="T7" s="125"/>
      <c r="U7" s="126"/>
      <c r="V7" s="124" t="s">
        <v>215</v>
      </c>
      <c r="W7" s="125"/>
      <c r="X7" s="125"/>
      <c r="Y7" s="126"/>
      <c r="Z7" s="124" t="s">
        <v>236</v>
      </c>
      <c r="AA7" s="125"/>
      <c r="AB7" s="125"/>
      <c r="AC7" s="126"/>
      <c r="AD7" s="124" t="s">
        <v>236</v>
      </c>
      <c r="AE7" s="125"/>
      <c r="AF7" s="125"/>
      <c r="AG7" s="126"/>
      <c r="AH7" s="124" t="s">
        <v>236</v>
      </c>
      <c r="AI7" s="125"/>
      <c r="AJ7" s="125"/>
      <c r="AK7" s="126"/>
      <c r="AL7" s="124" t="s">
        <v>236</v>
      </c>
      <c r="AM7" s="125"/>
      <c r="AN7" s="126"/>
      <c r="AO7" s="124" t="s">
        <v>276</v>
      </c>
      <c r="AP7" s="125"/>
      <c r="AQ7" s="126"/>
      <c r="AR7" s="124" t="s">
        <v>276</v>
      </c>
      <c r="AS7" s="125"/>
      <c r="AT7" s="126"/>
    </row>
    <row r="8" spans="1:46" x14ac:dyDescent="0.2">
      <c r="A8" s="29" t="s">
        <v>124</v>
      </c>
      <c r="B8" s="30"/>
      <c r="C8" s="118" t="s">
        <v>209</v>
      </c>
      <c r="D8" s="119"/>
      <c r="E8" s="119"/>
      <c r="F8" s="119"/>
      <c r="G8" s="120"/>
      <c r="H8" s="118" t="s">
        <v>209</v>
      </c>
      <c r="I8" s="119"/>
      <c r="J8" s="119"/>
      <c r="K8" s="119"/>
      <c r="L8" s="120"/>
      <c r="M8" s="118" t="s">
        <v>209</v>
      </c>
      <c r="N8" s="119"/>
      <c r="O8" s="119"/>
      <c r="P8" s="119"/>
      <c r="Q8" s="120"/>
      <c r="R8" s="118" t="s">
        <v>209</v>
      </c>
      <c r="S8" s="119"/>
      <c r="T8" s="119"/>
      <c r="U8" s="120"/>
      <c r="V8" s="118" t="s">
        <v>209</v>
      </c>
      <c r="W8" s="119"/>
      <c r="X8" s="119"/>
      <c r="Y8" s="120"/>
      <c r="Z8" s="118" t="s">
        <v>238</v>
      </c>
      <c r="AA8" s="119"/>
      <c r="AB8" s="119"/>
      <c r="AC8" s="120"/>
      <c r="AD8" s="118" t="s">
        <v>238</v>
      </c>
      <c r="AE8" s="119"/>
      <c r="AF8" s="119"/>
      <c r="AG8" s="120"/>
      <c r="AH8" s="118" t="s">
        <v>238</v>
      </c>
      <c r="AI8" s="119"/>
      <c r="AJ8" s="119"/>
      <c r="AK8" s="120"/>
      <c r="AL8" s="118" t="s">
        <v>238</v>
      </c>
      <c r="AM8" s="119"/>
      <c r="AN8" s="120"/>
      <c r="AO8" s="118" t="s">
        <v>238</v>
      </c>
      <c r="AP8" s="119"/>
      <c r="AQ8" s="120"/>
      <c r="AR8" s="118" t="s">
        <v>285</v>
      </c>
      <c r="AS8" s="119"/>
      <c r="AT8" s="120"/>
    </row>
    <row r="9" spans="1:46" x14ac:dyDescent="0.2">
      <c r="A9" s="23"/>
      <c r="B9" s="24"/>
      <c r="C9" s="31"/>
      <c r="D9" s="32"/>
      <c r="E9" s="32"/>
      <c r="F9" s="32"/>
      <c r="G9" s="33"/>
      <c r="H9" s="32"/>
      <c r="I9" s="32"/>
      <c r="J9" s="32"/>
      <c r="K9" s="32"/>
      <c r="L9" s="32"/>
      <c r="M9" s="31"/>
      <c r="N9" s="32"/>
      <c r="O9" s="32"/>
      <c r="P9" s="32"/>
      <c r="Q9" s="33"/>
      <c r="R9" s="32"/>
      <c r="S9" s="32"/>
      <c r="T9" s="32"/>
      <c r="U9" s="32"/>
      <c r="V9" s="31"/>
      <c r="W9" s="32"/>
      <c r="X9" s="32"/>
      <c r="Y9" s="33"/>
      <c r="Z9" s="32"/>
      <c r="AA9" s="32"/>
      <c r="AB9" s="32"/>
      <c r="AC9" s="32"/>
      <c r="AD9" s="31"/>
      <c r="AE9" s="32"/>
      <c r="AF9" s="32"/>
      <c r="AG9" s="33"/>
      <c r="AH9" s="31"/>
      <c r="AI9" s="32"/>
      <c r="AJ9" s="32"/>
      <c r="AK9" s="33"/>
      <c r="AL9" s="31"/>
      <c r="AM9" s="32"/>
      <c r="AN9" s="33"/>
      <c r="AO9" s="32"/>
      <c r="AP9" s="32"/>
      <c r="AQ9" s="32"/>
      <c r="AR9" s="31"/>
      <c r="AS9" s="32"/>
      <c r="AT9" s="33"/>
    </row>
    <row r="10" spans="1:46" x14ac:dyDescent="0.2">
      <c r="A10" s="34" t="s">
        <v>114</v>
      </c>
      <c r="B10" s="35"/>
      <c r="C10" s="36"/>
      <c r="D10" s="37"/>
      <c r="E10" s="37"/>
      <c r="F10" s="37"/>
      <c r="G10" s="38"/>
      <c r="H10" s="37"/>
      <c r="I10" s="37"/>
      <c r="J10" s="37"/>
      <c r="K10" s="37"/>
      <c r="L10" s="37"/>
      <c r="M10" s="36"/>
      <c r="N10" s="37"/>
      <c r="O10" s="37"/>
      <c r="P10" s="37"/>
      <c r="Q10" s="38"/>
      <c r="R10" s="37"/>
      <c r="S10" s="37"/>
      <c r="T10" s="37"/>
      <c r="U10" s="37"/>
      <c r="V10" s="36"/>
      <c r="W10" s="37"/>
      <c r="X10" s="37"/>
      <c r="Y10" s="38"/>
      <c r="Z10" s="37"/>
      <c r="AA10" s="37"/>
      <c r="AB10" s="37"/>
      <c r="AC10" s="37"/>
      <c r="AD10" s="36"/>
      <c r="AE10" s="37"/>
      <c r="AF10" s="37"/>
      <c r="AG10" s="38"/>
      <c r="AH10" s="36"/>
      <c r="AI10" s="37"/>
      <c r="AJ10" s="37"/>
      <c r="AK10" s="38"/>
      <c r="AL10" s="36"/>
      <c r="AM10" s="37"/>
      <c r="AN10" s="38"/>
      <c r="AO10" s="37"/>
      <c r="AP10" s="37"/>
      <c r="AQ10" s="37"/>
      <c r="AR10" s="36"/>
      <c r="AS10" s="37"/>
      <c r="AT10" s="38"/>
    </row>
    <row r="11" spans="1:46" s="54" customFormat="1" ht="31.5" customHeight="1" x14ac:dyDescent="0.2">
      <c r="A11" s="99" t="s">
        <v>113</v>
      </c>
      <c r="B11" s="100"/>
      <c r="C11" s="96" t="s">
        <v>201</v>
      </c>
      <c r="D11" s="94"/>
      <c r="E11" s="94"/>
      <c r="F11" s="94"/>
      <c r="G11" s="95"/>
      <c r="H11" s="96" t="s">
        <v>201</v>
      </c>
      <c r="I11" s="94"/>
      <c r="J11" s="94"/>
      <c r="K11" s="94"/>
      <c r="L11" s="95"/>
      <c r="M11" s="96" t="s">
        <v>201</v>
      </c>
      <c r="N11" s="94"/>
      <c r="O11" s="94"/>
      <c r="P11" s="94"/>
      <c r="Q11" s="95"/>
      <c r="R11" s="96" t="s">
        <v>232</v>
      </c>
      <c r="S11" s="94"/>
      <c r="T11" s="94"/>
      <c r="U11" s="95"/>
      <c r="V11" s="96" t="s">
        <v>231</v>
      </c>
      <c r="W11" s="94"/>
      <c r="X11" s="94"/>
      <c r="Y11" s="95"/>
      <c r="Z11" s="96" t="s">
        <v>231</v>
      </c>
      <c r="AA11" s="94"/>
      <c r="AB11" s="94"/>
      <c r="AC11" s="94"/>
      <c r="AD11" s="112" t="s">
        <v>231</v>
      </c>
      <c r="AE11" s="113"/>
      <c r="AF11" s="113"/>
      <c r="AG11" s="114"/>
      <c r="AH11" s="115" t="s">
        <v>252</v>
      </c>
      <c r="AI11" s="116"/>
      <c r="AJ11" s="116"/>
      <c r="AK11" s="117"/>
      <c r="AL11" s="96" t="s">
        <v>275</v>
      </c>
      <c r="AM11" s="94"/>
      <c r="AN11" s="95"/>
      <c r="AO11" s="96" t="s">
        <v>274</v>
      </c>
      <c r="AP11" s="94"/>
      <c r="AQ11" s="95"/>
      <c r="AR11" s="96" t="s">
        <v>283</v>
      </c>
      <c r="AS11" s="94"/>
      <c r="AT11" s="95"/>
    </row>
    <row r="12" spans="1:46" s="54" customFormat="1" ht="225" customHeight="1" x14ac:dyDescent="0.2">
      <c r="A12" s="97" t="s">
        <v>154</v>
      </c>
      <c r="B12" s="98"/>
      <c r="C12" s="57" t="s">
        <v>202</v>
      </c>
      <c r="D12" s="58" t="s">
        <v>203</v>
      </c>
      <c r="E12" s="58" t="s">
        <v>204</v>
      </c>
      <c r="F12" s="58" t="s">
        <v>205</v>
      </c>
      <c r="G12" s="59" t="s">
        <v>206</v>
      </c>
      <c r="H12" s="58"/>
      <c r="I12" s="58"/>
      <c r="J12" s="58"/>
      <c r="K12" s="58"/>
      <c r="L12" s="58"/>
      <c r="M12" s="57"/>
      <c r="N12" s="58"/>
      <c r="O12" s="58"/>
      <c r="P12" s="58"/>
      <c r="Q12" s="59"/>
      <c r="R12" s="58" t="s">
        <v>226</v>
      </c>
      <c r="S12" s="58" t="s">
        <v>227</v>
      </c>
      <c r="T12" s="58" t="s">
        <v>228</v>
      </c>
      <c r="U12" s="58" t="s">
        <v>229</v>
      </c>
      <c r="V12" s="58" t="s">
        <v>226</v>
      </c>
      <c r="W12" s="58" t="s">
        <v>227</v>
      </c>
      <c r="X12" s="58" t="s">
        <v>228</v>
      </c>
      <c r="Y12" s="58" t="s">
        <v>229</v>
      </c>
      <c r="Z12" s="58" t="s">
        <v>226</v>
      </c>
      <c r="AA12" s="58" t="s">
        <v>227</v>
      </c>
      <c r="AB12" s="58" t="s">
        <v>228</v>
      </c>
      <c r="AC12" s="58" t="s">
        <v>229</v>
      </c>
      <c r="AD12" s="57" t="s">
        <v>240</v>
      </c>
      <c r="AE12" s="58" t="s">
        <v>241</v>
      </c>
      <c r="AF12" s="58" t="s">
        <v>244</v>
      </c>
      <c r="AG12" s="59" t="s">
        <v>245</v>
      </c>
      <c r="AH12" s="57" t="s">
        <v>248</v>
      </c>
      <c r="AI12" s="58" t="s">
        <v>249</v>
      </c>
      <c r="AJ12" s="58" t="s">
        <v>250</v>
      </c>
      <c r="AK12" s="59" t="s">
        <v>251</v>
      </c>
      <c r="AL12" s="57" t="s">
        <v>265</v>
      </c>
      <c r="AM12" s="58" t="s">
        <v>267</v>
      </c>
      <c r="AN12" s="59" t="s">
        <v>269</v>
      </c>
      <c r="AO12" s="57" t="s">
        <v>265</v>
      </c>
      <c r="AP12" s="58" t="s">
        <v>267</v>
      </c>
      <c r="AQ12" s="59" t="s">
        <v>269</v>
      </c>
      <c r="AR12" s="57" t="s">
        <v>265</v>
      </c>
      <c r="AS12" s="58" t="s">
        <v>267</v>
      </c>
      <c r="AT12" s="59" t="s">
        <v>269</v>
      </c>
    </row>
    <row r="13" spans="1:46" s="54" customFormat="1" ht="232.5" customHeight="1" x14ac:dyDescent="0.2">
      <c r="A13" s="55"/>
      <c r="B13" s="56" t="s">
        <v>104</v>
      </c>
      <c r="C13" s="57"/>
      <c r="D13" s="58"/>
      <c r="E13" s="58"/>
      <c r="F13" s="58"/>
      <c r="G13" s="59"/>
      <c r="H13" s="58"/>
      <c r="I13" s="58"/>
      <c r="J13" s="58"/>
      <c r="K13" s="58"/>
      <c r="L13" s="58"/>
      <c r="M13" s="57"/>
      <c r="N13" s="58"/>
      <c r="O13" s="58"/>
      <c r="P13" s="58"/>
      <c r="Q13" s="59"/>
      <c r="R13" s="58"/>
      <c r="S13" s="58"/>
      <c r="T13" s="58"/>
      <c r="U13" s="58"/>
      <c r="V13" s="57"/>
      <c r="W13" s="58"/>
      <c r="X13" s="58"/>
      <c r="Y13" s="59"/>
      <c r="Z13" s="58"/>
      <c r="AA13" s="58"/>
      <c r="AB13" s="58"/>
      <c r="AC13" s="58"/>
      <c r="AD13" s="57" t="s">
        <v>242</v>
      </c>
      <c r="AE13" s="58" t="s">
        <v>243</v>
      </c>
      <c r="AF13" s="58" t="s">
        <v>246</v>
      </c>
      <c r="AG13" s="59" t="s">
        <v>305</v>
      </c>
      <c r="AH13" s="58" t="s">
        <v>262</v>
      </c>
      <c r="AI13" s="58" t="s">
        <v>263</v>
      </c>
      <c r="AJ13" s="58" t="s">
        <v>261</v>
      </c>
      <c r="AK13" s="58" t="s">
        <v>260</v>
      </c>
      <c r="AL13" s="57" t="s">
        <v>266</v>
      </c>
      <c r="AM13" s="58" t="s">
        <v>268</v>
      </c>
      <c r="AN13" s="59" t="s">
        <v>270</v>
      </c>
      <c r="AO13" s="57" t="s">
        <v>277</v>
      </c>
      <c r="AP13" s="58" t="s">
        <v>278</v>
      </c>
      <c r="AQ13" s="59" t="s">
        <v>279</v>
      </c>
      <c r="AR13" s="57" t="s">
        <v>286</v>
      </c>
      <c r="AS13" s="58" t="s">
        <v>287</v>
      </c>
      <c r="AT13" s="59" t="s">
        <v>288</v>
      </c>
    </row>
    <row r="14" spans="1:46" s="54" customFormat="1" ht="248.25" customHeight="1" x14ac:dyDescent="0.2">
      <c r="A14" s="55"/>
      <c r="B14" s="56" t="s">
        <v>103</v>
      </c>
      <c r="C14" s="57"/>
      <c r="D14" s="58"/>
      <c r="E14" s="58"/>
      <c r="F14" s="58"/>
      <c r="G14" s="59"/>
      <c r="H14" s="58"/>
      <c r="I14" s="58"/>
      <c r="J14" s="58"/>
      <c r="K14" s="58"/>
      <c r="L14" s="58"/>
      <c r="M14" s="57"/>
      <c r="N14" s="58"/>
      <c r="O14" s="58"/>
      <c r="P14" s="58"/>
      <c r="Q14" s="59"/>
      <c r="R14" s="58"/>
      <c r="S14" s="58"/>
      <c r="T14" s="58"/>
      <c r="U14" s="58"/>
      <c r="V14" s="57"/>
      <c r="W14" s="58"/>
      <c r="X14" s="58"/>
      <c r="Y14" s="59"/>
      <c r="Z14" s="58"/>
      <c r="AA14" s="58"/>
      <c r="AB14" s="58"/>
      <c r="AC14" s="58"/>
      <c r="AD14" s="57" t="s">
        <v>257</v>
      </c>
      <c r="AE14" s="58" t="s">
        <v>258</v>
      </c>
      <c r="AF14" s="58" t="s">
        <v>259</v>
      </c>
      <c r="AG14" s="59" t="s">
        <v>306</v>
      </c>
      <c r="AH14" s="58" t="s">
        <v>253</v>
      </c>
      <c r="AI14" s="58" t="s">
        <v>254</v>
      </c>
      <c r="AJ14" s="58" t="s">
        <v>255</v>
      </c>
      <c r="AK14" s="58" t="s">
        <v>256</v>
      </c>
      <c r="AL14" s="57" t="s">
        <v>271</v>
      </c>
      <c r="AM14" s="58" t="s">
        <v>310</v>
      </c>
      <c r="AN14" s="59" t="s">
        <v>272</v>
      </c>
      <c r="AO14" s="58" t="s">
        <v>280</v>
      </c>
      <c r="AP14" s="58" t="s">
        <v>281</v>
      </c>
      <c r="AQ14" s="58" t="s">
        <v>282</v>
      </c>
      <c r="AR14" s="57" t="s">
        <v>289</v>
      </c>
      <c r="AS14" s="58" t="s">
        <v>290</v>
      </c>
      <c r="AT14" s="59" t="s">
        <v>291</v>
      </c>
    </row>
    <row r="15" spans="1:46" s="54" customFormat="1" x14ac:dyDescent="0.2">
      <c r="A15" s="55"/>
      <c r="B15" s="56"/>
      <c r="C15" s="57"/>
      <c r="D15" s="58"/>
      <c r="E15" s="58"/>
      <c r="F15" s="58"/>
      <c r="G15" s="59"/>
      <c r="H15" s="58"/>
      <c r="I15" s="58"/>
      <c r="J15" s="58"/>
      <c r="K15" s="58"/>
      <c r="L15" s="58"/>
      <c r="M15" s="57"/>
      <c r="N15" s="58"/>
      <c r="O15" s="58"/>
      <c r="P15" s="58"/>
      <c r="Q15" s="59"/>
      <c r="R15" s="58"/>
      <c r="S15" s="58"/>
      <c r="T15" s="58"/>
      <c r="U15" s="58"/>
      <c r="V15" s="57"/>
      <c r="W15" s="58"/>
      <c r="X15" s="58"/>
      <c r="Y15" s="59"/>
      <c r="Z15" s="58"/>
      <c r="AA15" s="58"/>
      <c r="AB15" s="58"/>
      <c r="AC15" s="58"/>
      <c r="AD15" s="57"/>
      <c r="AE15" s="58"/>
      <c r="AF15" s="58"/>
      <c r="AG15" s="59"/>
      <c r="AH15" s="58"/>
      <c r="AI15" s="58"/>
      <c r="AJ15" s="58"/>
      <c r="AK15" s="58"/>
      <c r="AL15" s="57"/>
      <c r="AM15" s="58"/>
      <c r="AN15" s="59"/>
      <c r="AO15" s="58"/>
      <c r="AP15" s="58"/>
      <c r="AQ15" s="58"/>
      <c r="AR15" s="57"/>
      <c r="AS15" s="58"/>
      <c r="AT15" s="59"/>
    </row>
    <row r="16" spans="1:46" s="54" customFormat="1" x14ac:dyDescent="0.2">
      <c r="A16" s="55"/>
      <c r="B16" s="56"/>
      <c r="C16" s="57"/>
      <c r="D16" s="58"/>
      <c r="E16" s="58"/>
      <c r="F16" s="58"/>
      <c r="G16" s="59"/>
      <c r="H16" s="58"/>
      <c r="I16" s="58"/>
      <c r="J16" s="58"/>
      <c r="K16" s="58"/>
      <c r="L16" s="58"/>
      <c r="M16" s="57"/>
      <c r="N16" s="58"/>
      <c r="O16" s="58"/>
      <c r="P16" s="58"/>
      <c r="Q16" s="59"/>
      <c r="R16" s="58"/>
      <c r="S16" s="58"/>
      <c r="T16" s="58"/>
      <c r="U16" s="58"/>
      <c r="V16" s="57"/>
      <c r="W16" s="58"/>
      <c r="X16" s="58"/>
      <c r="Y16" s="59"/>
      <c r="Z16" s="58"/>
      <c r="AA16" s="58"/>
      <c r="AB16" s="58"/>
      <c r="AC16" s="58"/>
      <c r="AD16" s="57"/>
      <c r="AE16" s="58"/>
      <c r="AF16" s="58"/>
      <c r="AG16" s="59"/>
      <c r="AH16" s="58"/>
      <c r="AI16" s="58"/>
      <c r="AJ16" s="58"/>
      <c r="AK16" s="58"/>
      <c r="AL16" s="57"/>
      <c r="AM16" s="58"/>
      <c r="AN16" s="59"/>
      <c r="AO16" s="58"/>
      <c r="AP16" s="58"/>
      <c r="AQ16" s="58"/>
      <c r="AR16" s="57"/>
      <c r="AS16" s="58"/>
      <c r="AT16" s="59"/>
    </row>
    <row r="17" spans="1:46" x14ac:dyDescent="0.2">
      <c r="A17" s="27" t="s">
        <v>117</v>
      </c>
      <c r="B17" s="28"/>
      <c r="C17" s="96" t="s">
        <v>212</v>
      </c>
      <c r="D17" s="94"/>
      <c r="E17" s="94"/>
      <c r="F17" s="94"/>
      <c r="G17" s="95"/>
      <c r="H17" s="94"/>
      <c r="I17" s="94"/>
      <c r="J17" s="94"/>
      <c r="K17" s="94"/>
      <c r="L17" s="94"/>
      <c r="M17" s="96"/>
      <c r="N17" s="94"/>
      <c r="O17" s="94"/>
      <c r="P17" s="94"/>
      <c r="Q17" s="95"/>
      <c r="R17" s="101"/>
      <c r="S17" s="101"/>
      <c r="T17" s="101"/>
      <c r="U17" s="101"/>
      <c r="V17" s="102"/>
      <c r="W17" s="101"/>
      <c r="X17" s="101"/>
      <c r="Y17" s="103"/>
      <c r="Z17" s="101"/>
      <c r="AA17" s="101"/>
      <c r="AB17" s="101"/>
      <c r="AC17" s="101"/>
      <c r="AD17" s="102"/>
      <c r="AE17" s="101"/>
      <c r="AF17" s="101"/>
      <c r="AG17" s="103"/>
      <c r="AH17" s="21"/>
      <c r="AI17" s="21"/>
      <c r="AJ17" s="21"/>
      <c r="AK17" s="21"/>
      <c r="AL17" s="20"/>
      <c r="AM17" s="21"/>
      <c r="AN17" s="22"/>
      <c r="AO17" s="21"/>
      <c r="AP17" s="21"/>
      <c r="AQ17" s="21"/>
      <c r="AR17" s="20"/>
      <c r="AS17" s="21"/>
      <c r="AT17" s="22"/>
    </row>
    <row r="18" spans="1:46" x14ac:dyDescent="0.2">
      <c r="A18" s="106" t="s">
        <v>152</v>
      </c>
      <c r="B18" s="107"/>
      <c r="C18" s="46"/>
      <c r="D18" s="47"/>
      <c r="E18" s="47"/>
      <c r="F18" s="47"/>
      <c r="G18" s="48"/>
      <c r="H18" s="47"/>
      <c r="I18" s="47"/>
      <c r="J18" s="47"/>
      <c r="K18" s="47"/>
      <c r="L18" s="47"/>
      <c r="M18" s="46"/>
      <c r="N18" s="47"/>
      <c r="O18" s="47"/>
      <c r="P18" s="47"/>
      <c r="Q18" s="48"/>
      <c r="R18" s="47"/>
      <c r="S18" s="47"/>
      <c r="T18" s="47"/>
      <c r="U18" s="47"/>
      <c r="V18" s="46"/>
      <c r="W18" s="47"/>
      <c r="X18" s="47"/>
      <c r="Y18" s="48"/>
      <c r="Z18" s="47"/>
      <c r="AA18" s="47"/>
      <c r="AB18" s="47"/>
      <c r="AC18" s="47"/>
      <c r="AD18" s="46"/>
      <c r="AE18" s="47"/>
      <c r="AF18" s="47"/>
      <c r="AG18" s="48"/>
      <c r="AH18" s="47"/>
      <c r="AI18" s="47"/>
      <c r="AJ18" s="47"/>
      <c r="AK18" s="47"/>
      <c r="AL18" s="46"/>
      <c r="AM18" s="47"/>
      <c r="AN18" s="48"/>
      <c r="AO18" s="47"/>
      <c r="AP18" s="47"/>
      <c r="AQ18" s="47"/>
      <c r="AR18" s="46"/>
      <c r="AS18" s="47"/>
      <c r="AT18" s="48"/>
    </row>
    <row r="19" spans="1:46" ht="324" customHeight="1" x14ac:dyDescent="0.2">
      <c r="A19" s="104" t="s">
        <v>152</v>
      </c>
      <c r="B19" s="105"/>
      <c r="C19" s="96" t="s">
        <v>213</v>
      </c>
      <c r="D19" s="94"/>
      <c r="E19" s="94"/>
      <c r="F19" s="94"/>
      <c r="G19" s="95"/>
      <c r="H19" s="96" t="s">
        <v>216</v>
      </c>
      <c r="I19" s="94"/>
      <c r="J19" s="94"/>
      <c r="K19" s="94"/>
      <c r="L19" s="95"/>
      <c r="M19" s="96" t="s">
        <v>221</v>
      </c>
      <c r="N19" s="94"/>
      <c r="O19" s="94"/>
      <c r="P19" s="94"/>
      <c r="Q19" s="95"/>
      <c r="R19" s="96" t="s">
        <v>233</v>
      </c>
      <c r="S19" s="94"/>
      <c r="T19" s="94"/>
      <c r="U19" s="95"/>
      <c r="V19" s="96" t="s">
        <v>234</v>
      </c>
      <c r="W19" s="94"/>
      <c r="X19" s="94"/>
      <c r="Y19" s="95"/>
      <c r="Z19" s="96" t="s">
        <v>303</v>
      </c>
      <c r="AA19" s="94"/>
      <c r="AB19" s="94"/>
      <c r="AC19" s="94"/>
      <c r="AD19" s="96" t="s">
        <v>304</v>
      </c>
      <c r="AE19" s="94"/>
      <c r="AF19" s="94"/>
      <c r="AG19" s="95"/>
      <c r="AH19" s="94" t="s">
        <v>264</v>
      </c>
      <c r="AI19" s="94"/>
      <c r="AJ19" s="94"/>
      <c r="AK19" s="95"/>
      <c r="AL19" s="96" t="s">
        <v>151</v>
      </c>
      <c r="AM19" s="94"/>
      <c r="AN19" s="95"/>
      <c r="AO19" s="96" t="s">
        <v>151</v>
      </c>
      <c r="AP19" s="94"/>
      <c r="AQ19" s="95"/>
      <c r="AR19" s="96" t="s">
        <v>293</v>
      </c>
      <c r="AS19" s="94"/>
      <c r="AT19" s="95"/>
    </row>
    <row r="20" spans="1:46" ht="165" customHeight="1" x14ac:dyDescent="0.2">
      <c r="A20" s="104" t="s">
        <v>211</v>
      </c>
      <c r="B20" s="105"/>
      <c r="C20" s="96" t="s">
        <v>210</v>
      </c>
      <c r="D20" s="94"/>
      <c r="E20" s="94"/>
      <c r="F20" s="94"/>
      <c r="G20" s="95"/>
      <c r="H20" s="96"/>
      <c r="I20" s="94"/>
      <c r="J20" s="94"/>
      <c r="K20" s="94"/>
      <c r="L20" s="95"/>
      <c r="M20" s="96" t="s">
        <v>151</v>
      </c>
      <c r="N20" s="94"/>
      <c r="O20" s="94"/>
      <c r="P20" s="94"/>
      <c r="Q20" s="95"/>
      <c r="R20" s="96"/>
      <c r="S20" s="94"/>
      <c r="T20" s="94"/>
      <c r="U20" s="95"/>
      <c r="V20" s="96" t="s">
        <v>151</v>
      </c>
      <c r="W20" s="94"/>
      <c r="X20" s="94"/>
      <c r="Y20" s="95"/>
      <c r="Z20" s="96" t="s">
        <v>151</v>
      </c>
      <c r="AA20" s="94"/>
      <c r="AB20" s="94"/>
      <c r="AC20" s="94"/>
      <c r="AD20" s="96" t="s">
        <v>151</v>
      </c>
      <c r="AE20" s="94"/>
      <c r="AF20" s="94"/>
      <c r="AG20" s="95"/>
      <c r="AH20" s="94" t="s">
        <v>151</v>
      </c>
      <c r="AI20" s="94"/>
      <c r="AJ20" s="94"/>
      <c r="AK20" s="95"/>
      <c r="AL20" s="96" t="s">
        <v>151</v>
      </c>
      <c r="AM20" s="94"/>
      <c r="AN20" s="95"/>
      <c r="AO20" s="96" t="s">
        <v>151</v>
      </c>
      <c r="AP20" s="94"/>
      <c r="AQ20" s="95"/>
      <c r="AR20" s="96" t="s">
        <v>151</v>
      </c>
      <c r="AS20" s="94"/>
      <c r="AT20" s="95"/>
    </row>
    <row r="21" spans="1:46" s="54" customFormat="1" x14ac:dyDescent="0.2">
      <c r="A21" s="55"/>
      <c r="B21" s="56"/>
      <c r="C21" s="57"/>
      <c r="D21" s="58"/>
      <c r="E21" s="58"/>
      <c r="F21" s="58"/>
      <c r="G21" s="59"/>
      <c r="H21" s="58"/>
      <c r="I21" s="58"/>
      <c r="J21" s="58"/>
      <c r="K21" s="58"/>
      <c r="L21" s="58"/>
      <c r="M21" s="57"/>
      <c r="N21" s="58"/>
      <c r="O21" s="58"/>
      <c r="P21" s="58"/>
      <c r="Q21" s="59"/>
      <c r="R21" s="58"/>
      <c r="S21" s="58"/>
      <c r="T21" s="58"/>
      <c r="U21" s="58"/>
      <c r="V21" s="57"/>
      <c r="W21" s="58"/>
      <c r="X21" s="58"/>
      <c r="Y21" s="59"/>
      <c r="Z21" s="58"/>
      <c r="AA21" s="58"/>
      <c r="AB21" s="58"/>
      <c r="AC21" s="58"/>
      <c r="AD21" s="57"/>
      <c r="AE21" s="58"/>
      <c r="AF21" s="58"/>
      <c r="AG21" s="59"/>
      <c r="AH21" s="58"/>
      <c r="AI21" s="58"/>
      <c r="AJ21" s="58"/>
      <c r="AK21" s="58"/>
      <c r="AL21" s="57"/>
      <c r="AM21" s="58"/>
      <c r="AN21" s="59"/>
      <c r="AO21" s="58"/>
      <c r="AP21" s="58"/>
      <c r="AQ21" s="58"/>
      <c r="AR21" s="57"/>
      <c r="AS21" s="58"/>
      <c r="AT21" s="59"/>
    </row>
    <row r="22" spans="1:46" s="54" customFormat="1" x14ac:dyDescent="0.2">
      <c r="A22" s="55"/>
      <c r="B22" s="56"/>
      <c r="C22" s="57"/>
      <c r="D22" s="58"/>
      <c r="E22" s="58"/>
      <c r="F22" s="58"/>
      <c r="G22" s="59"/>
      <c r="H22" s="58"/>
      <c r="I22" s="58"/>
      <c r="J22" s="58"/>
      <c r="K22" s="58"/>
      <c r="L22" s="58"/>
      <c r="M22" s="57"/>
      <c r="N22" s="58"/>
      <c r="O22" s="58"/>
      <c r="P22" s="58"/>
      <c r="Q22" s="59"/>
      <c r="R22" s="58"/>
      <c r="S22" s="58"/>
      <c r="T22" s="58"/>
      <c r="U22" s="58"/>
      <c r="V22" s="57"/>
      <c r="W22" s="58"/>
      <c r="X22" s="58"/>
      <c r="Y22" s="59"/>
      <c r="Z22" s="58"/>
      <c r="AA22" s="58"/>
      <c r="AB22" s="58"/>
      <c r="AC22" s="58"/>
      <c r="AD22" s="57"/>
      <c r="AE22" s="58"/>
      <c r="AF22" s="58"/>
      <c r="AG22" s="59"/>
      <c r="AH22" s="58"/>
      <c r="AI22" s="58"/>
      <c r="AJ22" s="58"/>
      <c r="AK22" s="58"/>
      <c r="AL22" s="57"/>
      <c r="AM22" s="58"/>
      <c r="AN22" s="59"/>
      <c r="AO22" s="58"/>
      <c r="AP22" s="58"/>
      <c r="AQ22" s="58"/>
      <c r="AR22" s="57"/>
      <c r="AS22" s="58"/>
      <c r="AT22" s="59"/>
    </row>
    <row r="23" spans="1:46" s="54" customFormat="1" ht="289.5" customHeight="1" x14ac:dyDescent="0.2">
      <c r="A23" s="104" t="s">
        <v>148</v>
      </c>
      <c r="B23" s="105"/>
      <c r="C23" s="96" t="s">
        <v>214</v>
      </c>
      <c r="D23" s="94"/>
      <c r="E23" s="94"/>
      <c r="F23" s="94"/>
      <c r="G23" s="95"/>
      <c r="H23" s="96" t="s">
        <v>217</v>
      </c>
      <c r="I23" s="94"/>
      <c r="J23" s="94"/>
      <c r="K23" s="94"/>
      <c r="L23" s="95"/>
      <c r="M23" s="96" t="s">
        <v>219</v>
      </c>
      <c r="N23" s="94"/>
      <c r="O23" s="94"/>
      <c r="P23" s="94"/>
      <c r="Q23" s="95"/>
      <c r="R23" s="96" t="s">
        <v>230</v>
      </c>
      <c r="S23" s="94"/>
      <c r="T23" s="94"/>
      <c r="U23" s="95"/>
      <c r="V23" s="96" t="s">
        <v>235</v>
      </c>
      <c r="W23" s="94"/>
      <c r="X23" s="94"/>
      <c r="Y23" s="95"/>
      <c r="Z23" s="96" t="s">
        <v>239</v>
      </c>
      <c r="AA23" s="94"/>
      <c r="AB23" s="94"/>
      <c r="AC23" s="94"/>
      <c r="AD23" s="96" t="s">
        <v>247</v>
      </c>
      <c r="AE23" s="94"/>
      <c r="AF23" s="94"/>
      <c r="AG23" s="95"/>
      <c r="AH23" s="94" t="s">
        <v>307</v>
      </c>
      <c r="AI23" s="94"/>
      <c r="AJ23" s="94"/>
      <c r="AK23" s="95"/>
      <c r="AL23" s="96" t="s">
        <v>308</v>
      </c>
      <c r="AM23" s="94"/>
      <c r="AN23" s="95"/>
      <c r="AO23" s="96" t="s">
        <v>309</v>
      </c>
      <c r="AP23" s="94"/>
      <c r="AQ23" s="95"/>
      <c r="AR23" s="96" t="s">
        <v>292</v>
      </c>
      <c r="AS23" s="94"/>
      <c r="AT23" s="95"/>
    </row>
    <row r="24" spans="1:46" s="54" customFormat="1" ht="306.75" customHeight="1" x14ac:dyDescent="0.2">
      <c r="A24" s="104" t="s">
        <v>149</v>
      </c>
      <c r="B24" s="105"/>
      <c r="C24" s="96" t="s">
        <v>311</v>
      </c>
      <c r="D24" s="94"/>
      <c r="E24" s="94"/>
      <c r="F24" s="94"/>
      <c r="G24" s="95"/>
      <c r="H24" s="96" t="s">
        <v>313</v>
      </c>
      <c r="I24" s="94"/>
      <c r="J24" s="94"/>
      <c r="K24" s="94"/>
      <c r="L24" s="95"/>
      <c r="M24" s="96" t="s">
        <v>225</v>
      </c>
      <c r="N24" s="94"/>
      <c r="O24" s="94"/>
      <c r="P24" s="94"/>
      <c r="Q24" s="95"/>
      <c r="R24" s="96" t="s">
        <v>316</v>
      </c>
      <c r="S24" s="94"/>
      <c r="T24" s="94"/>
      <c r="U24" s="95"/>
      <c r="V24" s="96" t="s">
        <v>317</v>
      </c>
      <c r="W24" s="94"/>
      <c r="X24" s="94"/>
      <c r="Y24" s="95"/>
      <c r="Z24" s="96" t="s">
        <v>319</v>
      </c>
      <c r="AA24" s="94"/>
      <c r="AB24" s="94"/>
      <c r="AC24" s="94"/>
      <c r="AD24" s="96" t="s">
        <v>320</v>
      </c>
      <c r="AE24" s="94"/>
      <c r="AF24" s="94"/>
      <c r="AG24" s="95"/>
      <c r="AH24" s="94" t="s">
        <v>321</v>
      </c>
      <c r="AI24" s="94"/>
      <c r="AJ24" s="94"/>
      <c r="AK24" s="95"/>
      <c r="AL24" s="96" t="s">
        <v>322</v>
      </c>
      <c r="AM24" s="94"/>
      <c r="AN24" s="95"/>
      <c r="AO24" s="96" t="s">
        <v>323</v>
      </c>
      <c r="AP24" s="94"/>
      <c r="AQ24" s="95"/>
      <c r="AR24" s="96" t="s">
        <v>324</v>
      </c>
      <c r="AS24" s="94"/>
      <c r="AT24" s="95"/>
    </row>
    <row r="25" spans="1:46" s="54" customFormat="1" ht="162.75" customHeight="1" x14ac:dyDescent="0.2">
      <c r="A25" s="104" t="s">
        <v>150</v>
      </c>
      <c r="B25" s="105"/>
      <c r="C25" s="96" t="s">
        <v>312</v>
      </c>
      <c r="D25" s="94"/>
      <c r="E25" s="94"/>
      <c r="F25" s="94"/>
      <c r="G25" s="95"/>
      <c r="H25" s="96" t="s">
        <v>314</v>
      </c>
      <c r="I25" s="94"/>
      <c r="J25" s="94"/>
      <c r="K25" s="94"/>
      <c r="L25" s="95"/>
      <c r="M25" s="108" t="s">
        <v>224</v>
      </c>
      <c r="N25" s="94"/>
      <c r="O25" s="94"/>
      <c r="P25" s="94"/>
      <c r="Q25" s="95"/>
      <c r="R25" s="96" t="s">
        <v>315</v>
      </c>
      <c r="S25" s="94"/>
      <c r="T25" s="94"/>
      <c r="U25" s="95"/>
      <c r="V25" s="96" t="s">
        <v>318</v>
      </c>
      <c r="W25" s="94"/>
      <c r="X25" s="94"/>
      <c r="Y25" s="95"/>
      <c r="Z25" s="96" t="s">
        <v>151</v>
      </c>
      <c r="AA25" s="94"/>
      <c r="AB25" s="94"/>
      <c r="AC25" s="94"/>
      <c r="AD25" s="96"/>
      <c r="AE25" s="94"/>
      <c r="AF25" s="94"/>
      <c r="AG25" s="95"/>
      <c r="AH25" s="94" t="s">
        <v>151</v>
      </c>
      <c r="AI25" s="94"/>
      <c r="AJ25" s="94"/>
      <c r="AK25" s="95"/>
      <c r="AL25" s="96" t="s">
        <v>151</v>
      </c>
      <c r="AM25" s="94"/>
      <c r="AN25" s="95"/>
      <c r="AO25" s="96" t="s">
        <v>151</v>
      </c>
      <c r="AP25" s="94"/>
      <c r="AQ25" s="95"/>
      <c r="AR25" s="96" t="s">
        <v>151</v>
      </c>
      <c r="AS25" s="94"/>
      <c r="AT25" s="95"/>
    </row>
    <row r="26" spans="1:46" s="54" customFormat="1" x14ac:dyDescent="0.2">
      <c r="A26" s="55"/>
      <c r="B26" s="56"/>
      <c r="C26" s="57"/>
      <c r="D26" s="58"/>
      <c r="E26" s="58"/>
      <c r="F26" s="58"/>
      <c r="G26" s="59"/>
      <c r="H26" s="58"/>
      <c r="I26" s="58"/>
      <c r="J26" s="58"/>
      <c r="K26" s="58"/>
      <c r="L26" s="58"/>
      <c r="M26" s="57"/>
      <c r="N26" s="58"/>
      <c r="O26" s="58"/>
      <c r="P26" s="58"/>
      <c r="Q26" s="59"/>
      <c r="R26" s="58"/>
      <c r="S26" s="58"/>
      <c r="T26" s="58"/>
      <c r="U26" s="58"/>
      <c r="V26" s="57"/>
      <c r="W26" s="58"/>
      <c r="X26" s="58"/>
      <c r="Y26" s="59"/>
      <c r="Z26" s="58"/>
      <c r="AA26" s="58"/>
      <c r="AB26" s="58"/>
      <c r="AC26" s="58"/>
      <c r="AD26" s="57"/>
      <c r="AE26" s="58"/>
      <c r="AF26" s="58"/>
      <c r="AG26" s="59"/>
      <c r="AH26" s="58"/>
      <c r="AI26" s="58"/>
      <c r="AJ26" s="58"/>
      <c r="AK26" s="58"/>
      <c r="AL26" s="57"/>
      <c r="AM26" s="58"/>
      <c r="AN26" s="59"/>
      <c r="AO26" s="58"/>
      <c r="AP26" s="58"/>
      <c r="AQ26" s="58"/>
      <c r="AR26" s="57"/>
      <c r="AS26" s="58"/>
      <c r="AT26" s="59"/>
    </row>
    <row r="27" spans="1:46" s="54" customFormat="1" hidden="1" x14ac:dyDescent="0.2">
      <c r="A27" s="55"/>
      <c r="B27" s="56"/>
      <c r="C27" s="57"/>
      <c r="D27" s="58"/>
      <c r="E27" s="58"/>
      <c r="F27" s="58"/>
      <c r="G27" s="59"/>
      <c r="H27" s="58"/>
      <c r="I27" s="58"/>
      <c r="J27" s="58"/>
      <c r="K27" s="58"/>
      <c r="L27" s="58"/>
      <c r="M27" s="57"/>
      <c r="N27" s="58"/>
      <c r="O27" s="58"/>
      <c r="P27" s="58"/>
      <c r="Q27" s="59"/>
      <c r="R27" s="58"/>
      <c r="S27" s="58"/>
      <c r="T27" s="58"/>
      <c r="U27" s="58"/>
      <c r="V27" s="57"/>
      <c r="W27" s="58"/>
      <c r="X27" s="58"/>
      <c r="Y27" s="59"/>
      <c r="Z27" s="58"/>
      <c r="AA27" s="58"/>
      <c r="AB27" s="58"/>
      <c r="AC27" s="58"/>
      <c r="AD27" s="57"/>
      <c r="AE27" s="58"/>
      <c r="AF27" s="58"/>
      <c r="AG27" s="59"/>
      <c r="AH27" s="58"/>
      <c r="AI27" s="58"/>
      <c r="AJ27" s="58"/>
      <c r="AK27" s="58"/>
      <c r="AL27" s="57"/>
      <c r="AM27" s="58"/>
      <c r="AN27" s="59"/>
      <c r="AO27" s="58"/>
      <c r="AP27" s="58"/>
      <c r="AQ27" s="58"/>
      <c r="AR27" s="57"/>
      <c r="AS27" s="58"/>
      <c r="AT27" s="59"/>
    </row>
    <row r="28" spans="1:46" hidden="1" x14ac:dyDescent="0.2">
      <c r="A28" s="39" t="s">
        <v>112</v>
      </c>
      <c r="B28" s="40"/>
      <c r="C28" s="41"/>
      <c r="D28" s="42"/>
      <c r="E28" s="42"/>
      <c r="F28" s="42"/>
      <c r="G28" s="43"/>
      <c r="H28" s="42"/>
      <c r="I28" s="42"/>
      <c r="J28" s="42"/>
      <c r="K28" s="42"/>
      <c r="L28" s="42"/>
      <c r="M28" s="41"/>
      <c r="N28" s="42"/>
      <c r="O28" s="42"/>
      <c r="P28" s="42"/>
      <c r="Q28" s="43"/>
      <c r="R28" s="42"/>
      <c r="S28" s="42"/>
      <c r="T28" s="42"/>
      <c r="U28" s="42"/>
      <c r="V28" s="41"/>
      <c r="W28" s="42"/>
      <c r="X28" s="42"/>
      <c r="Y28" s="43"/>
      <c r="Z28" s="42"/>
      <c r="AA28" s="42"/>
      <c r="AB28" s="42"/>
      <c r="AC28" s="42"/>
      <c r="AD28" s="41"/>
      <c r="AE28" s="42"/>
      <c r="AF28" s="42"/>
      <c r="AG28" s="43"/>
      <c r="AH28" s="42"/>
      <c r="AI28" s="42"/>
      <c r="AJ28" s="42"/>
      <c r="AK28" s="42"/>
      <c r="AL28" s="41"/>
      <c r="AM28" s="42"/>
      <c r="AN28" s="43"/>
      <c r="AO28" s="42"/>
      <c r="AP28" s="42"/>
      <c r="AQ28" s="42"/>
      <c r="AR28" s="41"/>
      <c r="AS28" s="42"/>
      <c r="AT28" s="43"/>
    </row>
    <row r="29" spans="1:46" s="54" customFormat="1" hidden="1" x14ac:dyDescent="0.2">
      <c r="A29" s="60"/>
      <c r="B29" s="61"/>
      <c r="C29" s="62"/>
      <c r="D29" s="63"/>
      <c r="E29" s="63"/>
      <c r="F29" s="63"/>
      <c r="G29" s="64"/>
      <c r="H29" s="63"/>
      <c r="I29" s="63"/>
      <c r="J29" s="63"/>
      <c r="K29" s="63"/>
      <c r="L29" s="63"/>
      <c r="M29" s="62"/>
      <c r="N29" s="63"/>
      <c r="O29" s="63"/>
      <c r="P29" s="63"/>
      <c r="Q29" s="64"/>
      <c r="R29" s="63"/>
      <c r="S29" s="63"/>
      <c r="T29" s="63"/>
      <c r="U29" s="63"/>
      <c r="V29" s="62"/>
      <c r="W29" s="63"/>
      <c r="X29" s="63"/>
      <c r="Y29" s="64"/>
      <c r="Z29" s="63"/>
      <c r="AA29" s="63"/>
      <c r="AB29" s="63"/>
      <c r="AC29" s="63"/>
      <c r="AD29" s="62"/>
      <c r="AE29" s="63"/>
      <c r="AF29" s="63"/>
      <c r="AG29" s="64"/>
      <c r="AH29" s="63"/>
      <c r="AI29" s="63"/>
      <c r="AJ29" s="63"/>
      <c r="AK29" s="63"/>
      <c r="AL29" s="62"/>
      <c r="AM29" s="63"/>
      <c r="AN29" s="64"/>
      <c r="AO29" s="63"/>
      <c r="AP29" s="63"/>
      <c r="AQ29" s="63"/>
      <c r="AR29" s="62"/>
      <c r="AS29" s="63"/>
      <c r="AT29" s="64"/>
    </row>
    <row r="30" spans="1:46" hidden="1" x14ac:dyDescent="0.2">
      <c r="A30" s="44" t="s">
        <v>111</v>
      </c>
      <c r="B30" s="45"/>
      <c r="C30" s="46"/>
      <c r="D30" s="47"/>
      <c r="E30" s="47"/>
      <c r="F30" s="47"/>
      <c r="G30" s="48"/>
      <c r="H30" s="47"/>
      <c r="I30" s="47"/>
      <c r="J30" s="47"/>
      <c r="K30" s="47"/>
      <c r="L30" s="47"/>
      <c r="M30" s="46"/>
      <c r="N30" s="47"/>
      <c r="O30" s="47"/>
      <c r="P30" s="47"/>
      <c r="Q30" s="48"/>
      <c r="R30" s="47"/>
      <c r="S30" s="47"/>
      <c r="T30" s="47"/>
      <c r="U30" s="47"/>
      <c r="V30" s="46"/>
      <c r="W30" s="47"/>
      <c r="X30" s="47"/>
      <c r="Y30" s="48"/>
      <c r="Z30" s="47"/>
      <c r="AA30" s="47"/>
      <c r="AB30" s="47"/>
      <c r="AC30" s="47"/>
      <c r="AD30" s="46"/>
      <c r="AE30" s="47"/>
      <c r="AF30" s="47"/>
      <c r="AG30" s="48"/>
      <c r="AH30" s="47"/>
      <c r="AI30" s="47"/>
      <c r="AJ30" s="47"/>
      <c r="AK30" s="47"/>
      <c r="AL30" s="46"/>
      <c r="AM30" s="47"/>
      <c r="AN30" s="48"/>
      <c r="AO30" s="47"/>
      <c r="AP30" s="47"/>
      <c r="AQ30" s="47"/>
      <c r="AR30" s="46"/>
      <c r="AS30" s="47"/>
      <c r="AT30" s="48"/>
    </row>
    <row r="31" spans="1:46" s="54" customFormat="1" hidden="1" x14ac:dyDescent="0.2">
      <c r="A31" s="55" t="s">
        <v>110</v>
      </c>
      <c r="B31" s="56" t="s">
        <v>104</v>
      </c>
      <c r="C31" s="57"/>
      <c r="D31" s="58"/>
      <c r="E31" s="58"/>
      <c r="F31" s="58"/>
      <c r="G31" s="59"/>
      <c r="H31" s="58"/>
      <c r="I31" s="58"/>
      <c r="J31" s="58"/>
      <c r="K31" s="58"/>
      <c r="L31" s="58"/>
      <c r="M31" s="57"/>
      <c r="N31" s="58"/>
      <c r="O31" s="58"/>
      <c r="P31" s="58"/>
      <c r="Q31" s="59"/>
      <c r="R31" s="58"/>
      <c r="S31" s="58"/>
      <c r="T31" s="58"/>
      <c r="U31" s="58"/>
      <c r="V31" s="57"/>
      <c r="W31" s="58"/>
      <c r="X31" s="58"/>
      <c r="Y31" s="59"/>
      <c r="Z31" s="58"/>
      <c r="AA31" s="58"/>
      <c r="AB31" s="58"/>
      <c r="AC31" s="58"/>
      <c r="AD31" s="57"/>
      <c r="AE31" s="58"/>
      <c r="AF31" s="58"/>
      <c r="AG31" s="59"/>
      <c r="AH31" s="58"/>
      <c r="AI31" s="58"/>
      <c r="AJ31" s="58"/>
      <c r="AK31" s="58"/>
      <c r="AL31" s="57"/>
      <c r="AM31" s="58"/>
      <c r="AN31" s="59"/>
      <c r="AO31" s="58"/>
      <c r="AP31" s="58"/>
      <c r="AQ31" s="58"/>
      <c r="AR31" s="57"/>
      <c r="AS31" s="58"/>
      <c r="AT31" s="59"/>
    </row>
    <row r="32" spans="1:46" s="54" customFormat="1" hidden="1" x14ac:dyDescent="0.2">
      <c r="A32" s="55"/>
      <c r="B32" s="56" t="s">
        <v>103</v>
      </c>
      <c r="C32" s="57"/>
      <c r="D32" s="58"/>
      <c r="E32" s="58"/>
      <c r="F32" s="58"/>
      <c r="G32" s="59"/>
      <c r="H32" s="58"/>
      <c r="I32" s="58"/>
      <c r="J32" s="58"/>
      <c r="K32" s="58"/>
      <c r="L32" s="58"/>
      <c r="M32" s="57"/>
      <c r="N32" s="58"/>
      <c r="O32" s="58"/>
      <c r="P32" s="58"/>
      <c r="Q32" s="59"/>
      <c r="R32" s="58"/>
      <c r="S32" s="58"/>
      <c r="T32" s="58"/>
      <c r="U32" s="58"/>
      <c r="V32" s="57"/>
      <c r="W32" s="58"/>
      <c r="X32" s="58"/>
      <c r="Y32" s="59"/>
      <c r="Z32" s="58"/>
      <c r="AA32" s="58"/>
      <c r="AB32" s="58"/>
      <c r="AC32" s="58"/>
      <c r="AD32" s="57"/>
      <c r="AE32" s="58"/>
      <c r="AF32" s="58"/>
      <c r="AG32" s="59"/>
      <c r="AH32" s="58"/>
      <c r="AI32" s="58"/>
      <c r="AJ32" s="58"/>
      <c r="AK32" s="58"/>
      <c r="AL32" s="57"/>
      <c r="AM32" s="58"/>
      <c r="AN32" s="59"/>
      <c r="AO32" s="58"/>
      <c r="AP32" s="58"/>
      <c r="AQ32" s="58"/>
      <c r="AR32" s="57"/>
      <c r="AS32" s="58"/>
      <c r="AT32" s="59"/>
    </row>
    <row r="33" spans="1:46" s="54" customFormat="1" hidden="1" x14ac:dyDescent="0.2">
      <c r="A33" s="55" t="s">
        <v>106</v>
      </c>
      <c r="B33" s="56"/>
      <c r="C33" s="127"/>
      <c r="D33" s="128"/>
      <c r="E33" s="128"/>
      <c r="F33" s="128"/>
      <c r="G33" s="129"/>
      <c r="H33" s="128"/>
      <c r="I33" s="128"/>
      <c r="J33" s="128"/>
      <c r="K33" s="128"/>
      <c r="L33" s="128"/>
      <c r="M33" s="127"/>
      <c r="N33" s="128"/>
      <c r="O33" s="128"/>
      <c r="P33" s="128"/>
      <c r="Q33" s="129"/>
      <c r="R33" s="128"/>
      <c r="S33" s="128"/>
      <c r="T33" s="128"/>
      <c r="U33" s="128"/>
      <c r="V33" s="127"/>
      <c r="W33" s="128"/>
      <c r="X33" s="128"/>
      <c r="Y33" s="129"/>
      <c r="Z33" s="128"/>
      <c r="AA33" s="128"/>
      <c r="AB33" s="128"/>
      <c r="AC33" s="128"/>
      <c r="AD33" s="127"/>
      <c r="AE33" s="128"/>
      <c r="AF33" s="128"/>
      <c r="AG33" s="129"/>
      <c r="AH33" s="128"/>
      <c r="AI33" s="128"/>
      <c r="AJ33" s="128"/>
      <c r="AK33" s="128"/>
      <c r="AL33" s="127"/>
      <c r="AM33" s="128"/>
      <c r="AN33" s="129"/>
      <c r="AO33" s="128"/>
      <c r="AP33" s="128"/>
      <c r="AQ33" s="128"/>
      <c r="AR33" s="127"/>
      <c r="AS33" s="128"/>
      <c r="AT33" s="129"/>
    </row>
    <row r="34" spans="1:46" s="54" customFormat="1" hidden="1" x14ac:dyDescent="0.2">
      <c r="A34" s="55" t="s">
        <v>109</v>
      </c>
      <c r="B34" s="56" t="s">
        <v>104</v>
      </c>
      <c r="C34" s="57"/>
      <c r="D34" s="58"/>
      <c r="E34" s="58"/>
      <c r="F34" s="58"/>
      <c r="G34" s="59"/>
      <c r="H34" s="58"/>
      <c r="I34" s="58"/>
      <c r="J34" s="58"/>
      <c r="K34" s="58"/>
      <c r="L34" s="58"/>
      <c r="M34" s="57"/>
      <c r="N34" s="58"/>
      <c r="O34" s="58"/>
      <c r="P34" s="58"/>
      <c r="Q34" s="59"/>
      <c r="R34" s="58"/>
      <c r="S34" s="58"/>
      <c r="T34" s="58"/>
      <c r="U34" s="58"/>
      <c r="V34" s="57"/>
      <c r="W34" s="58"/>
      <c r="X34" s="58"/>
      <c r="Y34" s="59"/>
      <c r="Z34" s="58"/>
      <c r="AA34" s="58"/>
      <c r="AB34" s="58"/>
      <c r="AC34" s="58"/>
      <c r="AD34" s="57"/>
      <c r="AE34" s="58"/>
      <c r="AF34" s="58"/>
      <c r="AG34" s="59"/>
      <c r="AH34" s="58"/>
      <c r="AI34" s="58"/>
      <c r="AJ34" s="58"/>
      <c r="AK34" s="58"/>
      <c r="AL34" s="57"/>
      <c r="AM34" s="58"/>
      <c r="AN34" s="59"/>
      <c r="AO34" s="58"/>
      <c r="AP34" s="58"/>
      <c r="AQ34" s="58"/>
      <c r="AR34" s="57"/>
      <c r="AS34" s="58"/>
      <c r="AT34" s="59"/>
    </row>
    <row r="35" spans="1:46" s="54" customFormat="1" hidden="1" x14ac:dyDescent="0.2">
      <c r="A35" s="55"/>
      <c r="B35" s="56" t="s">
        <v>103</v>
      </c>
      <c r="C35" s="57"/>
      <c r="D35" s="58"/>
      <c r="E35" s="58"/>
      <c r="F35" s="58"/>
      <c r="G35" s="59"/>
      <c r="H35" s="58"/>
      <c r="I35" s="58"/>
      <c r="J35" s="58"/>
      <c r="K35" s="58"/>
      <c r="L35" s="58"/>
      <c r="M35" s="57"/>
      <c r="N35" s="58"/>
      <c r="O35" s="58"/>
      <c r="P35" s="58"/>
      <c r="Q35" s="59"/>
      <c r="R35" s="58"/>
      <c r="S35" s="58"/>
      <c r="T35" s="58"/>
      <c r="U35" s="58"/>
      <c r="V35" s="57"/>
      <c r="W35" s="58"/>
      <c r="X35" s="58"/>
      <c r="Y35" s="59"/>
      <c r="Z35" s="58"/>
      <c r="AA35" s="58"/>
      <c r="AB35" s="58"/>
      <c r="AC35" s="58"/>
      <c r="AD35" s="57"/>
      <c r="AE35" s="58"/>
      <c r="AF35" s="58"/>
      <c r="AG35" s="59"/>
      <c r="AH35" s="58"/>
      <c r="AI35" s="58"/>
      <c r="AJ35" s="58"/>
      <c r="AK35" s="58"/>
      <c r="AL35" s="57"/>
      <c r="AM35" s="58"/>
      <c r="AN35" s="59"/>
      <c r="AO35" s="58"/>
      <c r="AP35" s="58"/>
      <c r="AQ35" s="58"/>
      <c r="AR35" s="57"/>
      <c r="AS35" s="58"/>
      <c r="AT35" s="59"/>
    </row>
    <row r="36" spans="1:46" s="54" customFormat="1" hidden="1" x14ac:dyDescent="0.2">
      <c r="A36" s="55" t="s">
        <v>106</v>
      </c>
      <c r="B36" s="56"/>
      <c r="C36" s="127"/>
      <c r="D36" s="128"/>
      <c r="E36" s="128"/>
      <c r="F36" s="128"/>
      <c r="G36" s="129"/>
      <c r="H36" s="128"/>
      <c r="I36" s="128"/>
      <c r="J36" s="128"/>
      <c r="K36" s="128"/>
      <c r="L36" s="128"/>
      <c r="M36" s="127"/>
      <c r="N36" s="128"/>
      <c r="O36" s="128"/>
      <c r="P36" s="128"/>
      <c r="Q36" s="129"/>
      <c r="R36" s="128"/>
      <c r="S36" s="128"/>
      <c r="T36" s="128"/>
      <c r="U36" s="128"/>
      <c r="V36" s="127"/>
      <c r="W36" s="128"/>
      <c r="X36" s="128"/>
      <c r="Y36" s="129"/>
      <c r="Z36" s="128"/>
      <c r="AA36" s="128"/>
      <c r="AB36" s="128"/>
      <c r="AC36" s="128"/>
      <c r="AD36" s="127"/>
      <c r="AE36" s="128"/>
      <c r="AF36" s="128"/>
      <c r="AG36" s="129"/>
      <c r="AH36" s="128"/>
      <c r="AI36" s="128"/>
      <c r="AJ36" s="128"/>
      <c r="AK36" s="128"/>
      <c r="AL36" s="127"/>
      <c r="AM36" s="128"/>
      <c r="AN36" s="129"/>
      <c r="AO36" s="128"/>
      <c r="AP36" s="128"/>
      <c r="AQ36" s="128"/>
      <c r="AR36" s="127"/>
      <c r="AS36" s="128"/>
      <c r="AT36" s="129"/>
    </row>
    <row r="37" spans="1:46" s="54" customFormat="1" hidden="1" x14ac:dyDescent="0.2">
      <c r="A37" s="55" t="s">
        <v>108</v>
      </c>
      <c r="B37" s="56" t="s">
        <v>104</v>
      </c>
      <c r="C37" s="57"/>
      <c r="D37" s="58"/>
      <c r="E37" s="58"/>
      <c r="F37" s="58"/>
      <c r="G37" s="59"/>
      <c r="H37" s="58"/>
      <c r="I37" s="58"/>
      <c r="J37" s="58"/>
      <c r="K37" s="58"/>
      <c r="L37" s="58"/>
      <c r="M37" s="57"/>
      <c r="N37" s="58"/>
      <c r="O37" s="58"/>
      <c r="P37" s="58"/>
      <c r="Q37" s="59"/>
      <c r="R37" s="58"/>
      <c r="S37" s="58"/>
      <c r="T37" s="58"/>
      <c r="U37" s="58"/>
      <c r="V37" s="57"/>
      <c r="W37" s="58"/>
      <c r="X37" s="58"/>
      <c r="Y37" s="59"/>
      <c r="Z37" s="58"/>
      <c r="AA37" s="58"/>
      <c r="AB37" s="58"/>
      <c r="AC37" s="58"/>
      <c r="AD37" s="57"/>
      <c r="AE37" s="58"/>
      <c r="AF37" s="58"/>
      <c r="AG37" s="59"/>
      <c r="AH37" s="58"/>
      <c r="AI37" s="58"/>
      <c r="AJ37" s="58"/>
      <c r="AK37" s="58"/>
      <c r="AL37" s="57"/>
      <c r="AM37" s="58"/>
      <c r="AN37" s="59"/>
      <c r="AO37" s="58"/>
      <c r="AP37" s="58"/>
      <c r="AQ37" s="58"/>
      <c r="AR37" s="57"/>
      <c r="AS37" s="58"/>
      <c r="AT37" s="59"/>
    </row>
    <row r="38" spans="1:46" s="54" customFormat="1" hidden="1" x14ac:dyDescent="0.2">
      <c r="A38" s="55"/>
      <c r="B38" s="56" t="s">
        <v>103</v>
      </c>
      <c r="C38" s="57"/>
      <c r="D38" s="58"/>
      <c r="E38" s="58"/>
      <c r="F38" s="58"/>
      <c r="G38" s="59"/>
      <c r="H38" s="58"/>
      <c r="I38" s="58"/>
      <c r="J38" s="58"/>
      <c r="K38" s="58"/>
      <c r="L38" s="58"/>
      <c r="M38" s="57"/>
      <c r="N38" s="58"/>
      <c r="O38" s="58"/>
      <c r="P38" s="58"/>
      <c r="Q38" s="59"/>
      <c r="R38" s="58"/>
      <c r="S38" s="58"/>
      <c r="T38" s="58"/>
      <c r="U38" s="58"/>
      <c r="V38" s="57"/>
      <c r="W38" s="58"/>
      <c r="X38" s="58"/>
      <c r="Y38" s="59"/>
      <c r="Z38" s="58"/>
      <c r="AA38" s="58"/>
      <c r="AB38" s="58"/>
      <c r="AC38" s="58"/>
      <c r="AD38" s="57"/>
      <c r="AE38" s="58"/>
      <c r="AF38" s="58"/>
      <c r="AG38" s="59"/>
      <c r="AH38" s="58"/>
      <c r="AI38" s="58"/>
      <c r="AJ38" s="58"/>
      <c r="AK38" s="58"/>
      <c r="AL38" s="57"/>
      <c r="AM38" s="58"/>
      <c r="AN38" s="59"/>
      <c r="AO38" s="58"/>
      <c r="AP38" s="58"/>
      <c r="AQ38" s="58"/>
      <c r="AR38" s="57"/>
      <c r="AS38" s="58"/>
      <c r="AT38" s="59"/>
    </row>
    <row r="39" spans="1:46" s="54" customFormat="1" hidden="1" x14ac:dyDescent="0.2">
      <c r="A39" s="55" t="s">
        <v>106</v>
      </c>
      <c r="B39" s="56"/>
      <c r="C39" s="127"/>
      <c r="D39" s="128"/>
      <c r="E39" s="128"/>
      <c r="F39" s="128"/>
      <c r="G39" s="129"/>
      <c r="H39" s="128"/>
      <c r="I39" s="128"/>
      <c r="J39" s="128"/>
      <c r="K39" s="128"/>
      <c r="L39" s="128"/>
      <c r="M39" s="127"/>
      <c r="N39" s="128"/>
      <c r="O39" s="128"/>
      <c r="P39" s="128"/>
      <c r="Q39" s="129"/>
      <c r="R39" s="128"/>
      <c r="S39" s="128"/>
      <c r="T39" s="128"/>
      <c r="U39" s="128"/>
      <c r="V39" s="127"/>
      <c r="W39" s="128"/>
      <c r="X39" s="128"/>
      <c r="Y39" s="129"/>
      <c r="Z39" s="128"/>
      <c r="AA39" s="128"/>
      <c r="AB39" s="128"/>
      <c r="AC39" s="128"/>
      <c r="AD39" s="127"/>
      <c r="AE39" s="128"/>
      <c r="AF39" s="128"/>
      <c r="AG39" s="129"/>
      <c r="AH39" s="128"/>
      <c r="AI39" s="128"/>
      <c r="AJ39" s="128"/>
      <c r="AK39" s="128"/>
      <c r="AL39" s="127"/>
      <c r="AM39" s="128"/>
      <c r="AN39" s="129"/>
      <c r="AO39" s="128"/>
      <c r="AP39" s="128"/>
      <c r="AQ39" s="128"/>
      <c r="AR39" s="127"/>
      <c r="AS39" s="128"/>
      <c r="AT39" s="129"/>
    </row>
    <row r="40" spans="1:46" s="54" customFormat="1" hidden="1" x14ac:dyDescent="0.2">
      <c r="A40" s="55" t="s">
        <v>107</v>
      </c>
      <c r="B40" s="56" t="s">
        <v>104</v>
      </c>
      <c r="C40" s="65" t="e">
        <f>C34/C31</f>
        <v>#DIV/0!</v>
      </c>
      <c r="D40" s="58"/>
      <c r="E40" s="58"/>
      <c r="F40" s="58"/>
      <c r="G40" s="59"/>
      <c r="H40" s="58"/>
      <c r="I40" s="58"/>
      <c r="J40" s="58"/>
      <c r="K40" s="58"/>
      <c r="L40" s="58"/>
      <c r="M40" s="57"/>
      <c r="N40" s="58"/>
      <c r="O40" s="58"/>
      <c r="P40" s="58"/>
      <c r="Q40" s="59"/>
      <c r="R40" s="58"/>
      <c r="S40" s="58"/>
      <c r="T40" s="58"/>
      <c r="U40" s="58"/>
      <c r="V40" s="57"/>
      <c r="W40" s="58"/>
      <c r="X40" s="58"/>
      <c r="Y40" s="59"/>
      <c r="Z40" s="58"/>
      <c r="AA40" s="58"/>
      <c r="AB40" s="58"/>
      <c r="AC40" s="58"/>
      <c r="AD40" s="57"/>
      <c r="AE40" s="58"/>
      <c r="AF40" s="58"/>
      <c r="AG40" s="59"/>
      <c r="AH40" s="58"/>
      <c r="AI40" s="58"/>
      <c r="AJ40" s="58"/>
      <c r="AK40" s="58"/>
      <c r="AL40" s="57"/>
      <c r="AM40" s="58"/>
      <c r="AN40" s="59"/>
      <c r="AO40" s="58"/>
      <c r="AP40" s="58"/>
      <c r="AQ40" s="58"/>
      <c r="AR40" s="57"/>
      <c r="AS40" s="58"/>
      <c r="AT40" s="59"/>
    </row>
    <row r="41" spans="1:46" s="54" customFormat="1" hidden="1" x14ac:dyDescent="0.2">
      <c r="A41" s="55"/>
      <c r="B41" s="56" t="s">
        <v>103</v>
      </c>
      <c r="C41" s="65" t="e">
        <f>C37/C32</f>
        <v>#DIV/0!</v>
      </c>
      <c r="D41" s="58"/>
      <c r="E41" s="58"/>
      <c r="F41" s="58"/>
      <c r="G41" s="59"/>
      <c r="H41" s="58"/>
      <c r="I41" s="58"/>
      <c r="J41" s="58"/>
      <c r="K41" s="58"/>
      <c r="L41" s="58"/>
      <c r="M41" s="57"/>
      <c r="N41" s="58"/>
      <c r="O41" s="58"/>
      <c r="P41" s="58"/>
      <c r="Q41" s="59"/>
      <c r="R41" s="58"/>
      <c r="S41" s="58"/>
      <c r="T41" s="58"/>
      <c r="U41" s="58"/>
      <c r="V41" s="57"/>
      <c r="W41" s="58"/>
      <c r="X41" s="58"/>
      <c r="Y41" s="59"/>
      <c r="Z41" s="58"/>
      <c r="AA41" s="58"/>
      <c r="AB41" s="58"/>
      <c r="AC41" s="58"/>
      <c r="AD41" s="57"/>
      <c r="AE41" s="58"/>
      <c r="AF41" s="58"/>
      <c r="AG41" s="59"/>
      <c r="AH41" s="58"/>
      <c r="AI41" s="58"/>
      <c r="AJ41" s="58"/>
      <c r="AK41" s="58"/>
      <c r="AL41" s="57"/>
      <c r="AM41" s="58"/>
      <c r="AN41" s="59"/>
      <c r="AO41" s="58"/>
      <c r="AP41" s="58"/>
      <c r="AQ41" s="58"/>
      <c r="AR41" s="57"/>
      <c r="AS41" s="58"/>
      <c r="AT41" s="59"/>
    </row>
    <row r="42" spans="1:46" s="54" customFormat="1" hidden="1" x14ac:dyDescent="0.2">
      <c r="A42" s="55" t="s">
        <v>106</v>
      </c>
      <c r="B42" s="56"/>
      <c r="C42" s="127"/>
      <c r="D42" s="128"/>
      <c r="E42" s="128"/>
      <c r="F42" s="128"/>
      <c r="G42" s="129"/>
      <c r="H42" s="128"/>
      <c r="I42" s="128"/>
      <c r="J42" s="128"/>
      <c r="K42" s="128"/>
      <c r="L42" s="128"/>
      <c r="M42" s="127"/>
      <c r="N42" s="128"/>
      <c r="O42" s="128"/>
      <c r="P42" s="128"/>
      <c r="Q42" s="129"/>
      <c r="R42" s="128"/>
      <c r="S42" s="128"/>
      <c r="T42" s="128"/>
      <c r="U42" s="128"/>
      <c r="V42" s="127"/>
      <c r="W42" s="128"/>
      <c r="X42" s="128"/>
      <c r="Y42" s="129"/>
      <c r="Z42" s="128"/>
      <c r="AA42" s="128"/>
      <c r="AB42" s="128"/>
      <c r="AC42" s="128"/>
      <c r="AD42" s="127"/>
      <c r="AE42" s="128"/>
      <c r="AF42" s="128"/>
      <c r="AG42" s="129"/>
      <c r="AH42" s="128"/>
      <c r="AI42" s="128"/>
      <c r="AJ42" s="128"/>
      <c r="AK42" s="128"/>
      <c r="AL42" s="127"/>
      <c r="AM42" s="128"/>
      <c r="AN42" s="129"/>
      <c r="AO42" s="128"/>
      <c r="AP42" s="128"/>
      <c r="AQ42" s="128"/>
      <c r="AR42" s="127"/>
      <c r="AS42" s="128"/>
      <c r="AT42" s="129"/>
    </row>
    <row r="43" spans="1:46" s="54" customFormat="1" hidden="1" x14ac:dyDescent="0.2">
      <c r="A43" s="55" t="s">
        <v>105</v>
      </c>
      <c r="B43" s="56" t="s">
        <v>104</v>
      </c>
      <c r="C43" s="65" t="e">
        <f>C37/C31</f>
        <v>#DIV/0!</v>
      </c>
      <c r="D43" s="58"/>
      <c r="E43" s="58"/>
      <c r="F43" s="58"/>
      <c r="G43" s="59"/>
      <c r="H43" s="58"/>
      <c r="I43" s="58"/>
      <c r="J43" s="58"/>
      <c r="K43" s="58"/>
      <c r="L43" s="58"/>
      <c r="M43" s="57"/>
      <c r="N43" s="58"/>
      <c r="O43" s="58"/>
      <c r="P43" s="58"/>
      <c r="Q43" s="59"/>
      <c r="R43" s="58"/>
      <c r="S43" s="58"/>
      <c r="T43" s="58"/>
      <c r="U43" s="58"/>
      <c r="V43" s="57"/>
      <c r="W43" s="58"/>
      <c r="X43" s="58"/>
      <c r="Y43" s="59"/>
      <c r="Z43" s="58"/>
      <c r="AA43" s="58"/>
      <c r="AB43" s="58"/>
      <c r="AC43" s="58"/>
      <c r="AD43" s="57"/>
      <c r="AE43" s="58"/>
      <c r="AF43" s="58"/>
      <c r="AG43" s="59"/>
      <c r="AH43" s="58"/>
      <c r="AI43" s="58"/>
      <c r="AJ43" s="58"/>
      <c r="AK43" s="58"/>
      <c r="AL43" s="57"/>
      <c r="AM43" s="58"/>
      <c r="AN43" s="59"/>
      <c r="AO43" s="58"/>
      <c r="AP43" s="58"/>
      <c r="AQ43" s="58"/>
      <c r="AR43" s="57"/>
      <c r="AS43" s="58"/>
      <c r="AT43" s="59"/>
    </row>
    <row r="44" spans="1:46" s="54" customFormat="1" hidden="1" x14ac:dyDescent="0.2">
      <c r="A44" s="55"/>
      <c r="B44" s="56" t="s">
        <v>103</v>
      </c>
      <c r="C44" s="65" t="e">
        <f>C38/C32</f>
        <v>#DIV/0!</v>
      </c>
      <c r="D44" s="58"/>
      <c r="E44" s="58"/>
      <c r="F44" s="58"/>
      <c r="G44" s="59"/>
      <c r="H44" s="58"/>
      <c r="I44" s="58"/>
      <c r="J44" s="58"/>
      <c r="K44" s="58"/>
      <c r="L44" s="58"/>
      <c r="M44" s="57"/>
      <c r="N44" s="58"/>
      <c r="O44" s="58"/>
      <c r="P44" s="58"/>
      <c r="Q44" s="59"/>
      <c r="R44" s="58"/>
      <c r="S44" s="58"/>
      <c r="T44" s="58"/>
      <c r="U44" s="58"/>
      <c r="V44" s="57"/>
      <c r="W44" s="58"/>
      <c r="X44" s="58"/>
      <c r="Y44" s="59"/>
      <c r="Z44" s="58"/>
      <c r="AA44" s="58"/>
      <c r="AB44" s="58"/>
      <c r="AC44" s="58"/>
      <c r="AD44" s="68"/>
      <c r="AE44" s="69"/>
      <c r="AF44" s="69"/>
      <c r="AG44" s="70"/>
      <c r="AH44" s="58"/>
      <c r="AI44" s="58"/>
      <c r="AJ44" s="58"/>
      <c r="AK44" s="58"/>
      <c r="AL44" s="57"/>
      <c r="AM44" s="58"/>
      <c r="AN44" s="59"/>
      <c r="AO44" s="58"/>
      <c r="AP44" s="58"/>
      <c r="AQ44" s="58"/>
      <c r="AR44" s="57"/>
      <c r="AS44" s="58"/>
      <c r="AT44" s="59"/>
    </row>
    <row r="45" spans="1:46" s="54" customFormat="1" hidden="1" x14ac:dyDescent="0.2">
      <c r="A45" s="60"/>
      <c r="B45" s="61"/>
      <c r="C45" s="62"/>
      <c r="D45" s="63"/>
      <c r="E45" s="63"/>
      <c r="F45" s="63"/>
      <c r="G45" s="64"/>
      <c r="H45" s="63"/>
      <c r="I45" s="63"/>
      <c r="J45" s="63"/>
      <c r="K45" s="63"/>
      <c r="L45" s="63"/>
      <c r="M45" s="62"/>
      <c r="N45" s="63"/>
      <c r="O45" s="63"/>
      <c r="P45" s="63"/>
      <c r="Q45" s="64"/>
      <c r="R45" s="63"/>
      <c r="S45" s="63"/>
      <c r="T45" s="63"/>
      <c r="U45" s="63"/>
      <c r="V45" s="62"/>
      <c r="W45" s="63"/>
      <c r="X45" s="63"/>
      <c r="Y45" s="64"/>
      <c r="Z45" s="63"/>
      <c r="AA45" s="63"/>
      <c r="AB45" s="63"/>
      <c r="AC45" s="63"/>
      <c r="AD45" s="62"/>
      <c r="AE45" s="63"/>
      <c r="AF45" s="63"/>
      <c r="AG45" s="64"/>
      <c r="AH45" s="63"/>
      <c r="AI45" s="63"/>
      <c r="AJ45" s="63"/>
      <c r="AK45" s="63"/>
      <c r="AL45" s="62"/>
      <c r="AM45" s="63"/>
      <c r="AN45" s="64"/>
      <c r="AO45" s="63"/>
      <c r="AP45" s="63"/>
      <c r="AQ45" s="63"/>
      <c r="AR45" s="62"/>
      <c r="AS45" s="63"/>
      <c r="AT45" s="64"/>
    </row>
    <row r="46" spans="1:46" hidden="1" x14ac:dyDescent="0.2">
      <c r="A46" s="44" t="s">
        <v>102</v>
      </c>
      <c r="B46" s="45"/>
      <c r="C46" s="46"/>
      <c r="D46" s="47"/>
      <c r="E46" s="47"/>
      <c r="F46" s="47"/>
      <c r="G46" s="48"/>
      <c r="H46" s="47"/>
      <c r="I46" s="47"/>
      <c r="J46" s="47"/>
      <c r="K46" s="47"/>
      <c r="L46" s="47"/>
      <c r="M46" s="46"/>
      <c r="N46" s="47"/>
      <c r="O46" s="47"/>
      <c r="P46" s="47"/>
      <c r="Q46" s="48"/>
      <c r="R46" s="47"/>
      <c r="S46" s="47"/>
      <c r="T46" s="47"/>
      <c r="U46" s="47"/>
      <c r="V46" s="46"/>
      <c r="W46" s="47"/>
      <c r="X46" s="47"/>
      <c r="Y46" s="48"/>
      <c r="Z46" s="47"/>
      <c r="AA46" s="47"/>
      <c r="AB46" s="47"/>
      <c r="AC46" s="47"/>
      <c r="AD46" s="46"/>
      <c r="AE46" s="47"/>
      <c r="AF46" s="47"/>
      <c r="AG46" s="48"/>
      <c r="AH46" s="47"/>
      <c r="AI46" s="47"/>
      <c r="AJ46" s="47"/>
      <c r="AK46" s="47"/>
      <c r="AL46" s="46"/>
      <c r="AM46" s="47"/>
      <c r="AN46" s="48"/>
      <c r="AO46" s="47"/>
      <c r="AP46" s="47"/>
      <c r="AQ46" s="47"/>
      <c r="AR46" s="46"/>
      <c r="AS46" s="47"/>
      <c r="AT46" s="48"/>
    </row>
    <row r="47" spans="1:46" s="54" customFormat="1" ht="45" hidden="1" customHeight="1" x14ac:dyDescent="0.2">
      <c r="A47" s="99"/>
      <c r="B47" s="100"/>
      <c r="C47" s="96" t="s">
        <v>151</v>
      </c>
      <c r="D47" s="94"/>
      <c r="E47" s="94"/>
      <c r="F47" s="94"/>
      <c r="G47" s="95"/>
      <c r="H47" s="96" t="s">
        <v>151</v>
      </c>
      <c r="I47" s="94"/>
      <c r="J47" s="94"/>
      <c r="K47" s="94"/>
      <c r="L47" s="95"/>
      <c r="M47" s="96" t="s">
        <v>151</v>
      </c>
      <c r="N47" s="94"/>
      <c r="O47" s="94"/>
      <c r="P47" s="94"/>
      <c r="Q47" s="95"/>
      <c r="R47" s="96" t="s">
        <v>151</v>
      </c>
      <c r="S47" s="94"/>
      <c r="T47" s="94"/>
      <c r="U47" s="95"/>
      <c r="V47" s="96" t="s">
        <v>151</v>
      </c>
      <c r="W47" s="94"/>
      <c r="X47" s="94"/>
      <c r="Y47" s="95"/>
      <c r="Z47" s="96" t="s">
        <v>151</v>
      </c>
      <c r="AA47" s="94"/>
      <c r="AB47" s="94"/>
      <c r="AC47" s="95"/>
      <c r="AD47" s="96" t="s">
        <v>151</v>
      </c>
      <c r="AE47" s="94"/>
      <c r="AF47" s="94"/>
      <c r="AG47" s="95"/>
      <c r="AH47" s="96" t="s">
        <v>151</v>
      </c>
      <c r="AI47" s="94"/>
      <c r="AJ47" s="94"/>
      <c r="AK47" s="95"/>
      <c r="AL47" s="96" t="s">
        <v>151</v>
      </c>
      <c r="AM47" s="94"/>
      <c r="AN47" s="95"/>
      <c r="AO47" s="96" t="s">
        <v>151</v>
      </c>
      <c r="AP47" s="94"/>
      <c r="AQ47" s="95"/>
      <c r="AR47" s="96" t="s">
        <v>151</v>
      </c>
      <c r="AS47" s="94"/>
      <c r="AT47" s="95"/>
    </row>
    <row r="48" spans="1:46" s="54" customFormat="1" hidden="1" x14ac:dyDescent="0.2">
      <c r="A48" s="55"/>
      <c r="B48" s="56"/>
      <c r="C48" s="57"/>
      <c r="D48" s="58"/>
      <c r="E48" s="58"/>
      <c r="F48" s="58"/>
      <c r="G48" s="59"/>
      <c r="H48" s="58"/>
      <c r="I48" s="58"/>
      <c r="J48" s="58"/>
      <c r="K48" s="58"/>
      <c r="L48" s="58"/>
      <c r="M48" s="57"/>
      <c r="N48" s="58"/>
      <c r="O48" s="58"/>
      <c r="P48" s="58"/>
      <c r="Q48" s="59"/>
      <c r="R48" s="58"/>
      <c r="S48" s="58"/>
      <c r="T48" s="58"/>
      <c r="U48" s="58"/>
      <c r="V48" s="57"/>
      <c r="W48" s="58"/>
      <c r="X48" s="58"/>
      <c r="Y48" s="59"/>
      <c r="Z48" s="58"/>
      <c r="AA48" s="58"/>
      <c r="AB48" s="58"/>
      <c r="AC48" s="58"/>
      <c r="AD48" s="57"/>
      <c r="AE48" s="58"/>
      <c r="AF48" s="58"/>
      <c r="AG48" s="59"/>
      <c r="AH48" s="58"/>
      <c r="AI48" s="58"/>
      <c r="AJ48" s="58"/>
      <c r="AK48" s="58"/>
      <c r="AL48" s="57"/>
      <c r="AM48" s="58"/>
      <c r="AN48" s="59"/>
      <c r="AO48" s="58"/>
      <c r="AP48" s="58"/>
      <c r="AQ48" s="58"/>
      <c r="AR48" s="57"/>
      <c r="AS48" s="58"/>
      <c r="AT48" s="59"/>
    </row>
    <row r="49" spans="1:46" s="54" customFormat="1" hidden="1" x14ac:dyDescent="0.2">
      <c r="A49" s="55"/>
      <c r="B49" s="56"/>
      <c r="C49" s="57"/>
      <c r="D49" s="58"/>
      <c r="E49" s="58"/>
      <c r="F49" s="58"/>
      <c r="G49" s="59"/>
      <c r="H49" s="58"/>
      <c r="I49" s="58"/>
      <c r="J49" s="58"/>
      <c r="K49" s="58"/>
      <c r="L49" s="58"/>
      <c r="M49" s="57"/>
      <c r="N49" s="58"/>
      <c r="O49" s="58"/>
      <c r="P49" s="58"/>
      <c r="Q49" s="59"/>
      <c r="R49" s="58"/>
      <c r="S49" s="58"/>
      <c r="T49" s="58"/>
      <c r="U49" s="58"/>
      <c r="V49" s="57"/>
      <c r="W49" s="58"/>
      <c r="X49" s="58"/>
      <c r="Y49" s="59"/>
      <c r="Z49" s="58"/>
      <c r="AA49" s="58"/>
      <c r="AB49" s="58"/>
      <c r="AC49" s="58"/>
      <c r="AD49" s="57"/>
      <c r="AE49" s="58"/>
      <c r="AF49" s="58"/>
      <c r="AG49" s="59"/>
      <c r="AH49" s="58"/>
      <c r="AI49" s="58"/>
      <c r="AJ49" s="58"/>
      <c r="AK49" s="58"/>
      <c r="AL49" s="57"/>
      <c r="AM49" s="58"/>
      <c r="AN49" s="59"/>
      <c r="AO49" s="58"/>
      <c r="AP49" s="58"/>
      <c r="AQ49" s="58"/>
      <c r="AR49" s="57"/>
      <c r="AS49" s="58"/>
      <c r="AT49" s="59"/>
    </row>
    <row r="50" spans="1:46" hidden="1" x14ac:dyDescent="0.2">
      <c r="A50" s="44" t="s">
        <v>101</v>
      </c>
      <c r="B50" s="45"/>
      <c r="C50" s="46"/>
      <c r="D50" s="47"/>
      <c r="E50" s="47"/>
      <c r="F50" s="47"/>
      <c r="G50" s="48"/>
      <c r="H50" s="47"/>
      <c r="I50" s="47"/>
      <c r="J50" s="47"/>
      <c r="K50" s="47"/>
      <c r="L50" s="47"/>
      <c r="M50" s="46"/>
      <c r="N50" s="47"/>
      <c r="O50" s="47"/>
      <c r="P50" s="47"/>
      <c r="Q50" s="48"/>
      <c r="R50" s="47"/>
      <c r="S50" s="47"/>
      <c r="T50" s="47"/>
      <c r="U50" s="47"/>
      <c r="V50" s="46"/>
      <c r="W50" s="47"/>
      <c r="X50" s="47"/>
      <c r="Y50" s="48"/>
      <c r="Z50" s="47"/>
      <c r="AA50" s="47"/>
      <c r="AB50" s="47"/>
      <c r="AC50" s="47"/>
      <c r="AD50" s="46"/>
      <c r="AE50" s="47"/>
      <c r="AF50" s="47"/>
      <c r="AG50" s="48"/>
      <c r="AH50" s="47"/>
      <c r="AI50" s="47"/>
      <c r="AJ50" s="47"/>
      <c r="AK50" s="47"/>
      <c r="AL50" s="46"/>
      <c r="AM50" s="47"/>
      <c r="AN50" s="48"/>
      <c r="AO50" s="47"/>
      <c r="AP50" s="47"/>
      <c r="AQ50" s="47"/>
      <c r="AR50" s="46"/>
      <c r="AS50" s="47"/>
      <c r="AT50" s="48"/>
    </row>
    <row r="51" spans="1:46" s="54" customFormat="1" ht="45" hidden="1" customHeight="1" x14ac:dyDescent="0.2">
      <c r="A51" s="99"/>
      <c r="B51" s="100"/>
      <c r="C51" s="96" t="s">
        <v>151</v>
      </c>
      <c r="D51" s="94"/>
      <c r="E51" s="94"/>
      <c r="F51" s="94"/>
      <c r="G51" s="95"/>
      <c r="H51" s="96" t="s">
        <v>151</v>
      </c>
      <c r="I51" s="94"/>
      <c r="J51" s="94"/>
      <c r="K51" s="94"/>
      <c r="L51" s="95"/>
      <c r="M51" s="96" t="s">
        <v>151</v>
      </c>
      <c r="N51" s="94"/>
      <c r="O51" s="94"/>
      <c r="P51" s="94"/>
      <c r="Q51" s="95"/>
      <c r="R51" s="96" t="s">
        <v>151</v>
      </c>
      <c r="S51" s="94"/>
      <c r="T51" s="94"/>
      <c r="U51" s="95"/>
      <c r="V51" s="96" t="s">
        <v>151</v>
      </c>
      <c r="W51" s="94"/>
      <c r="X51" s="94"/>
      <c r="Y51" s="95"/>
      <c r="Z51" s="96" t="s">
        <v>151</v>
      </c>
      <c r="AA51" s="94"/>
      <c r="AB51" s="94"/>
      <c r="AC51" s="95"/>
      <c r="AD51" s="96" t="s">
        <v>151</v>
      </c>
      <c r="AE51" s="94"/>
      <c r="AF51" s="94"/>
      <c r="AG51" s="95"/>
      <c r="AH51" s="96" t="s">
        <v>151</v>
      </c>
      <c r="AI51" s="94"/>
      <c r="AJ51" s="94"/>
      <c r="AK51" s="95"/>
      <c r="AL51" s="96" t="s">
        <v>151</v>
      </c>
      <c r="AM51" s="94"/>
      <c r="AN51" s="95"/>
      <c r="AO51" s="96" t="s">
        <v>151</v>
      </c>
      <c r="AP51" s="94"/>
      <c r="AQ51" s="95"/>
      <c r="AR51" s="96" t="s">
        <v>151</v>
      </c>
      <c r="AS51" s="94"/>
      <c r="AT51" s="95"/>
    </row>
    <row r="52" spans="1:46" s="54" customFormat="1" hidden="1" x14ac:dyDescent="0.2">
      <c r="A52" s="55"/>
      <c r="B52" s="56"/>
      <c r="C52" s="57"/>
      <c r="D52" s="58"/>
      <c r="E52" s="58"/>
      <c r="F52" s="58"/>
      <c r="G52" s="59"/>
      <c r="H52" s="58"/>
      <c r="I52" s="58"/>
      <c r="J52" s="58"/>
      <c r="K52" s="58"/>
      <c r="L52" s="58"/>
      <c r="M52" s="57"/>
      <c r="N52" s="58"/>
      <c r="O52" s="58"/>
      <c r="P52" s="58"/>
      <c r="Q52" s="59"/>
      <c r="R52" s="58"/>
      <c r="S52" s="58"/>
      <c r="T52" s="58"/>
      <c r="U52" s="58"/>
      <c r="V52" s="57"/>
      <c r="W52" s="58"/>
      <c r="X52" s="58"/>
      <c r="Y52" s="59"/>
      <c r="Z52" s="58"/>
      <c r="AA52" s="58"/>
      <c r="AB52" s="58"/>
      <c r="AC52" s="58"/>
      <c r="AD52" s="57"/>
      <c r="AE52" s="58"/>
      <c r="AF52" s="58"/>
      <c r="AG52" s="59"/>
      <c r="AH52" s="58"/>
      <c r="AI52" s="58"/>
      <c r="AJ52" s="58"/>
      <c r="AK52" s="58"/>
      <c r="AL52" s="57"/>
      <c r="AM52" s="58"/>
      <c r="AN52" s="59"/>
      <c r="AO52" s="58"/>
      <c r="AP52" s="58"/>
      <c r="AQ52" s="58"/>
      <c r="AR52" s="57"/>
      <c r="AS52" s="58"/>
      <c r="AT52" s="59"/>
    </row>
    <row r="53" spans="1:46" s="54" customFormat="1" hidden="1" x14ac:dyDescent="0.2">
      <c r="A53" s="55"/>
      <c r="B53" s="56"/>
      <c r="C53" s="57"/>
      <c r="D53" s="58"/>
      <c r="E53" s="58"/>
      <c r="F53" s="58"/>
      <c r="G53" s="59"/>
      <c r="H53" s="58"/>
      <c r="I53" s="58"/>
      <c r="J53" s="58"/>
      <c r="K53" s="58"/>
      <c r="L53" s="58"/>
      <c r="M53" s="57"/>
      <c r="N53" s="58"/>
      <c r="O53" s="58"/>
      <c r="P53" s="58"/>
      <c r="Q53" s="59"/>
      <c r="R53" s="58"/>
      <c r="S53" s="58"/>
      <c r="T53" s="58"/>
      <c r="U53" s="58"/>
      <c r="V53" s="57"/>
      <c r="W53" s="58"/>
      <c r="X53" s="58"/>
      <c r="Y53" s="59"/>
      <c r="Z53" s="58"/>
      <c r="AA53" s="58"/>
      <c r="AB53" s="58"/>
      <c r="AC53" s="58"/>
      <c r="AD53" s="57"/>
      <c r="AE53" s="58"/>
      <c r="AF53" s="58"/>
      <c r="AG53" s="59"/>
      <c r="AH53" s="58"/>
      <c r="AI53" s="58"/>
      <c r="AJ53" s="58"/>
      <c r="AK53" s="58"/>
      <c r="AL53" s="57"/>
      <c r="AM53" s="58"/>
      <c r="AN53" s="59"/>
      <c r="AO53" s="58"/>
      <c r="AP53" s="58"/>
      <c r="AQ53" s="58"/>
      <c r="AR53" s="57"/>
      <c r="AS53" s="58"/>
      <c r="AT53" s="59"/>
    </row>
    <row r="54" spans="1:46" hidden="1" x14ac:dyDescent="0.2">
      <c r="A54" s="44" t="s">
        <v>100</v>
      </c>
      <c r="B54" s="45"/>
      <c r="C54" s="46"/>
      <c r="D54" s="47"/>
      <c r="E54" s="47"/>
      <c r="F54" s="47"/>
      <c r="G54" s="48"/>
      <c r="H54" s="47"/>
      <c r="I54" s="47"/>
      <c r="J54" s="47"/>
      <c r="K54" s="47"/>
      <c r="L54" s="47"/>
      <c r="M54" s="46"/>
      <c r="N54" s="47"/>
      <c r="O54" s="47"/>
      <c r="P54" s="47"/>
      <c r="Q54" s="48"/>
      <c r="R54" s="47"/>
      <c r="S54" s="47"/>
      <c r="T54" s="47"/>
      <c r="U54" s="47"/>
      <c r="V54" s="46"/>
      <c r="W54" s="47"/>
      <c r="X54" s="47"/>
      <c r="Y54" s="48"/>
      <c r="Z54" s="47"/>
      <c r="AA54" s="47"/>
      <c r="AB54" s="47"/>
      <c r="AC54" s="47"/>
      <c r="AD54" s="46"/>
      <c r="AE54" s="47"/>
      <c r="AF54" s="47"/>
      <c r="AG54" s="48"/>
      <c r="AH54" s="47"/>
      <c r="AI54" s="47"/>
      <c r="AJ54" s="47"/>
      <c r="AK54" s="47"/>
      <c r="AL54" s="46"/>
      <c r="AM54" s="47"/>
      <c r="AN54" s="48"/>
      <c r="AO54" s="47"/>
      <c r="AP54" s="47"/>
      <c r="AQ54" s="47"/>
      <c r="AR54" s="46"/>
      <c r="AS54" s="47"/>
      <c r="AT54" s="48"/>
    </row>
    <row r="55" spans="1:46" s="54" customFormat="1" ht="45" hidden="1" customHeight="1" x14ac:dyDescent="0.2">
      <c r="A55" s="99"/>
      <c r="B55" s="100"/>
      <c r="C55" s="96" t="s">
        <v>151</v>
      </c>
      <c r="D55" s="94"/>
      <c r="E55" s="94"/>
      <c r="F55" s="94"/>
      <c r="G55" s="95"/>
      <c r="H55" s="96" t="s">
        <v>151</v>
      </c>
      <c r="I55" s="94"/>
      <c r="J55" s="94"/>
      <c r="K55" s="94"/>
      <c r="L55" s="95"/>
      <c r="M55" s="96" t="s">
        <v>151</v>
      </c>
      <c r="N55" s="94"/>
      <c r="O55" s="94"/>
      <c r="P55" s="94"/>
      <c r="Q55" s="95"/>
      <c r="R55" s="96" t="s">
        <v>151</v>
      </c>
      <c r="S55" s="94"/>
      <c r="T55" s="94"/>
      <c r="U55" s="95"/>
      <c r="V55" s="96" t="s">
        <v>151</v>
      </c>
      <c r="W55" s="94"/>
      <c r="X55" s="94"/>
      <c r="Y55" s="95"/>
      <c r="Z55" s="96" t="s">
        <v>151</v>
      </c>
      <c r="AA55" s="94"/>
      <c r="AB55" s="94"/>
      <c r="AC55" s="95"/>
      <c r="AD55" s="96" t="s">
        <v>151</v>
      </c>
      <c r="AE55" s="94"/>
      <c r="AF55" s="94"/>
      <c r="AG55" s="95"/>
      <c r="AH55" s="96" t="s">
        <v>151</v>
      </c>
      <c r="AI55" s="94"/>
      <c r="AJ55" s="94"/>
      <c r="AK55" s="95"/>
      <c r="AL55" s="96" t="s">
        <v>151</v>
      </c>
      <c r="AM55" s="94"/>
      <c r="AN55" s="95"/>
      <c r="AO55" s="96" t="s">
        <v>151</v>
      </c>
      <c r="AP55" s="94"/>
      <c r="AQ55" s="95"/>
      <c r="AR55" s="96" t="s">
        <v>151</v>
      </c>
      <c r="AS55" s="94"/>
      <c r="AT55" s="95"/>
    </row>
    <row r="56" spans="1:46" s="54" customFormat="1" hidden="1" x14ac:dyDescent="0.2">
      <c r="A56" s="55"/>
      <c r="B56" s="56"/>
      <c r="C56" s="57"/>
      <c r="D56" s="58"/>
      <c r="E56" s="58"/>
      <c r="F56" s="58"/>
      <c r="G56" s="59"/>
      <c r="H56" s="58"/>
      <c r="I56" s="58"/>
      <c r="J56" s="58"/>
      <c r="K56" s="58"/>
      <c r="L56" s="58"/>
      <c r="M56" s="57"/>
      <c r="N56" s="58"/>
      <c r="O56" s="58"/>
      <c r="P56" s="58"/>
      <c r="Q56" s="59"/>
      <c r="R56" s="58"/>
      <c r="S56" s="58"/>
      <c r="T56" s="58"/>
      <c r="U56" s="58"/>
      <c r="V56" s="57"/>
      <c r="W56" s="58"/>
      <c r="X56" s="58"/>
      <c r="Y56" s="59"/>
      <c r="Z56" s="58"/>
      <c r="AA56" s="58"/>
      <c r="AB56" s="58"/>
      <c r="AC56" s="58"/>
      <c r="AD56" s="57"/>
      <c r="AE56" s="58"/>
      <c r="AF56" s="58"/>
      <c r="AG56" s="59"/>
      <c r="AH56" s="58"/>
      <c r="AI56" s="58"/>
      <c r="AJ56" s="58"/>
      <c r="AK56" s="58"/>
      <c r="AL56" s="57"/>
      <c r="AM56" s="58"/>
      <c r="AN56" s="59"/>
      <c r="AO56" s="58"/>
      <c r="AP56" s="58"/>
      <c r="AQ56" s="58"/>
      <c r="AR56" s="57"/>
      <c r="AS56" s="58"/>
      <c r="AT56" s="59"/>
    </row>
    <row r="57" spans="1:46" s="54" customFormat="1" x14ac:dyDescent="0.2">
      <c r="A57" s="55"/>
      <c r="B57" s="56"/>
      <c r="C57" s="57"/>
      <c r="D57" s="58"/>
      <c r="E57" s="58"/>
      <c r="F57" s="58"/>
      <c r="G57" s="59"/>
      <c r="H57" s="58"/>
      <c r="I57" s="58"/>
      <c r="J57" s="58"/>
      <c r="K57" s="58"/>
      <c r="L57" s="58"/>
      <c r="M57" s="57"/>
      <c r="N57" s="58"/>
      <c r="O57" s="58"/>
      <c r="P57" s="58"/>
      <c r="Q57" s="59"/>
      <c r="R57" s="58"/>
      <c r="S57" s="58"/>
      <c r="T57" s="58"/>
      <c r="U57" s="58"/>
      <c r="V57" s="57"/>
      <c r="W57" s="58"/>
      <c r="X57" s="58"/>
      <c r="Y57" s="59"/>
      <c r="Z57" s="58"/>
      <c r="AA57" s="58"/>
      <c r="AB57" s="58"/>
      <c r="AC57" s="58"/>
      <c r="AD57" s="57"/>
      <c r="AE57" s="58"/>
      <c r="AF57" s="58"/>
      <c r="AG57" s="59"/>
      <c r="AH57" s="58"/>
      <c r="AI57" s="58"/>
      <c r="AJ57" s="58"/>
      <c r="AK57" s="58"/>
      <c r="AL57" s="57"/>
      <c r="AM57" s="58"/>
      <c r="AN57" s="59"/>
      <c r="AO57" s="58"/>
      <c r="AP57" s="58"/>
      <c r="AQ57" s="58"/>
      <c r="AR57" s="57"/>
      <c r="AS57" s="58"/>
      <c r="AT57" s="59"/>
    </row>
    <row r="58" spans="1:46" x14ac:dyDescent="0.2">
      <c r="A58" s="73" t="s">
        <v>153</v>
      </c>
      <c r="B58" s="74"/>
      <c r="C58" s="75"/>
      <c r="D58" s="76"/>
      <c r="E58" s="76"/>
      <c r="F58" s="76"/>
      <c r="G58" s="77"/>
      <c r="H58" s="78"/>
      <c r="I58" s="78"/>
      <c r="J58" s="78"/>
      <c r="K58" s="78"/>
      <c r="L58" s="78"/>
      <c r="M58" s="79"/>
      <c r="N58" s="78"/>
      <c r="O58" s="78"/>
      <c r="P58" s="78"/>
      <c r="Q58" s="80"/>
      <c r="R58" s="78"/>
      <c r="S58" s="78"/>
      <c r="T58" s="78"/>
      <c r="U58" s="78"/>
      <c r="V58" s="79"/>
      <c r="W58" s="78"/>
      <c r="X58" s="78"/>
      <c r="Y58" s="80"/>
      <c r="Z58" s="78"/>
      <c r="AA58" s="78"/>
      <c r="AB58" s="78"/>
      <c r="AC58" s="78"/>
      <c r="AD58" s="79"/>
      <c r="AE58" s="78"/>
      <c r="AF58" s="78"/>
      <c r="AG58" s="80"/>
      <c r="AH58" s="81"/>
      <c r="AI58" s="81"/>
      <c r="AJ58" s="81"/>
      <c r="AK58" s="81"/>
      <c r="AL58" s="82"/>
      <c r="AM58" s="81"/>
      <c r="AN58" s="83"/>
      <c r="AO58" s="81"/>
      <c r="AP58" s="81"/>
      <c r="AQ58" s="81"/>
      <c r="AR58" s="82"/>
      <c r="AS58" s="81"/>
      <c r="AT58" s="83"/>
    </row>
    <row r="59" spans="1:46" ht="145.5" customHeight="1" x14ac:dyDescent="0.2">
      <c r="A59" s="104"/>
      <c r="B59" s="105"/>
      <c r="C59" s="96" t="s">
        <v>218</v>
      </c>
      <c r="D59" s="94"/>
      <c r="E59" s="94"/>
      <c r="F59" s="94"/>
      <c r="G59" s="95"/>
      <c r="H59" s="96" t="s">
        <v>218</v>
      </c>
      <c r="I59" s="94"/>
      <c r="J59" s="94"/>
      <c r="K59" s="94"/>
      <c r="L59" s="95"/>
      <c r="M59" s="96" t="s">
        <v>220</v>
      </c>
      <c r="N59" s="94"/>
      <c r="O59" s="94"/>
      <c r="P59" s="94"/>
      <c r="Q59" s="95"/>
      <c r="R59" s="96" t="s">
        <v>223</v>
      </c>
      <c r="S59" s="94"/>
      <c r="T59" s="94"/>
      <c r="U59" s="95"/>
      <c r="V59" s="96" t="s">
        <v>223</v>
      </c>
      <c r="W59" s="94"/>
      <c r="X59" s="94"/>
      <c r="Y59" s="95"/>
      <c r="Z59" s="96" t="s">
        <v>223</v>
      </c>
      <c r="AA59" s="94"/>
      <c r="AB59" s="94"/>
      <c r="AC59" s="95"/>
      <c r="AD59" s="96" t="s">
        <v>223</v>
      </c>
      <c r="AE59" s="94"/>
      <c r="AF59" s="94"/>
      <c r="AG59" s="95"/>
      <c r="AH59" s="96" t="s">
        <v>223</v>
      </c>
      <c r="AI59" s="94"/>
      <c r="AJ59" s="94"/>
      <c r="AK59" s="95"/>
      <c r="AL59" s="96" t="s">
        <v>273</v>
      </c>
      <c r="AM59" s="94"/>
      <c r="AN59" s="95"/>
      <c r="AO59" s="96" t="s">
        <v>273</v>
      </c>
      <c r="AP59" s="94"/>
      <c r="AQ59" s="95"/>
      <c r="AR59" s="96" t="s">
        <v>294</v>
      </c>
      <c r="AS59" s="94"/>
      <c r="AT59" s="95"/>
    </row>
    <row r="60" spans="1:46" s="54" customFormat="1" x14ac:dyDescent="0.2">
      <c r="A60" s="66"/>
      <c r="B60" s="67"/>
      <c r="C60" s="68"/>
      <c r="D60" s="69"/>
      <c r="E60" s="69"/>
      <c r="F60" s="69"/>
      <c r="G60" s="70"/>
      <c r="H60" s="69"/>
      <c r="I60" s="69"/>
      <c r="J60" s="69"/>
      <c r="K60" s="69"/>
      <c r="L60" s="69"/>
      <c r="M60" s="68"/>
      <c r="N60" s="69"/>
      <c r="O60" s="69"/>
      <c r="P60" s="69"/>
      <c r="Q60" s="70"/>
      <c r="R60" s="69"/>
      <c r="S60" s="69"/>
      <c r="T60" s="69"/>
      <c r="U60" s="69"/>
      <c r="V60" s="68"/>
      <c r="W60" s="69"/>
      <c r="X60" s="69"/>
      <c r="Y60" s="70"/>
      <c r="Z60" s="69"/>
      <c r="AA60" s="69"/>
      <c r="AB60" s="69"/>
      <c r="AC60" s="69"/>
      <c r="AD60" s="68"/>
      <c r="AE60" s="69"/>
      <c r="AF60" s="69"/>
      <c r="AG60" s="70"/>
      <c r="AH60" s="69"/>
      <c r="AI60" s="69"/>
      <c r="AJ60" s="69"/>
      <c r="AK60" s="69"/>
      <c r="AL60" s="68"/>
      <c r="AM60" s="69"/>
      <c r="AN60" s="70"/>
      <c r="AO60" s="69"/>
      <c r="AP60" s="69"/>
      <c r="AQ60" s="69"/>
      <c r="AR60" s="68"/>
      <c r="AS60" s="69"/>
      <c r="AT60" s="70"/>
    </row>
  </sheetData>
  <mergeCells count="217">
    <mergeCell ref="AR39:AT39"/>
    <mergeCell ref="AR42:AT42"/>
    <mergeCell ref="AR47:AT47"/>
    <mergeCell ref="AR51:AT51"/>
    <mergeCell ref="AR55:AT55"/>
    <mergeCell ref="AR8:AT8"/>
    <mergeCell ref="AR11:AT11"/>
    <mergeCell ref="AR23:AT23"/>
    <mergeCell ref="AR33:AT33"/>
    <mergeCell ref="AR36:AT36"/>
    <mergeCell ref="AR24:AT24"/>
    <mergeCell ref="AO7:AQ7"/>
    <mergeCell ref="AR5:AT5"/>
    <mergeCell ref="AR6:AT6"/>
    <mergeCell ref="AR7:AT7"/>
    <mergeCell ref="Z8:AC8"/>
    <mergeCell ref="AD8:AG8"/>
    <mergeCell ref="AH8:AK8"/>
    <mergeCell ref="AL8:AN8"/>
    <mergeCell ref="AO8:AQ8"/>
    <mergeCell ref="AO6:AQ6"/>
    <mergeCell ref="Z5:AC5"/>
    <mergeCell ref="AD5:AG5"/>
    <mergeCell ref="AH5:AK5"/>
    <mergeCell ref="AL5:AN5"/>
    <mergeCell ref="AO5:AQ5"/>
    <mergeCell ref="Z6:AC6"/>
    <mergeCell ref="AD6:AG6"/>
    <mergeCell ref="AH6:AK6"/>
    <mergeCell ref="AL6:AN6"/>
    <mergeCell ref="Z7:AC7"/>
    <mergeCell ref="AD7:AG7"/>
    <mergeCell ref="AH7:AK7"/>
    <mergeCell ref="AL7:AN7"/>
    <mergeCell ref="AL25:AN25"/>
    <mergeCell ref="C55:G55"/>
    <mergeCell ref="H55:L55"/>
    <mergeCell ref="M55:Q55"/>
    <mergeCell ref="R55:U55"/>
    <mergeCell ref="V55:Y55"/>
    <mergeCell ref="C51:G51"/>
    <mergeCell ref="H51:L51"/>
    <mergeCell ref="M51:Q51"/>
    <mergeCell ref="R51:U51"/>
    <mergeCell ref="V51:Y51"/>
    <mergeCell ref="Z55:AC55"/>
    <mergeCell ref="AD55:AG55"/>
    <mergeCell ref="AH55:AK55"/>
    <mergeCell ref="AL55:AN55"/>
    <mergeCell ref="C47:G47"/>
    <mergeCell ref="H47:L47"/>
    <mergeCell ref="M47:Q47"/>
    <mergeCell ref="R47:U47"/>
    <mergeCell ref="V47:Y47"/>
    <mergeCell ref="V36:Y36"/>
    <mergeCell ref="AO55:AQ55"/>
    <mergeCell ref="Z51:AC51"/>
    <mergeCell ref="AD51:AG51"/>
    <mergeCell ref="AH51:AK51"/>
    <mergeCell ref="AL51:AN51"/>
    <mergeCell ref="AO51:AQ51"/>
    <mergeCell ref="AO47:AQ47"/>
    <mergeCell ref="Z42:AC42"/>
    <mergeCell ref="AD42:AG42"/>
    <mergeCell ref="AH42:AK42"/>
    <mergeCell ref="AL42:AN42"/>
    <mergeCell ref="AO42:AQ42"/>
    <mergeCell ref="Z47:AC47"/>
    <mergeCell ref="AD47:AG47"/>
    <mergeCell ref="AH47:AK47"/>
    <mergeCell ref="AL47:AN47"/>
    <mergeCell ref="AO39:AQ39"/>
    <mergeCell ref="C42:G42"/>
    <mergeCell ref="H42:L42"/>
    <mergeCell ref="M42:Q42"/>
    <mergeCell ref="R42:U42"/>
    <mergeCell ref="V42:Y42"/>
    <mergeCell ref="Z36:AC36"/>
    <mergeCell ref="AD36:AG36"/>
    <mergeCell ref="AH36:AK36"/>
    <mergeCell ref="AL36:AN36"/>
    <mergeCell ref="AO36:AQ36"/>
    <mergeCell ref="C39:G39"/>
    <mergeCell ref="H39:L39"/>
    <mergeCell ref="M39:Q39"/>
    <mergeCell ref="R39:U39"/>
    <mergeCell ref="V39:Y39"/>
    <mergeCell ref="Z39:AC39"/>
    <mergeCell ref="AD39:AG39"/>
    <mergeCell ref="AH39:AK39"/>
    <mergeCell ref="AL39:AN39"/>
    <mergeCell ref="C36:G36"/>
    <mergeCell ref="H36:L36"/>
    <mergeCell ref="M36:Q36"/>
    <mergeCell ref="R36:U36"/>
    <mergeCell ref="AO11:AQ11"/>
    <mergeCell ref="C11:G11"/>
    <mergeCell ref="H11:L11"/>
    <mergeCell ref="M11:Q11"/>
    <mergeCell ref="R11:U11"/>
    <mergeCell ref="V11:Y11"/>
    <mergeCell ref="AO23:AQ23"/>
    <mergeCell ref="C33:G33"/>
    <mergeCell ref="H33:L33"/>
    <mergeCell ref="M33:Q33"/>
    <mergeCell ref="R33:U33"/>
    <mergeCell ref="V33:Y33"/>
    <mergeCell ref="Z33:AC33"/>
    <mergeCell ref="AD33:AG33"/>
    <mergeCell ref="AH33:AK33"/>
    <mergeCell ref="AL33:AN33"/>
    <mergeCell ref="AO33:AQ33"/>
    <mergeCell ref="C23:G23"/>
    <mergeCell ref="H23:L23"/>
    <mergeCell ref="M23:Q23"/>
    <mergeCell ref="R23:U23"/>
    <mergeCell ref="V23:Y23"/>
    <mergeCell ref="Z23:AC23"/>
    <mergeCell ref="AD23:AG23"/>
    <mergeCell ref="AH11:AK11"/>
    <mergeCell ref="AL11:AN11"/>
    <mergeCell ref="C8:G8"/>
    <mergeCell ref="H8:L8"/>
    <mergeCell ref="M8:Q8"/>
    <mergeCell ref="R8:U8"/>
    <mergeCell ref="V8:Y8"/>
    <mergeCell ref="C6:G6"/>
    <mergeCell ref="H6:L6"/>
    <mergeCell ref="M6:Q6"/>
    <mergeCell ref="R6:U6"/>
    <mergeCell ref="V6:Y6"/>
    <mergeCell ref="C7:G7"/>
    <mergeCell ref="H7:L7"/>
    <mergeCell ref="M7:Q7"/>
    <mergeCell ref="R7:U7"/>
    <mergeCell ref="V7:Y7"/>
    <mergeCell ref="C5:G5"/>
    <mergeCell ref="H5:L5"/>
    <mergeCell ref="M5:Q5"/>
    <mergeCell ref="R5:U5"/>
    <mergeCell ref="V5:Y5"/>
    <mergeCell ref="Z11:AC11"/>
    <mergeCell ref="AD11:AG11"/>
    <mergeCell ref="Z20:AC20"/>
    <mergeCell ref="AD20:AG20"/>
    <mergeCell ref="AL24:AN24"/>
    <mergeCell ref="AO24:AQ24"/>
    <mergeCell ref="AD25:AG25"/>
    <mergeCell ref="AH25:AK25"/>
    <mergeCell ref="A18:B18"/>
    <mergeCell ref="A23:B23"/>
    <mergeCell ref="A24:B24"/>
    <mergeCell ref="A25:B25"/>
    <mergeCell ref="C24:G24"/>
    <mergeCell ref="H24:L24"/>
    <mergeCell ref="M24:Q24"/>
    <mergeCell ref="R24:U24"/>
    <mergeCell ref="V24:Y24"/>
    <mergeCell ref="C25:G25"/>
    <mergeCell ref="H25:L25"/>
    <mergeCell ref="M25:Q25"/>
    <mergeCell ref="R25:U25"/>
    <mergeCell ref="V25:Y25"/>
    <mergeCell ref="A20:B20"/>
    <mergeCell ref="C20:G20"/>
    <mergeCell ref="H20:L20"/>
    <mergeCell ref="M20:Q20"/>
    <mergeCell ref="R20:U20"/>
    <mergeCell ref="V20:Y20"/>
    <mergeCell ref="A51:B51"/>
    <mergeCell ref="A55:B55"/>
    <mergeCell ref="AL59:AN59"/>
    <mergeCell ref="AO59:AQ59"/>
    <mergeCell ref="AR59:AT59"/>
    <mergeCell ref="C17:G17"/>
    <mergeCell ref="H17:L17"/>
    <mergeCell ref="M17:Q17"/>
    <mergeCell ref="R17:U17"/>
    <mergeCell ref="V17:Y17"/>
    <mergeCell ref="Z17:AC17"/>
    <mergeCell ref="AD17:AG17"/>
    <mergeCell ref="A59:B59"/>
    <mergeCell ref="C59:G59"/>
    <mergeCell ref="H59:L59"/>
    <mergeCell ref="M59:Q59"/>
    <mergeCell ref="R59:U59"/>
    <mergeCell ref="V59:Y59"/>
    <mergeCell ref="Z59:AC59"/>
    <mergeCell ref="AD59:AG59"/>
    <mergeCell ref="AH59:AK59"/>
    <mergeCell ref="AO25:AQ25"/>
    <mergeCell ref="AR25:AT25"/>
    <mergeCell ref="A19:B19"/>
    <mergeCell ref="AH20:AK20"/>
    <mergeCell ref="AL20:AN20"/>
    <mergeCell ref="AO20:AQ20"/>
    <mergeCell ref="AR20:AT20"/>
    <mergeCell ref="A12:B12"/>
    <mergeCell ref="A11:B11"/>
    <mergeCell ref="A47:B47"/>
    <mergeCell ref="C19:G19"/>
    <mergeCell ref="H19:L19"/>
    <mergeCell ref="M19:Q19"/>
    <mergeCell ref="R19:U19"/>
    <mergeCell ref="V19:Y19"/>
    <mergeCell ref="Z19:AC19"/>
    <mergeCell ref="AD19:AG19"/>
    <mergeCell ref="AH19:AK19"/>
    <mergeCell ref="AL19:AN19"/>
    <mergeCell ref="AO19:AQ19"/>
    <mergeCell ref="AR19:AT19"/>
    <mergeCell ref="Z24:AC24"/>
    <mergeCell ref="Z25:AC25"/>
    <mergeCell ref="AH23:AK23"/>
    <mergeCell ref="AL23:AN23"/>
    <mergeCell ref="AD24:AG24"/>
    <mergeCell ref="AH24:AK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V52"/>
  <sheetViews>
    <sheetView showGridLines="0" workbookViewId="0">
      <selection sqref="A1:M1"/>
    </sheetView>
  </sheetViews>
  <sheetFormatPr defaultRowHeight="12.75" x14ac:dyDescent="0.2"/>
  <cols>
    <col min="1" max="1" width="30.7109375" style="1" bestFit="1" customWidth="1"/>
    <col min="2" max="12" width="9.140625" style="1"/>
    <col min="13" max="13" width="9.140625" style="1" customWidth="1"/>
    <col min="14" max="14" width="18.28515625" style="1" customWidth="1"/>
    <col min="15" max="15" width="2.7109375" style="1" customWidth="1"/>
    <col min="16" max="16" width="16.140625" style="1" customWidth="1"/>
    <col min="17" max="17" width="2.7109375" style="1" customWidth="1"/>
    <col min="18" max="18" width="14.140625" style="1" customWidth="1"/>
    <col min="19" max="19" width="2.7109375" style="1" customWidth="1"/>
    <col min="20" max="20" width="16" style="1" customWidth="1"/>
    <col min="21" max="21" width="2.7109375" style="1" customWidth="1"/>
    <col min="22" max="22" width="18.42578125" style="1" customWidth="1"/>
    <col min="23" max="16384" width="9.140625" style="1"/>
  </cols>
  <sheetData>
    <row r="1" spans="1:18" ht="15" x14ac:dyDescent="0.2">
      <c r="A1" s="133" t="s">
        <v>98</v>
      </c>
      <c r="B1" s="133"/>
      <c r="C1" s="133"/>
      <c r="D1" s="133"/>
      <c r="E1" s="133"/>
      <c r="F1" s="133"/>
      <c r="G1" s="133"/>
      <c r="H1" s="133"/>
      <c r="I1" s="133"/>
      <c r="J1" s="133"/>
      <c r="K1" s="133"/>
      <c r="L1" s="133"/>
      <c r="M1" s="133"/>
    </row>
    <row r="3" spans="1:18" s="2" customFormat="1" x14ac:dyDescent="0.2">
      <c r="A3" s="15" t="s">
        <v>301</v>
      </c>
      <c r="N3" s="15" t="s">
        <v>35</v>
      </c>
    </row>
    <row r="5" spans="1:18" x14ac:dyDescent="0.2">
      <c r="B5" s="2">
        <f>'Income Statement'!B3</f>
        <v>2007</v>
      </c>
      <c r="C5" s="2">
        <f>'Income Statement'!C3</f>
        <v>2008</v>
      </c>
      <c r="D5" s="2">
        <f>'Income Statement'!D3</f>
        <v>2009</v>
      </c>
      <c r="E5" s="2">
        <f>'Income Statement'!E3</f>
        <v>2010</v>
      </c>
      <c r="F5" s="2">
        <f>'Income Statement'!F3</f>
        <v>2011</v>
      </c>
      <c r="G5" s="2">
        <f>'Income Statement'!G3</f>
        <v>2012</v>
      </c>
      <c r="H5" s="2">
        <f>'Income Statement'!H3</f>
        <v>2013</v>
      </c>
      <c r="I5" s="2">
        <f>'Income Statement'!I3</f>
        <v>2014</v>
      </c>
      <c r="J5" s="2">
        <f>'Income Statement'!J3</f>
        <v>2015</v>
      </c>
      <c r="K5" s="2">
        <f>'Income Statement'!K3</f>
        <v>2016</v>
      </c>
      <c r="L5" s="2">
        <f>'Income Statement'!L3</f>
        <v>2017</v>
      </c>
      <c r="M5" s="2"/>
      <c r="N5" s="4" t="s">
        <v>43</v>
      </c>
    </row>
    <row r="6" spans="1:18" x14ac:dyDescent="0.2">
      <c r="A6" s="2" t="s">
        <v>69</v>
      </c>
      <c r="N6" s="12">
        <f>'Income Statement'!L4</f>
        <v>46379</v>
      </c>
    </row>
    <row r="7" spans="1:18" x14ac:dyDescent="0.2">
      <c r="A7" s="1" t="s">
        <v>68</v>
      </c>
      <c r="B7" s="5">
        <f>'Balance Sheet'!B25/'Balance Sheet'!B51</f>
        <v>2.7347729789590254</v>
      </c>
      <c r="C7" s="5">
        <f>'Balance Sheet'!C25/'Balance Sheet'!C51</f>
        <v>3.4467602146099878</v>
      </c>
      <c r="D7" s="5">
        <f>'Balance Sheet'!D25/'Balance Sheet'!D51</f>
        <v>7.9424620874219443</v>
      </c>
      <c r="E7" s="5">
        <f>'Balance Sheet'!E25/'Balance Sheet'!E51</f>
        <v>8.2715133531157274</v>
      </c>
      <c r="F7" s="5">
        <f>'Balance Sheet'!F25/'Balance Sheet'!F51</f>
        <v>4.3134870894961139</v>
      </c>
      <c r="G7" s="5">
        <f>'Balance Sheet'!G25/'Balance Sheet'!G51</f>
        <v>6.1820642978003386</v>
      </c>
      <c r="H7" s="5">
        <f>'Balance Sheet'!H25/'Balance Sheet'!H51</f>
        <v>8.212797344643187</v>
      </c>
      <c r="I7" s="5">
        <f>'Balance Sheet'!I25/'Balance Sheet'!I51</f>
        <v>5.2295284085071403</v>
      </c>
      <c r="J7" s="5">
        <f>'Balance Sheet'!J25/'Balance Sheet'!J51</f>
        <v>9.8061451384677589</v>
      </c>
      <c r="K7" s="5">
        <f>'Balance Sheet'!K25/'Balance Sheet'!K51</f>
        <v>9.6840474961280325</v>
      </c>
      <c r="L7" s="5">
        <f>'Balance Sheet'!L25/'Balance Sheet'!L51</f>
        <v>11.887206367695594</v>
      </c>
      <c r="M7" s="5"/>
    </row>
    <row r="8" spans="1:18" x14ac:dyDescent="0.2">
      <c r="A8" s="1" t="s">
        <v>70</v>
      </c>
      <c r="B8" s="5">
        <f>('Balance Sheet'!B23-'Balance Sheet'!B16)/'Balance Sheet'!B51</f>
        <v>1.050110741971207</v>
      </c>
      <c r="C8" s="5">
        <f>('Balance Sheet'!C23-'Balance Sheet'!C16)/'Balance Sheet'!C51</f>
        <v>1.7536112257531986</v>
      </c>
      <c r="D8" s="5">
        <f>('Balance Sheet'!D23-'Balance Sheet'!D16)/'Balance Sheet'!D51</f>
        <v>2.5762711864406778</v>
      </c>
      <c r="E8" s="5">
        <f>('Balance Sheet'!E23-'Balance Sheet'!E16)/'Balance Sheet'!E51</f>
        <v>3.2869436201780418</v>
      </c>
      <c r="F8" s="5">
        <f>('Balance Sheet'!F23-'Balance Sheet'!F16)/'Balance Sheet'!F51</f>
        <v>1.5260716971672099</v>
      </c>
      <c r="G8" s="5">
        <f>('Balance Sheet'!G23-'Balance Sheet'!G16)/'Balance Sheet'!G51</f>
        <v>1.7040609137055838</v>
      </c>
      <c r="H8" s="5">
        <f>('Balance Sheet'!H23-'Balance Sheet'!H16)/'Balance Sheet'!H51</f>
        <v>2.2769684676378388</v>
      </c>
      <c r="I8" s="5">
        <f>('Balance Sheet'!I23-'Balance Sheet'!I16)/'Balance Sheet'!I51</f>
        <v>1.3876502619952737</v>
      </c>
      <c r="J8" s="5">
        <f>('Balance Sheet'!J23-'Balance Sheet'!J16)/'Balance Sheet'!J51</f>
        <v>2.3992318576915301</v>
      </c>
      <c r="K8" s="5">
        <f>('Balance Sheet'!K23-'Balance Sheet'!K16)/'Balance Sheet'!K51</f>
        <v>3.5315780416451559</v>
      </c>
      <c r="L8" s="5">
        <f>('Balance Sheet'!L23-'Balance Sheet'!L16)/'Balance Sheet'!L51</f>
        <v>4.0077654824305959</v>
      </c>
      <c r="M8" s="5"/>
      <c r="N8" s="6" t="s">
        <v>44</v>
      </c>
      <c r="P8" s="134" t="s">
        <v>45</v>
      </c>
    </row>
    <row r="9" spans="1:18" x14ac:dyDescent="0.2">
      <c r="A9" s="1" t="s">
        <v>80</v>
      </c>
      <c r="B9" s="7">
        <f>'Balance Sheet'!B23-'Balance Sheet'!B51</f>
        <v>181</v>
      </c>
      <c r="C9" s="7">
        <f>'Balance Sheet'!C23-'Balance Sheet'!C51</f>
        <v>3652</v>
      </c>
      <c r="D9" s="7">
        <f>'Balance Sheet'!D23-'Balance Sheet'!D51</f>
        <v>3534</v>
      </c>
      <c r="E9" s="7">
        <f>'Balance Sheet'!E23-'Balance Sheet'!E51</f>
        <v>7707</v>
      </c>
      <c r="F9" s="7">
        <f>'Balance Sheet'!F23-'Balance Sheet'!F51</f>
        <v>4197</v>
      </c>
      <c r="G9" s="7">
        <f>'Balance Sheet'!G23-'Balance Sheet'!G51</f>
        <v>4161</v>
      </c>
      <c r="H9" s="7">
        <f>'Balance Sheet'!H23-'Balance Sheet'!H51</f>
        <v>6925</v>
      </c>
      <c r="I9" s="7">
        <f>'Balance Sheet'!I23-'Balance Sheet'!I51</f>
        <v>3773</v>
      </c>
      <c r="J9" s="7">
        <f>'Balance Sheet'!J23-'Balance Sheet'!J51</f>
        <v>6922</v>
      </c>
      <c r="K9" s="7">
        <f>'Balance Sheet'!K23-'Balance Sheet'!K51</f>
        <v>14711</v>
      </c>
      <c r="L9" s="7">
        <f>'Balance Sheet'!L23-'Balance Sheet'!L51</f>
        <v>15493</v>
      </c>
      <c r="M9" s="7"/>
      <c r="P9" s="134"/>
    </row>
    <row r="10" spans="1:18" x14ac:dyDescent="0.2">
      <c r="B10" s="7"/>
      <c r="C10" s="7"/>
      <c r="D10" s="7"/>
      <c r="E10" s="7"/>
      <c r="F10" s="7"/>
      <c r="G10" s="7"/>
      <c r="H10" s="7"/>
      <c r="I10" s="7"/>
      <c r="J10" s="7"/>
      <c r="K10" s="7"/>
      <c r="L10" s="7"/>
      <c r="M10" s="7"/>
      <c r="N10" s="4" t="s">
        <v>46</v>
      </c>
      <c r="P10" s="134"/>
    </row>
    <row r="11" spans="1:18" x14ac:dyDescent="0.2">
      <c r="A11" s="2" t="s">
        <v>71</v>
      </c>
      <c r="B11" s="5"/>
      <c r="C11" s="5"/>
      <c r="D11" s="5"/>
      <c r="E11" s="5"/>
      <c r="F11" s="5"/>
      <c r="G11" s="5"/>
      <c r="H11" s="5"/>
      <c r="I11" s="5"/>
      <c r="J11" s="5"/>
      <c r="K11" s="5"/>
      <c r="L11" s="5"/>
      <c r="M11" s="5"/>
      <c r="N11" s="12">
        <f>'Income Statement'!L5</f>
        <v>0</v>
      </c>
      <c r="P11" s="12">
        <f>'Income Statement Analysis'!L14</f>
        <v>16207</v>
      </c>
    </row>
    <row r="12" spans="1:18" x14ac:dyDescent="0.2">
      <c r="A12" s="1" t="s">
        <v>72</v>
      </c>
      <c r="B12" s="5"/>
      <c r="C12" s="5"/>
      <c r="D12" s="5"/>
      <c r="E12" s="5"/>
      <c r="F12" s="5"/>
      <c r="G12" s="5"/>
      <c r="H12" s="5"/>
      <c r="I12" s="5"/>
      <c r="J12" s="5"/>
      <c r="K12" s="5"/>
      <c r="L12" s="5"/>
      <c r="M12" s="5"/>
      <c r="R12" s="4" t="s">
        <v>47</v>
      </c>
    </row>
    <row r="13" spans="1:18" x14ac:dyDescent="0.2">
      <c r="A13" s="1" t="s">
        <v>81</v>
      </c>
      <c r="B13" s="7">
        <f>'Balance Sheet'!B21/('Income Statement'!B4/365)</f>
        <v>0</v>
      </c>
      <c r="C13" s="7">
        <f>'Balance Sheet'!C21/('Income Statement'!C4/365)</f>
        <v>9.3471441947565541</v>
      </c>
      <c r="D13" s="7">
        <f>'Balance Sheet'!D21/('Income Statement'!D4/365)</f>
        <v>2.042677717019822</v>
      </c>
      <c r="E13" s="7">
        <f>'Balance Sheet'!E21/('Income Statement'!E4/365)</f>
        <v>0.2263331955353452</v>
      </c>
      <c r="F13" s="7">
        <f>'Balance Sheet'!F21/('Income Statement'!F4/365)</f>
        <v>0.2405618602352069</v>
      </c>
      <c r="G13" s="7">
        <f>'Balance Sheet'!G21/('Income Statement'!G4/365)</f>
        <v>0.61039475421379219</v>
      </c>
      <c r="H13" s="7">
        <f>'Balance Sheet'!H21/('Income Statement'!H4/365)</f>
        <v>0</v>
      </c>
      <c r="I13" s="7">
        <f>'Balance Sheet'!I21/('Income Statement'!I4/365)</f>
        <v>0</v>
      </c>
      <c r="J13" s="7">
        <f>'Balance Sheet'!J21/('Income Statement'!J4/365)</f>
        <v>0</v>
      </c>
      <c r="K13" s="7">
        <f>'Balance Sheet'!K21/('Income Statement'!K4/365)</f>
        <v>0</v>
      </c>
      <c r="L13" s="7">
        <f>'Balance Sheet'!L21/('Income Statement'!L4/365)</f>
        <v>0</v>
      </c>
      <c r="M13" s="7"/>
      <c r="N13" s="6" t="s">
        <v>44</v>
      </c>
      <c r="R13" s="13">
        <f>P11/P16</f>
        <v>0.34944694797214254</v>
      </c>
    </row>
    <row r="14" spans="1:18" x14ac:dyDescent="0.2">
      <c r="B14" s="7"/>
      <c r="C14" s="7"/>
      <c r="D14" s="7"/>
      <c r="E14" s="7"/>
      <c r="F14" s="7"/>
      <c r="G14" s="7"/>
      <c r="H14" s="7"/>
      <c r="I14" s="7"/>
      <c r="J14" s="7"/>
      <c r="K14" s="7"/>
      <c r="L14" s="7"/>
      <c r="M14" s="7"/>
    </row>
    <row r="15" spans="1:18" x14ac:dyDescent="0.2">
      <c r="A15" s="1" t="s">
        <v>73</v>
      </c>
      <c r="B15" s="8">
        <f>'Income Statement'!B4/'Balance Sheet'!B25</f>
        <v>1.1638995748127152</v>
      </c>
      <c r="C15" s="8">
        <f>'Income Statement'!C4/'Balance Sheet'!C25</f>
        <v>1.278812189427049</v>
      </c>
      <c r="D15" s="8">
        <f>'Income Statement'!D4/'Balance Sheet'!D25</f>
        <v>1.3145392261470208</v>
      </c>
      <c r="E15" s="8">
        <f>'Income Statement'!E4/'Balance Sheet'!E25</f>
        <v>1.3884843049327353</v>
      </c>
      <c r="F15" s="8">
        <f>'Income Statement'!F4/'Balance Sheet'!F25</f>
        <v>1.4108912329642866</v>
      </c>
      <c r="G15" s="8">
        <f>'Income Statement'!G4/'Balance Sheet'!G25</f>
        <v>1.2438690606525071</v>
      </c>
      <c r="H15" s="8">
        <f>'Income Statement'!H4/'Balance Sheet'!H25</f>
        <v>1.222798509138264</v>
      </c>
      <c r="I15" s="8">
        <f>'Income Statement'!I4/'Balance Sheet'!I25</f>
        <v>0.9351264268453211</v>
      </c>
      <c r="J15" s="8">
        <f>'Income Statement'!J4/'Balance Sheet'!J25</f>
        <v>0.72684545773123621</v>
      </c>
      <c r="K15" s="8">
        <f>'Income Statement'!K4/'Balance Sheet'!K25</f>
        <v>0.71356221345559223</v>
      </c>
      <c r="L15" s="8">
        <f>'Income Statement'!L4/'Balance Sheet'!L25</f>
        <v>0.7574431252143522</v>
      </c>
      <c r="M15" s="8"/>
      <c r="N15" s="4" t="s">
        <v>48</v>
      </c>
      <c r="P15" s="4" t="str">
        <f>N5</f>
        <v xml:space="preserve">Sales </v>
      </c>
    </row>
    <row r="16" spans="1:18" x14ac:dyDescent="0.2">
      <c r="B16" s="5"/>
      <c r="C16" s="5"/>
      <c r="D16" s="5"/>
      <c r="E16" s="5"/>
      <c r="F16" s="5"/>
      <c r="G16" s="5"/>
      <c r="H16" s="5"/>
      <c r="I16" s="5"/>
      <c r="J16" s="5"/>
      <c r="K16" s="5"/>
      <c r="L16" s="5"/>
      <c r="M16" s="5"/>
      <c r="N16" s="12">
        <f>'Income Statement'!L7</f>
        <v>24989</v>
      </c>
      <c r="P16" s="12">
        <f>N6</f>
        <v>46379</v>
      </c>
    </row>
    <row r="17" spans="1:22" x14ac:dyDescent="0.2">
      <c r="A17" s="2" t="s">
        <v>74</v>
      </c>
      <c r="B17" s="5"/>
      <c r="C17" s="5"/>
      <c r="D17" s="5"/>
      <c r="E17" s="5"/>
      <c r="F17" s="5"/>
      <c r="G17" s="5"/>
      <c r="H17" s="5"/>
      <c r="I17" s="5"/>
      <c r="J17" s="5"/>
      <c r="K17" s="5"/>
      <c r="L17" s="5"/>
      <c r="M17" s="5"/>
    </row>
    <row r="18" spans="1:22" x14ac:dyDescent="0.2">
      <c r="A18" s="1" t="s">
        <v>75</v>
      </c>
      <c r="B18" s="8">
        <f>'Balance Sheet'!B53/'Balance Sheet'!B25</f>
        <v>0.65610447458999799</v>
      </c>
      <c r="C18" s="8">
        <f>'Balance Sheet'!C53/'Balance Sheet'!C25</f>
        <v>0.49075016464108245</v>
      </c>
      <c r="D18" s="8">
        <f>'Balance Sheet'!D53/'Balance Sheet'!D25</f>
        <v>0.49705172123322289</v>
      </c>
      <c r="E18" s="8">
        <f>'Balance Sheet'!E53/'Balance Sheet'!E25</f>
        <v>0.34077130044843051</v>
      </c>
      <c r="F18" s="8">
        <f>'Balance Sheet'!F53/'Balance Sheet'!F25</f>
        <v>0.40162148025455496</v>
      </c>
      <c r="G18" s="8">
        <f>'Balance Sheet'!G53/'Balance Sheet'!G25</f>
        <v>0.47150755419312457</v>
      </c>
      <c r="H18" s="8">
        <f>'Balance Sheet'!H53/'Balance Sheet'!H25</f>
        <v>0.38964479770083971</v>
      </c>
      <c r="I18" s="8">
        <f>'Balance Sheet'!I53/'Balance Sheet'!I25</f>
        <v>0.46951806518792116</v>
      </c>
      <c r="J18" s="8">
        <f>'Balance Sheet'!J53/'Balance Sheet'!J25</f>
        <v>0.48121044711508731</v>
      </c>
      <c r="K18" s="8">
        <f>'Balance Sheet'!K53/'Balance Sheet'!K25</f>
        <v>0.35078366563599533</v>
      </c>
      <c r="L18" s="8">
        <f>'Balance Sheet'!L53/'Balance Sheet'!L25</f>
        <v>0.25919877186392515</v>
      </c>
      <c r="M18" s="8"/>
      <c r="N18" s="6" t="s">
        <v>44</v>
      </c>
    </row>
    <row r="19" spans="1:22" x14ac:dyDescent="0.2">
      <c r="A19" s="1" t="s">
        <v>76</v>
      </c>
      <c r="B19" s="5">
        <f>'Income Statement'!B8/'Income Statement'!B9</f>
        <v>58.607843137254903</v>
      </c>
      <c r="C19" s="5">
        <f>'Income Statement'!C8/'Income Statement'!C9</f>
        <v>87.746753246753244</v>
      </c>
      <c r="D19" s="5">
        <f>'Income Statement'!D8/'Income Statement'!D9</f>
        <v>45.034965034965033</v>
      </c>
      <c r="E19" s="5">
        <f>'Income Statement'!E8/'Income Statement'!E9</f>
        <v>168.66442953020135</v>
      </c>
      <c r="F19" s="5">
        <f>'Income Statement'!F8/'Income Statement'!F9</f>
        <v>132.6390041493776</v>
      </c>
      <c r="G19" s="5">
        <f>'Income Statement'!G8/'Income Statement'!G9</f>
        <v>226.99019607843138</v>
      </c>
      <c r="H19" s="5">
        <f>'Income Statement'!H8/'Income Statement'!H9</f>
        <v>242.60683760683762</v>
      </c>
      <c r="I19" s="5">
        <f>'Income Statement'!I8/'Income Statement'!I9</f>
        <v>228.47619047619048</v>
      </c>
      <c r="J19" s="5">
        <f>'Income Statement'!J8/'Income Statement'!J9</f>
        <v>18.216216216216218</v>
      </c>
      <c r="K19" s="5">
        <f>'Income Statement'!K8/'Income Statement'!K9</f>
        <v>51.776271186440681</v>
      </c>
      <c r="L19" s="5">
        <f>'Income Statement'!L8/'Income Statement'!L9</f>
        <v>33.57927786499215</v>
      </c>
      <c r="M19" s="5"/>
    </row>
    <row r="20" spans="1:22" x14ac:dyDescent="0.2">
      <c r="B20" s="5"/>
      <c r="C20" s="5"/>
      <c r="D20" s="5"/>
      <c r="E20" s="5"/>
      <c r="F20" s="5"/>
      <c r="G20" s="5"/>
      <c r="H20" s="5"/>
      <c r="I20" s="5"/>
      <c r="J20" s="5"/>
      <c r="K20" s="5"/>
      <c r="L20" s="5"/>
      <c r="M20" s="5"/>
      <c r="N20" s="4" t="s">
        <v>49</v>
      </c>
    </row>
    <row r="21" spans="1:22" x14ac:dyDescent="0.2">
      <c r="A21" s="2" t="s">
        <v>77</v>
      </c>
      <c r="B21" s="5"/>
      <c r="C21" s="5"/>
      <c r="D21" s="5"/>
      <c r="E21" s="5"/>
      <c r="F21" s="5"/>
      <c r="G21" s="5"/>
      <c r="H21" s="5"/>
      <c r="I21" s="5"/>
      <c r="J21" s="5"/>
      <c r="K21" s="5"/>
      <c r="L21" s="5"/>
      <c r="M21" s="5"/>
      <c r="N21" s="12">
        <f>'Income Statement'!L9</f>
        <v>637</v>
      </c>
    </row>
    <row r="22" spans="1:22" x14ac:dyDescent="0.2">
      <c r="A22" s="1" t="s">
        <v>41</v>
      </c>
      <c r="B22" s="8">
        <f>'Income Statement'!B6/'Income Statement'!B4</f>
        <v>1</v>
      </c>
      <c r="C22" s="8">
        <f>'Income Statement'!C6/'Income Statement'!C4</f>
        <v>1</v>
      </c>
      <c r="D22" s="8">
        <f>'Income Statement'!D6/'Income Statement'!D4</f>
        <v>1</v>
      </c>
      <c r="E22" s="8">
        <f>'Income Statement'!E6/'Income Statement'!E4</f>
        <v>1</v>
      </c>
      <c r="F22" s="8">
        <f>'Income Statement'!F6/'Income Statement'!F4</f>
        <v>1</v>
      </c>
      <c r="G22" s="8">
        <f>'Income Statement'!G6/'Income Statement'!G4</f>
        <v>1</v>
      </c>
      <c r="H22" s="8">
        <f>'Income Statement'!H6/'Income Statement'!H4</f>
        <v>1</v>
      </c>
      <c r="I22" s="8">
        <f>'Income Statement'!I6/'Income Statement'!I4</f>
        <v>1</v>
      </c>
      <c r="J22" s="8">
        <f>'Income Statement'!J6/'Income Statement'!J4</f>
        <v>1</v>
      </c>
      <c r="K22" s="8">
        <f>'Income Statement'!K6/'Income Statement'!K4</f>
        <v>1</v>
      </c>
      <c r="L22" s="8">
        <f>'Income Statement'!L6/'Income Statement'!L4</f>
        <v>1</v>
      </c>
      <c r="M22" s="8"/>
    </row>
    <row r="23" spans="1:22" x14ac:dyDescent="0.2">
      <c r="A23" s="1" t="s">
        <v>42</v>
      </c>
      <c r="B23" s="8">
        <f>'Income Statement'!B8/'Income Statement'!B4</f>
        <v>0.51996172914673389</v>
      </c>
      <c r="C23" s="8">
        <f>'Income Statement'!C8/'Income Statement'!C4</f>
        <v>0.63263108614232211</v>
      </c>
      <c r="D23" s="8">
        <f>'Income Statement'!D8/'Income Statement'!D4</f>
        <v>0.55023923444976075</v>
      </c>
      <c r="E23" s="8">
        <f>'Income Statement'!E8/'Income Statement'!E4</f>
        <v>0.64931273253410504</v>
      </c>
      <c r="F23" s="8">
        <f>'Income Statement'!F8/'Income Statement'!F4</f>
        <v>0.65837332399645743</v>
      </c>
      <c r="G23" s="8">
        <f>'Income Statement'!G8/'Income Statement'!G4</f>
        <v>0.50946177881441712</v>
      </c>
      <c r="H23" s="8">
        <f>'Income Statement'!H8/'Income Statement'!H4</f>
        <v>0.52119865591891446</v>
      </c>
      <c r="I23" s="8">
        <f>'Income Statement'!I8/'Income Statement'!I4</f>
        <v>0.40321869025358742</v>
      </c>
      <c r="J23" s="8">
        <f>'Income Statement'!J8/'Income Statement'!J4</f>
        <v>7.6460578559273962E-2</v>
      </c>
      <c r="K23" s="8">
        <f>'Income Statement'!K8/'Income Statement'!K4</f>
        <v>0.38037604283401816</v>
      </c>
      <c r="L23" s="8">
        <f>'Income Statement'!L8/'Income Statement'!L4</f>
        <v>0.46120011211970935</v>
      </c>
      <c r="M23" s="8"/>
      <c r="N23" s="6" t="s">
        <v>44</v>
      </c>
    </row>
    <row r="24" spans="1:22" x14ac:dyDescent="0.2">
      <c r="A24" s="1" t="s">
        <v>47</v>
      </c>
      <c r="B24" s="8">
        <f>'Income Statement'!B14/'Income Statement'!B4</f>
        <v>0.33939288510046101</v>
      </c>
      <c r="C24" s="8">
        <f>'Income Statement'!C14/'Income Statement'!C4</f>
        <v>0.42523408239700372</v>
      </c>
      <c r="D24" s="8">
        <f>'Income Statement'!D14/'Income Statement'!D4</f>
        <v>0.37611073137388928</v>
      </c>
      <c r="E24" s="8">
        <f>'Income Statement'!E14/'Income Statement'!E4</f>
        <v>0.47253513848697809</v>
      </c>
      <c r="F24" s="8">
        <f>'Income Statement'!F14/'Income Statement'!F4</f>
        <v>0.4592507157127263</v>
      </c>
      <c r="G24" s="8">
        <f>'Income Statement'!G14/'Income Statement'!G4</f>
        <v>0.35426660212119876</v>
      </c>
      <c r="H24" s="8">
        <f>'Income Statement'!H14/'Income Statement'!H4</f>
        <v>0.37274379831439014</v>
      </c>
      <c r="I24" s="8">
        <f>'Income Statement'!I14/'Income Statement'!I4</f>
        <v>0.29724562472424731</v>
      </c>
      <c r="J24" s="8">
        <f>'Income Statement'!J14/'Income Statement'!J4</f>
        <v>2.0334656834940443E-2</v>
      </c>
      <c r="K24" s="8">
        <f>'Income Statement'!K14/'Income Statement'!K4</f>
        <v>0.27744988170838003</v>
      </c>
      <c r="L24" s="8">
        <f>'Income Statement'!L14/'Income Statement'!L4</f>
        <v>0.34944694797214254</v>
      </c>
      <c r="M24" s="8"/>
      <c r="T24" s="134" t="s">
        <v>50</v>
      </c>
    </row>
    <row r="25" spans="1:22" x14ac:dyDescent="0.2">
      <c r="A25" s="1" t="s">
        <v>78</v>
      </c>
      <c r="B25" s="7">
        <f>'Income Statement Analysis'!B29</f>
        <v>1011</v>
      </c>
      <c r="C25" s="7">
        <f>'Income Statement Analysis'!C29</f>
        <v>2280</v>
      </c>
      <c r="D25" s="7">
        <f>'Income Statement Analysis'!D29</f>
        <v>0</v>
      </c>
      <c r="E25" s="7">
        <f>'Income Statement Analysis'!E29</f>
        <v>0</v>
      </c>
      <c r="F25" s="7">
        <f>'Income Statement Analysis'!F29</f>
        <v>0</v>
      </c>
      <c r="G25" s="7">
        <f>'Income Statement Analysis'!G29</f>
        <v>0</v>
      </c>
      <c r="H25" s="7">
        <f>'Income Statement Analysis'!H29</f>
        <v>0</v>
      </c>
      <c r="I25" s="7">
        <f>'Income Statement Analysis'!I29</f>
        <v>0</v>
      </c>
      <c r="J25" s="7">
        <f>'Income Statement Analysis'!J29</f>
        <v>0</v>
      </c>
      <c r="K25" s="7">
        <f>'Income Statement Analysis'!K29</f>
        <v>0</v>
      </c>
      <c r="L25" s="7">
        <f>'Income Statement Analysis'!L29</f>
        <v>0</v>
      </c>
      <c r="M25" s="5"/>
      <c r="N25" s="4" t="s">
        <v>51</v>
      </c>
      <c r="R25" s="9" t="s">
        <v>52</v>
      </c>
      <c r="T25" s="134"/>
    </row>
    <row r="26" spans="1:22" x14ac:dyDescent="0.2">
      <c r="A26" s="1" t="s">
        <v>50</v>
      </c>
      <c r="B26" s="8">
        <f>('Income Statement'!B14-'Income Statement Analysis'!B31)/'Balance Sheet'!B25</f>
        <v>0.29429034217452926</v>
      </c>
      <c r="C26" s="8">
        <f>('Income Statement'!C14-'Income Statement Analysis'!C31)/'Balance Sheet'!C25</f>
        <v>0.40884870981260851</v>
      </c>
      <c r="D26" s="8">
        <f>('Income Statement'!D14-'Income Statement Analysis'!D31)/'Balance Sheet'!D25</f>
        <v>0.37187622844948615</v>
      </c>
      <c r="E26" s="8">
        <f>('Income Statement'!E14-'Income Statement Analysis'!E31)/'Balance Sheet'!E25</f>
        <v>0.4963946188340807</v>
      </c>
      <c r="F26" s="8">
        <f>('Income Statement'!F14-'Income Statement Analysis'!F31)/'Balance Sheet'!F25</f>
        <v>0.4940284194926336</v>
      </c>
      <c r="G26" s="8">
        <f>('Income Statement'!G14-'Income Statement Analysis'!G31)/'Balance Sheet'!G25</f>
        <v>0.33679111013794616</v>
      </c>
      <c r="H26" s="8">
        <f>('Income Statement'!H14-'Income Statement Analysis'!H31)/'Balance Sheet'!H25</f>
        <v>0.34797251784992589</v>
      </c>
      <c r="I26" s="8">
        <f>('Income Statement'!I14-'Income Statement Analysis'!I31)/'Balance Sheet'!I25</f>
        <v>0.21065246861431464</v>
      </c>
      <c r="J26" s="8">
        <f>('Income Statement'!J14-'Income Statement Analysis'!J31)/'Balance Sheet'!J25</f>
        <v>-9.5854548452928203E-3</v>
      </c>
      <c r="K26" s="8">
        <f>('Income Statement'!K14-'Income Statement Analysis'!K31)/'Balance Sheet'!K25</f>
        <v>0.14971389984717631</v>
      </c>
      <c r="L26" s="8">
        <f>('Income Statement'!L14-'Income Statement Analysis'!L33)/'Balance Sheet'!L25</f>
        <v>0.26468618836863678</v>
      </c>
      <c r="M26" s="8"/>
      <c r="N26" s="12">
        <f>'Income Statement'!L13</f>
        <v>5481</v>
      </c>
      <c r="T26" s="13">
        <f>R13*R38</f>
        <v>0.26468618836863678</v>
      </c>
    </row>
    <row r="27" spans="1:22" x14ac:dyDescent="0.2">
      <c r="A27" s="1" t="s">
        <v>79</v>
      </c>
      <c r="B27" s="8">
        <f>('Income Statement Analysis'!B14-'Income Statement Analysis'!B33)/('Balance Sheet'!B35-'Income Statement Analysis'!B34)</f>
        <v>1.1851851851851851</v>
      </c>
      <c r="C27" s="8">
        <f>('Income Statement Analysis'!C14-'Income Statement Analysis'!C33)/('Balance Sheet'!C35-'Income Statement Analysis'!C34)</f>
        <v>1.1494587843463779</v>
      </c>
      <c r="D27" s="8">
        <f>('Income Statement Analysis'!D14-'Income Statement Analysis'!D33)/('Balance Sheet'!D35-'Income Statement Analysis'!D34)</f>
        <v>0.98302813756141139</v>
      </c>
      <c r="E27" s="8">
        <f>('Income Statement Analysis'!E14-'Income Statement Analysis'!E33)/('Balance Sheet'!E35-'Income Statement Analysis'!E34)</f>
        <v>0.99526556377884201</v>
      </c>
      <c r="F27" s="8">
        <f>('Income Statement Analysis'!F14-'Income Statement Analysis'!F33)/('Balance Sheet'!F35-'Income Statement Analysis'!F34)</f>
        <v>1.0828477078477079</v>
      </c>
      <c r="G27" s="8">
        <f>('Income Statement Analysis'!G14-'Income Statement Analysis'!G33)/('Balance Sheet'!G35-'Income Statement Analysis'!G34)</f>
        <v>0.83380806877621838</v>
      </c>
      <c r="H27" s="8">
        <f>('Income Statement Analysis'!H14-'Income Statement Analysis'!H33)/('Balance Sheet'!H35-'Income Statement Analysis'!H34)</f>
        <v>0.74676280164802822</v>
      </c>
      <c r="I27" s="8">
        <f>('Income Statement Analysis'!I14-'Income Statement Analysis'!I33)/('Balance Sheet'!I35-'Income Statement Analysis'!I34)</f>
        <v>0.52398059331135882</v>
      </c>
      <c r="J27" s="8">
        <f>('Income Statement Analysis'!J14-'Income Statement Analysis'!J33)/('Balance Sheet'!J35-'Income Statement Analysis'!J34)</f>
        <v>2.8489688878293003E-2</v>
      </c>
      <c r="K27" s="8">
        <f>('Income Statement Analysis'!K14-'Income Statement Analysis'!K33)/('Balance Sheet'!K35-'Income Statement Analysis'!K34)</f>
        <v>0.30493212174293849</v>
      </c>
      <c r="L27" s="8">
        <f>('Income Statement Analysis'!L14-'Income Statement Analysis'!L33)/('Balance Sheet'!L35-'Income Statement Analysis'!L34)</f>
        <v>0.35583805383568262</v>
      </c>
      <c r="M27" s="8"/>
    </row>
    <row r="28" spans="1:22" x14ac:dyDescent="0.2">
      <c r="B28" s="5"/>
      <c r="C28" s="5"/>
      <c r="D28" s="5"/>
      <c r="E28" s="5"/>
      <c r="F28" s="5"/>
      <c r="G28" s="5"/>
      <c r="H28" s="5"/>
      <c r="I28" s="5"/>
      <c r="J28" s="5"/>
      <c r="K28" s="5"/>
      <c r="L28" s="5"/>
      <c r="M28" s="5"/>
      <c r="N28" s="6" t="s">
        <v>44</v>
      </c>
    </row>
    <row r="29" spans="1:22" x14ac:dyDescent="0.2">
      <c r="B29" s="5"/>
      <c r="C29" s="5"/>
      <c r="D29" s="5"/>
      <c r="E29" s="5"/>
      <c r="F29" s="5"/>
      <c r="G29" s="5"/>
      <c r="H29" s="5"/>
      <c r="I29" s="5"/>
      <c r="J29" s="5"/>
      <c r="K29" s="5"/>
      <c r="L29" s="5"/>
      <c r="M29" s="5"/>
    </row>
    <row r="30" spans="1:22" x14ac:dyDescent="0.2">
      <c r="B30" s="5"/>
      <c r="C30" s="5"/>
      <c r="D30" s="5"/>
      <c r="E30" s="5"/>
      <c r="F30" s="5"/>
      <c r="G30" s="5"/>
      <c r="H30" s="5"/>
      <c r="I30" s="5"/>
      <c r="J30" s="5"/>
      <c r="K30" s="5"/>
      <c r="L30" s="5"/>
      <c r="M30" s="5"/>
      <c r="N30" s="4" t="s">
        <v>53</v>
      </c>
    </row>
    <row r="31" spans="1:22" x14ac:dyDescent="0.2">
      <c r="B31" s="5"/>
      <c r="C31" s="5"/>
      <c r="D31" s="5"/>
      <c r="E31" s="5"/>
      <c r="F31" s="5"/>
      <c r="G31" s="5"/>
      <c r="H31" s="5"/>
      <c r="I31" s="5"/>
      <c r="J31" s="5"/>
      <c r="K31" s="5"/>
      <c r="L31" s="5"/>
      <c r="M31" s="5"/>
      <c r="N31" s="11">
        <v>0</v>
      </c>
      <c r="V31" s="134" t="s">
        <v>54</v>
      </c>
    </row>
    <row r="32" spans="1:22" x14ac:dyDescent="0.2">
      <c r="B32" s="5"/>
      <c r="C32" s="5"/>
      <c r="D32" s="5"/>
      <c r="E32" s="5"/>
      <c r="F32" s="5"/>
      <c r="G32" s="5"/>
      <c r="H32" s="5"/>
      <c r="I32" s="5"/>
      <c r="J32" s="5"/>
      <c r="K32" s="5"/>
      <c r="L32" s="5"/>
      <c r="M32" s="5"/>
      <c r="T32" s="1" t="str">
        <f>R25</f>
        <v>multiplied by</v>
      </c>
      <c r="V32" s="134"/>
    </row>
    <row r="33" spans="2:22" x14ac:dyDescent="0.2">
      <c r="B33" s="5"/>
      <c r="C33" s="5"/>
      <c r="D33" s="5"/>
      <c r="E33" s="5"/>
      <c r="F33" s="5"/>
      <c r="G33" s="5"/>
      <c r="H33" s="5"/>
      <c r="I33" s="5"/>
      <c r="J33" s="5"/>
      <c r="K33" s="5"/>
      <c r="L33" s="5"/>
      <c r="M33" s="5"/>
      <c r="V33" s="13">
        <f>T26*T48</f>
        <v>0</v>
      </c>
    </row>
    <row r="34" spans="2:22" x14ac:dyDescent="0.2">
      <c r="B34" s="5"/>
      <c r="C34" s="5"/>
      <c r="D34" s="5"/>
      <c r="E34" s="5"/>
      <c r="F34" s="5"/>
      <c r="G34" s="5"/>
      <c r="H34" s="5"/>
      <c r="I34" s="5"/>
      <c r="J34" s="5"/>
      <c r="K34" s="5"/>
      <c r="L34" s="5"/>
      <c r="M34" s="5"/>
    </row>
    <row r="35" spans="2:22" x14ac:dyDescent="0.2">
      <c r="N35" s="4" t="s">
        <v>55</v>
      </c>
      <c r="P35" s="4" t="str">
        <f>N5</f>
        <v xml:space="preserve">Sales </v>
      </c>
    </row>
    <row r="36" spans="2:22" x14ac:dyDescent="0.2">
      <c r="N36" s="12">
        <f>'Balance Sheet'!L23</f>
        <v>20644</v>
      </c>
      <c r="P36" s="12">
        <f>N6</f>
        <v>46379</v>
      </c>
    </row>
    <row r="37" spans="2:22" x14ac:dyDescent="0.2">
      <c r="R37" s="4" t="s">
        <v>56</v>
      </c>
    </row>
    <row r="38" spans="2:22" x14ac:dyDescent="0.2">
      <c r="N38" s="6" t="s">
        <v>57</v>
      </c>
      <c r="P38" s="6" t="s">
        <v>58</v>
      </c>
      <c r="R38" s="14">
        <f>P36/P41</f>
        <v>0.7574431252143522</v>
      </c>
    </row>
    <row r="40" spans="2:22" x14ac:dyDescent="0.2">
      <c r="N40" s="4" t="s">
        <v>59</v>
      </c>
      <c r="P40" s="4" t="s">
        <v>60</v>
      </c>
    </row>
    <row r="41" spans="2:22" x14ac:dyDescent="0.2">
      <c r="N41" s="12">
        <f>'Balance Sheet'!L13</f>
        <v>40587</v>
      </c>
      <c r="P41" s="12">
        <f>'Balance Sheet'!L25</f>
        <v>61231</v>
      </c>
    </row>
    <row r="43" spans="2:22" x14ac:dyDescent="0.2">
      <c r="N43" s="6"/>
      <c r="P43" s="6"/>
      <c r="R43" s="134" t="s">
        <v>61</v>
      </c>
    </row>
    <row r="44" spans="2:22" x14ac:dyDescent="0.2">
      <c r="R44" s="134"/>
    </row>
    <row r="45" spans="2:22" x14ac:dyDescent="0.2">
      <c r="N45" s="4" t="s">
        <v>62</v>
      </c>
      <c r="P45" s="4" t="s">
        <v>63</v>
      </c>
      <c r="R45" s="134"/>
    </row>
    <row r="46" spans="2:22" x14ac:dyDescent="0.2">
      <c r="N46" s="12">
        <f>'Balance Sheet'!L51</f>
        <v>5151</v>
      </c>
      <c r="P46" s="11">
        <f>'Balance Sheet'!L53</f>
        <v>15871</v>
      </c>
      <c r="R46" s="12">
        <f>'Balance Sheet'!L1</f>
        <v>0</v>
      </c>
      <c r="T46" s="134" t="s">
        <v>64</v>
      </c>
    </row>
    <row r="47" spans="2:22" x14ac:dyDescent="0.2">
      <c r="T47" s="134"/>
    </row>
    <row r="48" spans="2:22" x14ac:dyDescent="0.2">
      <c r="N48" s="6" t="s">
        <v>57</v>
      </c>
      <c r="P48" s="6"/>
      <c r="R48" s="1" t="str">
        <f>P38</f>
        <v>divided by</v>
      </c>
      <c r="T48" s="12">
        <f>R46/R52</f>
        <v>0</v>
      </c>
    </row>
    <row r="50" spans="14:18" x14ac:dyDescent="0.2">
      <c r="N50" s="4" t="s">
        <v>65</v>
      </c>
      <c r="P50" s="4" t="s">
        <v>66</v>
      </c>
      <c r="R50" s="134" t="s">
        <v>67</v>
      </c>
    </row>
    <row r="51" spans="14:18" x14ac:dyDescent="0.2">
      <c r="N51" s="12">
        <f>'Balance Sheet'!L42</f>
        <v>10720</v>
      </c>
      <c r="P51" s="12">
        <f>'Balance Sheet'!L35</f>
        <v>45546</v>
      </c>
      <c r="R51" s="134"/>
    </row>
    <row r="52" spans="14:18" x14ac:dyDescent="0.2">
      <c r="R52" s="12">
        <f>P51</f>
        <v>45546</v>
      </c>
    </row>
  </sheetData>
  <mergeCells count="7">
    <mergeCell ref="A1:M1"/>
    <mergeCell ref="R50:R51"/>
    <mergeCell ref="P8:P10"/>
    <mergeCell ref="T24:T25"/>
    <mergeCell ref="V31:V32"/>
    <mergeCell ref="R43:R45"/>
    <mergeCell ref="T46:T47"/>
  </mergeCells>
  <pageMargins left="0.25" right="0.25" top="0.75" bottom="0.75" header="0.3" footer="0.3"/>
  <pageSetup paperSize="9" orientation="portrait" r:id="rId1"/>
  <ignoredErrors>
    <ignoredError sqref="B7:L11 C25:L25 B26:L26 B27:L27 B15:L24 B13:L1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N41"/>
  <sheetViews>
    <sheetView showGridLines="0" topLeftCell="A34" workbookViewId="0">
      <selection activeCell="A37" sqref="A37"/>
    </sheetView>
  </sheetViews>
  <sheetFormatPr defaultRowHeight="12.75" x14ac:dyDescent="0.2"/>
  <cols>
    <col min="1" max="1" width="25.140625" style="1" bestFit="1" customWidth="1"/>
    <col min="2" max="12" width="12.5703125" style="1" bestFit="1" customWidth="1"/>
    <col min="13" max="13" width="4.7109375" style="1" customWidth="1"/>
    <col min="14" max="14" width="11.28515625" style="2" bestFit="1" customWidth="1"/>
    <col min="15" max="16384" width="9.140625" style="1"/>
  </cols>
  <sheetData>
    <row r="1" spans="1:14" ht="15" x14ac:dyDescent="0.2">
      <c r="A1" s="133" t="s">
        <v>36</v>
      </c>
      <c r="B1" s="133"/>
      <c r="C1" s="133"/>
      <c r="D1" s="133"/>
      <c r="E1" s="133"/>
      <c r="F1" s="133"/>
      <c r="G1" s="133"/>
      <c r="H1" s="133"/>
      <c r="I1" s="133"/>
      <c r="J1" s="133"/>
      <c r="K1" s="133"/>
      <c r="L1" s="133"/>
      <c r="M1" s="133"/>
      <c r="N1" s="133"/>
    </row>
    <row r="3" spans="1:14" x14ac:dyDescent="0.2">
      <c r="A3" s="2" t="s">
        <v>130</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c r="M3" s="2"/>
      <c r="N3" s="17" t="s">
        <v>99</v>
      </c>
    </row>
    <row r="4" spans="1:14" x14ac:dyDescent="0.2">
      <c r="A4" s="1" t="str">
        <f>'Income Statement'!A4</f>
        <v>Revenue</v>
      </c>
      <c r="B4" s="84">
        <f>'Income Statement'!B4</f>
        <v>11497</v>
      </c>
      <c r="C4" s="84">
        <f>'Income Statement'!C4</f>
        <v>21360</v>
      </c>
      <c r="D4" s="84">
        <f>'Income Statement'!D4</f>
        <v>23408</v>
      </c>
      <c r="E4" s="84">
        <f>'Income Statement'!E4</f>
        <v>38704</v>
      </c>
      <c r="F4" s="84">
        <f>'Income Statement'!F4</f>
        <v>48553</v>
      </c>
      <c r="G4" s="84">
        <f>'Income Statement'!G4</f>
        <v>45446</v>
      </c>
      <c r="H4" s="84">
        <f>'Income Statement'!H4</f>
        <v>54461</v>
      </c>
      <c r="I4" s="84">
        <f>'Income Statement'!I4</f>
        <v>47597</v>
      </c>
      <c r="J4" s="84">
        <f>'Income Statement'!J4</f>
        <v>35260</v>
      </c>
      <c r="K4" s="84">
        <f>'Income Statement'!K4</f>
        <v>40155</v>
      </c>
      <c r="L4" s="84">
        <f>'Income Statement'!L4</f>
        <v>46379</v>
      </c>
      <c r="N4" s="16">
        <f t="shared" ref="N4:N14" si="0">(L4/B4)^(1/10)-1</f>
        <v>0.14967128671948604</v>
      </c>
    </row>
    <row r="5" spans="1:14" x14ac:dyDescent="0.2">
      <c r="A5" s="1" t="str">
        <f>'Income Statement'!A5</f>
        <v>Direct Expenses</v>
      </c>
      <c r="B5" s="84">
        <f>'Income Statement'!B5</f>
        <v>0</v>
      </c>
      <c r="C5" s="84">
        <f>'Income Statement'!C5</f>
        <v>0</v>
      </c>
      <c r="D5" s="84">
        <f>'Income Statement'!D5</f>
        <v>0</v>
      </c>
      <c r="E5" s="84">
        <f>'Income Statement'!E5</f>
        <v>0</v>
      </c>
      <c r="F5" s="84">
        <f>'Income Statement'!F5</f>
        <v>0</v>
      </c>
      <c r="G5" s="84">
        <f>'Income Statement'!G5</f>
        <v>0</v>
      </c>
      <c r="H5" s="84">
        <f>'Income Statement'!H5</f>
        <v>0</v>
      </c>
      <c r="I5" s="84">
        <f>'Income Statement'!I5</f>
        <v>0</v>
      </c>
      <c r="J5" s="84">
        <f>'Income Statement'!J5</f>
        <v>0</v>
      </c>
      <c r="K5" s="84">
        <f>'Income Statement'!K5</f>
        <v>0</v>
      </c>
      <c r="L5" s="84">
        <f>'Income Statement'!L5</f>
        <v>0</v>
      </c>
      <c r="N5" s="16"/>
    </row>
    <row r="6" spans="1:14" s="2" customFormat="1" x14ac:dyDescent="0.2">
      <c r="A6" s="2" t="str">
        <f>'Income Statement'!A6</f>
        <v>Gross profit</v>
      </c>
      <c r="B6" s="85">
        <f>'Income Statement'!B6</f>
        <v>11497</v>
      </c>
      <c r="C6" s="85">
        <f>'Income Statement'!C6</f>
        <v>21360</v>
      </c>
      <c r="D6" s="85">
        <f>'Income Statement'!D6</f>
        <v>23408</v>
      </c>
      <c r="E6" s="85">
        <f>'Income Statement'!E6</f>
        <v>38704</v>
      </c>
      <c r="F6" s="85">
        <f>'Income Statement'!F6</f>
        <v>48553</v>
      </c>
      <c r="G6" s="85">
        <f>'Income Statement'!G6</f>
        <v>45446</v>
      </c>
      <c r="H6" s="85">
        <f>'Income Statement'!H6</f>
        <v>54461</v>
      </c>
      <c r="I6" s="85">
        <f>'Income Statement'!I6</f>
        <v>47597</v>
      </c>
      <c r="J6" s="85">
        <f>'Income Statement'!J6</f>
        <v>35260</v>
      </c>
      <c r="K6" s="85">
        <f>'Income Statement'!K6</f>
        <v>40155</v>
      </c>
      <c r="L6" s="85">
        <f>'Income Statement'!L6</f>
        <v>46379</v>
      </c>
      <c r="N6" s="16">
        <f t="shared" si="0"/>
        <v>0.14967128671948604</v>
      </c>
    </row>
    <row r="7" spans="1:14" x14ac:dyDescent="0.2">
      <c r="A7" s="1" t="str">
        <f>'Income Statement'!A7</f>
        <v xml:space="preserve">    Operating expenses</v>
      </c>
      <c r="B7" s="84">
        <f>'Income Statement'!B7</f>
        <v>5519</v>
      </c>
      <c r="C7" s="84">
        <f>'Income Statement'!C7</f>
        <v>7847</v>
      </c>
      <c r="D7" s="84">
        <f>'Income Statement'!D7</f>
        <v>10528</v>
      </c>
      <c r="E7" s="84">
        <f>'Income Statement'!E7</f>
        <v>13573</v>
      </c>
      <c r="F7" s="84">
        <f>'Income Statement'!F7</f>
        <v>16587</v>
      </c>
      <c r="G7" s="84">
        <f>'Income Statement'!G7</f>
        <v>22293</v>
      </c>
      <c r="H7" s="84">
        <f>'Income Statement'!H7</f>
        <v>26076</v>
      </c>
      <c r="I7" s="84">
        <f>'Income Statement'!I7</f>
        <v>28405</v>
      </c>
      <c r="J7" s="84">
        <f>'Income Statement'!J7</f>
        <v>32564</v>
      </c>
      <c r="K7" s="84">
        <f>'Income Statement'!K7</f>
        <v>24881</v>
      </c>
      <c r="L7" s="84">
        <f>'Income Statement'!L7</f>
        <v>24989</v>
      </c>
      <c r="N7" s="16">
        <f t="shared" si="0"/>
        <v>0.16302445910285224</v>
      </c>
    </row>
    <row r="8" spans="1:14" s="2" customFormat="1" x14ac:dyDescent="0.2">
      <c r="A8" s="2" t="str">
        <f>'Income Statement'!A8</f>
        <v>Operating profit (EBIT)</v>
      </c>
      <c r="B8" s="85">
        <f>'Income Statement'!B8</f>
        <v>5978</v>
      </c>
      <c r="C8" s="85">
        <f>'Income Statement'!C8</f>
        <v>13513</v>
      </c>
      <c r="D8" s="85">
        <f>'Income Statement'!D8</f>
        <v>12880</v>
      </c>
      <c r="E8" s="85">
        <f>'Income Statement'!E8</f>
        <v>25131</v>
      </c>
      <c r="F8" s="85">
        <f>'Income Statement'!F8</f>
        <v>31966</v>
      </c>
      <c r="G8" s="85">
        <f>'Income Statement'!G8</f>
        <v>23153</v>
      </c>
      <c r="H8" s="85">
        <f>'Income Statement'!H8</f>
        <v>28385</v>
      </c>
      <c r="I8" s="85">
        <f>'Income Statement'!I8</f>
        <v>19192</v>
      </c>
      <c r="J8" s="85">
        <f>'Income Statement'!J8</f>
        <v>2696</v>
      </c>
      <c r="K8" s="85">
        <f>'Income Statement'!K8</f>
        <v>15274</v>
      </c>
      <c r="L8" s="85">
        <f>'Income Statement'!L8</f>
        <v>21390</v>
      </c>
      <c r="N8" s="16">
        <f t="shared" si="0"/>
        <v>0.13596640400599425</v>
      </c>
    </row>
    <row r="9" spans="1:14" x14ac:dyDescent="0.2">
      <c r="A9" s="1" t="str">
        <f>'Income Statement'!A9</f>
        <v>Finance income</v>
      </c>
      <c r="B9" s="84">
        <f>'Income Statement'!B9</f>
        <v>102</v>
      </c>
      <c r="C9" s="84">
        <f>'Income Statement'!C9</f>
        <v>154</v>
      </c>
      <c r="D9" s="84">
        <f>'Income Statement'!D9</f>
        <v>286</v>
      </c>
      <c r="E9" s="84">
        <f>'Income Statement'!E9</f>
        <v>149</v>
      </c>
      <c r="F9" s="84">
        <f>'Income Statement'!F9</f>
        <v>241</v>
      </c>
      <c r="G9" s="84">
        <f>'Income Statement'!G9</f>
        <v>102</v>
      </c>
      <c r="H9" s="84">
        <f>'Income Statement'!H9</f>
        <v>117</v>
      </c>
      <c r="I9" s="84">
        <f>'Income Statement'!I9</f>
        <v>84</v>
      </c>
      <c r="J9" s="84">
        <f>'Income Statement'!J9</f>
        <v>148</v>
      </c>
      <c r="K9" s="84">
        <f>'Income Statement'!K9</f>
        <v>295</v>
      </c>
      <c r="L9" s="84">
        <f>'Income Statement'!L9</f>
        <v>637</v>
      </c>
      <c r="N9" s="16">
        <f t="shared" si="0"/>
        <v>0.20103019487782725</v>
      </c>
    </row>
    <row r="10" spans="1:14" x14ac:dyDescent="0.2">
      <c r="A10" s="1" t="str">
        <f>'Income Statement'!A10</f>
        <v>Finance cost (Interest)</v>
      </c>
      <c r="B10" s="84">
        <f>'Income Statement'!B10</f>
        <v>410</v>
      </c>
      <c r="C10" s="84">
        <f>'Income Statement'!C10</f>
        <v>405</v>
      </c>
      <c r="D10" s="84">
        <f>'Income Statement'!D10</f>
        <v>413</v>
      </c>
      <c r="E10" s="84">
        <f>'Income Statement'!E10</f>
        <v>178</v>
      </c>
      <c r="F10" s="84">
        <f>'Income Statement'!F10</f>
        <v>149</v>
      </c>
      <c r="G10" s="84">
        <f>'Income Statement'!G10</f>
        <v>405</v>
      </c>
      <c r="H10" s="84">
        <f>'Income Statement'!H10</f>
        <v>396</v>
      </c>
      <c r="I10" s="84">
        <f>'Income Statement'!I10</f>
        <v>519</v>
      </c>
      <c r="J10" s="84">
        <f>'Income Statement'!J10</f>
        <v>853</v>
      </c>
      <c r="K10" s="84">
        <f>'Income Statement'!K10</f>
        <v>496</v>
      </c>
      <c r="L10" s="84">
        <f>'Income Statement'!L10</f>
        <v>339</v>
      </c>
      <c r="N10" s="16">
        <f t="shared" ref="N10" si="1">(L10/B10)^(1/10)-1</f>
        <v>-1.8836047285500479E-2</v>
      </c>
    </row>
    <row r="11" spans="1:14" x14ac:dyDescent="0.2">
      <c r="A11" s="1" t="str">
        <f>'Income Statement'!A11</f>
        <v>Loss from equity accounted joint venture</v>
      </c>
      <c r="B11" s="84">
        <f>'Income Statement'!B11</f>
        <v>0</v>
      </c>
      <c r="C11" s="84">
        <f>'Income Statement'!C11</f>
        <v>0</v>
      </c>
      <c r="D11" s="84">
        <f>'Income Statement'!D11</f>
        <v>0</v>
      </c>
      <c r="E11" s="84">
        <f>'Income Statement'!E11</f>
        <v>0</v>
      </c>
      <c r="F11" s="84">
        <f>'Income Statement'!F11</f>
        <v>0</v>
      </c>
      <c r="G11" s="84">
        <f>'Income Statement'!G11</f>
        <v>0</v>
      </c>
      <c r="H11" s="84">
        <f>'Income Statement'!H11</f>
        <v>46</v>
      </c>
      <c r="I11" s="84">
        <f>'Income Statement'!I11</f>
        <v>5</v>
      </c>
      <c r="J11" s="84">
        <f>'Income Statement'!J11</f>
        <v>6</v>
      </c>
      <c r="K11" s="84">
        <f>'Income Statement'!K11</f>
        <v>2</v>
      </c>
      <c r="L11" s="84">
        <f>'Income Statement'!L11</f>
        <v>0</v>
      </c>
      <c r="N11" s="16"/>
    </row>
    <row r="12" spans="1:14" s="2" customFormat="1" x14ac:dyDescent="0.2">
      <c r="A12" s="2" t="str">
        <f>'Income Statement'!A12</f>
        <v>Profits before tax</v>
      </c>
      <c r="B12" s="85">
        <f>'Income Statement'!B12</f>
        <v>5670</v>
      </c>
      <c r="C12" s="85">
        <f>'Income Statement'!C12</f>
        <v>13262</v>
      </c>
      <c r="D12" s="85">
        <f>'Income Statement'!D12</f>
        <v>12753</v>
      </c>
      <c r="E12" s="85">
        <f>'Income Statement'!E12</f>
        <v>25102</v>
      </c>
      <c r="F12" s="85">
        <f>'Income Statement'!F12</f>
        <v>32058</v>
      </c>
      <c r="G12" s="85">
        <f>'Income Statement'!G12</f>
        <v>22850</v>
      </c>
      <c r="H12" s="85">
        <f>'Income Statement'!H12</f>
        <v>28060</v>
      </c>
      <c r="I12" s="85">
        <f>'Income Statement'!I12</f>
        <v>18752</v>
      </c>
      <c r="J12" s="85">
        <f>'Income Statement'!J12</f>
        <v>1997</v>
      </c>
      <c r="K12" s="85">
        <f>'Income Statement'!K12</f>
        <v>15075</v>
      </c>
      <c r="L12" s="85">
        <f>'Income Statement'!L12</f>
        <v>21688</v>
      </c>
      <c r="N12" s="16">
        <f t="shared" si="0"/>
        <v>0.14357234577589728</v>
      </c>
    </row>
    <row r="13" spans="1:14" x14ac:dyDescent="0.2">
      <c r="A13" s="1" t="str">
        <f>'Income Statement'!A13</f>
        <v>Income tax expense</v>
      </c>
      <c r="B13" s="84">
        <f>'Income Statement'!B13</f>
        <v>1768</v>
      </c>
      <c r="C13" s="84">
        <f>'Income Statement'!C13</f>
        <v>4179</v>
      </c>
      <c r="D13" s="84">
        <f>'Income Statement'!D13</f>
        <v>3949</v>
      </c>
      <c r="E13" s="84">
        <f>'Income Statement'!E13</f>
        <v>6813</v>
      </c>
      <c r="F13" s="84">
        <f>'Income Statement'!F13</f>
        <v>9760</v>
      </c>
      <c r="G13" s="84">
        <f>'Income Statement'!G13</f>
        <v>6750</v>
      </c>
      <c r="H13" s="84">
        <f>'Income Statement'!H13</f>
        <v>7760</v>
      </c>
      <c r="I13" s="84">
        <f>'Income Statement'!I13</f>
        <v>4604</v>
      </c>
      <c r="J13" s="84">
        <f>'Income Statement'!J13</f>
        <v>1280</v>
      </c>
      <c r="K13" s="84">
        <f>'Income Statement'!K13</f>
        <v>3934</v>
      </c>
      <c r="L13" s="84">
        <f>'Income Statement'!L13</f>
        <v>5481</v>
      </c>
      <c r="N13" s="16">
        <f t="shared" si="0"/>
        <v>0.1197930149917954</v>
      </c>
    </row>
    <row r="14" spans="1:14" s="2" customFormat="1" x14ac:dyDescent="0.2">
      <c r="A14" s="2" t="str">
        <f>'Income Statement'!A14</f>
        <v>Profit for the year</v>
      </c>
      <c r="B14" s="85">
        <f>'Income Statement'!B14</f>
        <v>3902</v>
      </c>
      <c r="C14" s="85">
        <f>'Income Statement'!C14</f>
        <v>9083</v>
      </c>
      <c r="D14" s="85">
        <f>'Income Statement'!D14</f>
        <v>8804</v>
      </c>
      <c r="E14" s="85">
        <f>'Income Statement'!E14</f>
        <v>18289</v>
      </c>
      <c r="F14" s="85">
        <f>'Income Statement'!F14</f>
        <v>22298</v>
      </c>
      <c r="G14" s="85">
        <f>'Income Statement'!G14</f>
        <v>16100</v>
      </c>
      <c r="H14" s="85">
        <f>'Income Statement'!H14</f>
        <v>20300</v>
      </c>
      <c r="I14" s="85">
        <f>'Income Statement'!I14</f>
        <v>14148</v>
      </c>
      <c r="J14" s="85">
        <f>'Income Statement'!J14</f>
        <v>717</v>
      </c>
      <c r="K14" s="85">
        <f>'Income Statement'!K14</f>
        <v>11141</v>
      </c>
      <c r="L14" s="85">
        <f>'Income Statement'!L14</f>
        <v>16207</v>
      </c>
      <c r="N14" s="16">
        <f t="shared" si="0"/>
        <v>0.15303246808459026</v>
      </c>
    </row>
    <row r="15" spans="1:14" x14ac:dyDescent="0.2">
      <c r="N15" s="16"/>
    </row>
    <row r="16" spans="1:14" x14ac:dyDescent="0.2">
      <c r="N16" s="16"/>
    </row>
    <row r="17" spans="1:14" x14ac:dyDescent="0.2">
      <c r="A17" s="1" t="str">
        <f t="shared" ref="A17:A23" si="2">A5</f>
        <v>Direct Expenses</v>
      </c>
      <c r="B17" s="8">
        <f t="shared" ref="B17:B23" si="3">B5/$B$4</f>
        <v>0</v>
      </c>
      <c r="C17" s="8">
        <f t="shared" ref="C17:C26" si="4">C5/$C$4</f>
        <v>0</v>
      </c>
      <c r="D17" s="8">
        <f t="shared" ref="D17:D26" si="5">D5/$D$4</f>
        <v>0</v>
      </c>
      <c r="E17" s="8">
        <f t="shared" ref="E17:E26" si="6">E5/$E$4</f>
        <v>0</v>
      </c>
      <c r="F17" s="8">
        <f t="shared" ref="F17:F26" si="7">F5/$F$4</f>
        <v>0</v>
      </c>
      <c r="G17" s="8">
        <f t="shared" ref="G17:G26" si="8">G5/$G$4</f>
        <v>0</v>
      </c>
      <c r="H17" s="8">
        <f t="shared" ref="H17:H26" si="9">H5/$H$4</f>
        <v>0</v>
      </c>
      <c r="I17" s="8">
        <f t="shared" ref="I17:I26" si="10">I5/$I$4</f>
        <v>0</v>
      </c>
      <c r="J17" s="8">
        <f t="shared" ref="J17:J26" si="11">J5/$J$4</f>
        <v>0</v>
      </c>
      <c r="K17" s="8">
        <f t="shared" ref="K17:K26" si="12">K5/$K$4</f>
        <v>0</v>
      </c>
      <c r="L17" s="8">
        <f t="shared" ref="L17:L26" si="13">L5/$L$4</f>
        <v>0</v>
      </c>
      <c r="N17" s="16"/>
    </row>
    <row r="18" spans="1:14" s="2" customFormat="1" x14ac:dyDescent="0.2">
      <c r="A18" s="2" t="str">
        <f t="shared" si="2"/>
        <v>Gross profit</v>
      </c>
      <c r="B18" s="10">
        <f t="shared" si="3"/>
        <v>1</v>
      </c>
      <c r="C18" s="10">
        <f t="shared" si="4"/>
        <v>1</v>
      </c>
      <c r="D18" s="10">
        <f t="shared" si="5"/>
        <v>1</v>
      </c>
      <c r="E18" s="10">
        <f t="shared" si="6"/>
        <v>1</v>
      </c>
      <c r="F18" s="10">
        <f t="shared" si="7"/>
        <v>1</v>
      </c>
      <c r="G18" s="10">
        <f t="shared" si="8"/>
        <v>1</v>
      </c>
      <c r="H18" s="10">
        <f t="shared" si="9"/>
        <v>1</v>
      </c>
      <c r="I18" s="10">
        <f t="shared" si="10"/>
        <v>1</v>
      </c>
      <c r="J18" s="10">
        <f t="shared" si="11"/>
        <v>1</v>
      </c>
      <c r="K18" s="10">
        <f t="shared" si="12"/>
        <v>1</v>
      </c>
      <c r="L18" s="10">
        <f t="shared" si="13"/>
        <v>1</v>
      </c>
      <c r="N18" s="16">
        <f t="shared" ref="N18:N34" si="14">(L18/B18)^(1/10)-1</f>
        <v>0</v>
      </c>
    </row>
    <row r="19" spans="1:14" x14ac:dyDescent="0.2">
      <c r="A19" s="1" t="str">
        <f t="shared" si="2"/>
        <v xml:space="preserve">    Operating expenses</v>
      </c>
      <c r="B19" s="8">
        <f t="shared" si="3"/>
        <v>0.48003827085326606</v>
      </c>
      <c r="C19" s="8">
        <f t="shared" si="4"/>
        <v>0.36736891385767789</v>
      </c>
      <c r="D19" s="8">
        <f t="shared" si="5"/>
        <v>0.44976076555023925</v>
      </c>
      <c r="E19" s="8">
        <f t="shared" si="6"/>
        <v>0.35068726746589501</v>
      </c>
      <c r="F19" s="8">
        <f t="shared" si="7"/>
        <v>0.34162667600354252</v>
      </c>
      <c r="G19" s="8">
        <f t="shared" si="8"/>
        <v>0.49053822118558288</v>
      </c>
      <c r="H19" s="8">
        <f t="shared" si="9"/>
        <v>0.47880134408108554</v>
      </c>
      <c r="I19" s="8">
        <f t="shared" si="10"/>
        <v>0.59678130974641264</v>
      </c>
      <c r="J19" s="8">
        <f t="shared" si="11"/>
        <v>0.92353942144072598</v>
      </c>
      <c r="K19" s="8">
        <f t="shared" si="12"/>
        <v>0.61962395716598184</v>
      </c>
      <c r="L19" s="8">
        <f t="shared" si="13"/>
        <v>0.53879988788029065</v>
      </c>
      <c r="N19" s="16">
        <f t="shared" si="14"/>
        <v>1.1614774185992438E-2</v>
      </c>
    </row>
    <row r="20" spans="1:14" s="2" customFormat="1" x14ac:dyDescent="0.2">
      <c r="A20" s="2" t="str">
        <f t="shared" si="2"/>
        <v>Operating profit (EBIT)</v>
      </c>
      <c r="B20" s="10">
        <f t="shared" si="3"/>
        <v>0.51996172914673389</v>
      </c>
      <c r="C20" s="10">
        <f t="shared" si="4"/>
        <v>0.63263108614232211</v>
      </c>
      <c r="D20" s="10">
        <f t="shared" si="5"/>
        <v>0.55023923444976075</v>
      </c>
      <c r="E20" s="10">
        <f t="shared" si="6"/>
        <v>0.64931273253410504</v>
      </c>
      <c r="F20" s="10">
        <f t="shared" si="7"/>
        <v>0.65837332399645743</v>
      </c>
      <c r="G20" s="10">
        <f t="shared" si="8"/>
        <v>0.50946177881441712</v>
      </c>
      <c r="H20" s="10">
        <f t="shared" si="9"/>
        <v>0.52119865591891446</v>
      </c>
      <c r="I20" s="10">
        <f t="shared" si="10"/>
        <v>0.40321869025358742</v>
      </c>
      <c r="J20" s="10">
        <f t="shared" si="11"/>
        <v>7.6460578559273962E-2</v>
      </c>
      <c r="K20" s="10">
        <f t="shared" si="12"/>
        <v>0.38037604283401816</v>
      </c>
      <c r="L20" s="10">
        <f t="shared" si="13"/>
        <v>0.46120011211970935</v>
      </c>
      <c r="N20" s="16">
        <f t="shared" si="14"/>
        <v>-1.1920696699834643E-2</v>
      </c>
    </row>
    <row r="21" spans="1:14" x14ac:dyDescent="0.2">
      <c r="A21" s="1" t="str">
        <f t="shared" si="2"/>
        <v>Finance income</v>
      </c>
      <c r="B21" s="8">
        <f t="shared" si="3"/>
        <v>8.8718796207706355E-3</v>
      </c>
      <c r="C21" s="8">
        <f t="shared" si="4"/>
        <v>7.2097378277153554E-3</v>
      </c>
      <c r="D21" s="8">
        <f t="shared" si="5"/>
        <v>1.2218045112781954E-2</v>
      </c>
      <c r="E21" s="8">
        <f t="shared" si="6"/>
        <v>3.8497312939231088E-3</v>
      </c>
      <c r="F21" s="8">
        <f t="shared" si="7"/>
        <v>4.9636479723189093E-3</v>
      </c>
      <c r="G21" s="8">
        <f t="shared" si="8"/>
        <v>2.2444219513268492E-3</v>
      </c>
      <c r="H21" s="8">
        <f t="shared" si="9"/>
        <v>2.1483263252602778E-3</v>
      </c>
      <c r="I21" s="8">
        <f t="shared" si="10"/>
        <v>1.7648171103220791E-3</v>
      </c>
      <c r="J21" s="8">
        <f t="shared" si="11"/>
        <v>4.1973908111174133E-3</v>
      </c>
      <c r="K21" s="8">
        <f t="shared" si="12"/>
        <v>7.3465321877723821E-3</v>
      </c>
      <c r="L21" s="8">
        <f t="shared" si="13"/>
        <v>1.3734664395523836E-2</v>
      </c>
      <c r="N21" s="16">
        <f t="shared" si="14"/>
        <v>4.4672689273549393E-2</v>
      </c>
    </row>
    <row r="22" spans="1:14" x14ac:dyDescent="0.2">
      <c r="A22" s="1" t="str">
        <f t="shared" si="2"/>
        <v>Finance cost (Interest)</v>
      </c>
      <c r="B22" s="8">
        <f t="shared" si="3"/>
        <v>3.5661476907019221E-2</v>
      </c>
      <c r="C22" s="8">
        <f t="shared" si="4"/>
        <v>1.8960674157303372E-2</v>
      </c>
      <c r="D22" s="8">
        <f t="shared" si="5"/>
        <v>1.7643540669856458E-2</v>
      </c>
      <c r="E22" s="8">
        <f t="shared" si="6"/>
        <v>4.5990078544853241E-3</v>
      </c>
      <c r="F22" s="8">
        <f t="shared" si="7"/>
        <v>3.0688114019731014E-3</v>
      </c>
      <c r="G22" s="8">
        <f t="shared" si="8"/>
        <v>8.9116753949742555E-3</v>
      </c>
      <c r="H22" s="8">
        <f t="shared" si="9"/>
        <v>7.2712583316501718E-3</v>
      </c>
      <c r="I22" s="8">
        <f t="shared" si="10"/>
        <v>1.0904048574489988E-2</v>
      </c>
      <c r="J22" s="8">
        <f t="shared" si="11"/>
        <v>2.4191718661372659E-2</v>
      </c>
      <c r="K22" s="8">
        <f t="shared" si="12"/>
        <v>1.2352135475034243E-2</v>
      </c>
      <c r="L22" s="8">
        <f t="shared" si="13"/>
        <v>7.3093425903965155E-3</v>
      </c>
      <c r="N22" s="16">
        <f t="shared" ref="N22" si="15">(L22/B22)^(1/10)-1</f>
        <v>-0.14657001175162987</v>
      </c>
    </row>
    <row r="23" spans="1:14" x14ac:dyDescent="0.2">
      <c r="A23" s="1" t="str">
        <f t="shared" si="2"/>
        <v>Loss from equity accounted joint venture</v>
      </c>
      <c r="B23" s="8">
        <f t="shared" si="3"/>
        <v>0</v>
      </c>
      <c r="C23" s="8">
        <f t="shared" si="4"/>
        <v>0</v>
      </c>
      <c r="D23" s="8">
        <f t="shared" si="5"/>
        <v>0</v>
      </c>
      <c r="E23" s="8">
        <f t="shared" si="6"/>
        <v>0</v>
      </c>
      <c r="F23" s="8">
        <f t="shared" si="7"/>
        <v>0</v>
      </c>
      <c r="G23" s="8">
        <f t="shared" si="8"/>
        <v>0</v>
      </c>
      <c r="H23" s="8">
        <f t="shared" si="9"/>
        <v>8.4464111933310073E-4</v>
      </c>
      <c r="I23" s="8">
        <f t="shared" si="10"/>
        <v>1.0504863751917138E-4</v>
      </c>
      <c r="J23" s="8">
        <f t="shared" si="11"/>
        <v>1.7016449234259784E-4</v>
      </c>
      <c r="K23" s="8">
        <f t="shared" si="12"/>
        <v>4.9806997883202587E-5</v>
      </c>
      <c r="L23" s="8">
        <f t="shared" si="13"/>
        <v>0</v>
      </c>
      <c r="N23" s="16"/>
    </row>
    <row r="24" spans="1:14" s="2" customFormat="1" x14ac:dyDescent="0.2">
      <c r="A24" s="2" t="str">
        <f t="shared" ref="A24:A26" si="16">A12</f>
        <v>Profits before tax</v>
      </c>
      <c r="B24" s="10">
        <f t="shared" ref="B24:B26" si="17">B12/$B$4</f>
        <v>0.49317213186048536</v>
      </c>
      <c r="C24" s="10">
        <f t="shared" si="4"/>
        <v>0.62088014981273409</v>
      </c>
      <c r="D24" s="10">
        <f t="shared" si="5"/>
        <v>0.54481373889268625</v>
      </c>
      <c r="E24" s="10">
        <f t="shared" si="6"/>
        <v>0.64856345597354281</v>
      </c>
      <c r="F24" s="10">
        <f t="shared" si="7"/>
        <v>0.66026816056680326</v>
      </c>
      <c r="G24" s="10">
        <f t="shared" si="8"/>
        <v>0.50279452537076974</v>
      </c>
      <c r="H24" s="10">
        <f t="shared" si="9"/>
        <v>0.51523108279319141</v>
      </c>
      <c r="I24" s="10">
        <f t="shared" si="10"/>
        <v>0.39397441015190032</v>
      </c>
      <c r="J24" s="10">
        <f t="shared" si="11"/>
        <v>5.6636415201361319E-2</v>
      </c>
      <c r="K24" s="10">
        <f t="shared" si="12"/>
        <v>0.37542024654463951</v>
      </c>
      <c r="L24" s="10">
        <f t="shared" si="13"/>
        <v>0.46762543392483669</v>
      </c>
      <c r="N24" s="16">
        <f t="shared" si="14"/>
        <v>-5.3049432599048263E-3</v>
      </c>
    </row>
    <row r="25" spans="1:14" x14ac:dyDescent="0.2">
      <c r="A25" s="1" t="str">
        <f t="shared" si="16"/>
        <v>Income tax expense</v>
      </c>
      <c r="B25" s="8">
        <f t="shared" si="17"/>
        <v>0.15377924676002436</v>
      </c>
      <c r="C25" s="8">
        <f t="shared" si="4"/>
        <v>0.19564606741573035</v>
      </c>
      <c r="D25" s="8">
        <f t="shared" si="5"/>
        <v>0.16870300751879699</v>
      </c>
      <c r="E25" s="8">
        <f t="shared" si="6"/>
        <v>0.17602831748656469</v>
      </c>
      <c r="F25" s="8">
        <f t="shared" si="7"/>
        <v>0.20101744485407699</v>
      </c>
      <c r="G25" s="8">
        <f t="shared" si="8"/>
        <v>0.14852792324957093</v>
      </c>
      <c r="H25" s="8">
        <f t="shared" si="9"/>
        <v>0.14248728447880135</v>
      </c>
      <c r="I25" s="8">
        <f t="shared" si="10"/>
        <v>9.6728785427653008E-2</v>
      </c>
      <c r="J25" s="8">
        <f t="shared" si="11"/>
        <v>3.6301758366420876E-2</v>
      </c>
      <c r="K25" s="8">
        <f t="shared" si="12"/>
        <v>9.7970364836259496E-2</v>
      </c>
      <c r="L25" s="8">
        <f t="shared" si="13"/>
        <v>0.1181784859526941</v>
      </c>
      <c r="N25" s="16">
        <f t="shared" si="14"/>
        <v>-2.5988534351367831E-2</v>
      </c>
    </row>
    <row r="26" spans="1:14" s="2" customFormat="1" x14ac:dyDescent="0.2">
      <c r="A26" s="2" t="str">
        <f t="shared" si="16"/>
        <v>Profit for the year</v>
      </c>
      <c r="B26" s="10">
        <f t="shared" si="17"/>
        <v>0.33939288510046101</v>
      </c>
      <c r="C26" s="10">
        <f t="shared" si="4"/>
        <v>0.42523408239700372</v>
      </c>
      <c r="D26" s="10">
        <f t="shared" si="5"/>
        <v>0.37611073137388928</v>
      </c>
      <c r="E26" s="10">
        <f t="shared" si="6"/>
        <v>0.47253513848697809</v>
      </c>
      <c r="F26" s="10">
        <f t="shared" si="7"/>
        <v>0.4592507157127263</v>
      </c>
      <c r="G26" s="10">
        <f t="shared" si="8"/>
        <v>0.35426660212119876</v>
      </c>
      <c r="H26" s="10">
        <f t="shared" si="9"/>
        <v>0.37274379831439014</v>
      </c>
      <c r="I26" s="10">
        <f t="shared" si="10"/>
        <v>0.29724562472424731</v>
      </c>
      <c r="J26" s="10">
        <f t="shared" si="11"/>
        <v>2.0334656834940443E-2</v>
      </c>
      <c r="K26" s="10">
        <f t="shared" si="12"/>
        <v>0.27744988170838003</v>
      </c>
      <c r="L26" s="10">
        <f t="shared" si="13"/>
        <v>0.34944694797214254</v>
      </c>
      <c r="N26" s="16">
        <f t="shared" si="14"/>
        <v>2.9236020799432438E-3</v>
      </c>
    </row>
    <row r="27" spans="1:14" x14ac:dyDescent="0.2">
      <c r="N27" s="16"/>
    </row>
    <row r="28" spans="1:14" x14ac:dyDescent="0.2">
      <c r="B28" s="49"/>
      <c r="C28" s="49"/>
      <c r="D28" s="49"/>
      <c r="E28" s="49"/>
      <c r="F28" s="49"/>
      <c r="G28" s="49"/>
      <c r="H28" s="49"/>
      <c r="I28" s="49"/>
      <c r="J28" s="49"/>
      <c r="K28" s="49"/>
      <c r="L28" s="49"/>
      <c r="N28" s="16"/>
    </row>
    <row r="29" spans="1:14" x14ac:dyDescent="0.2">
      <c r="A29" s="1" t="str">
        <f>'Income Statement'!A17</f>
        <v>Headline EPS</v>
      </c>
      <c r="B29" s="1">
        <f>'Income Statement'!B17</f>
        <v>1011</v>
      </c>
      <c r="C29" s="1">
        <f>'Income Statement'!C17</f>
        <v>2280</v>
      </c>
      <c r="D29" s="1">
        <f>'Income Statement'!D17</f>
        <v>0</v>
      </c>
      <c r="E29" s="1">
        <f>'Income Statement'!E17</f>
        <v>0</v>
      </c>
      <c r="F29" s="1">
        <f>'Income Statement'!F17</f>
        <v>0</v>
      </c>
      <c r="G29" s="1">
        <f>'Income Statement'!G17</f>
        <v>0</v>
      </c>
      <c r="H29" s="1">
        <f>'Income Statement'!H17</f>
        <v>0</v>
      </c>
      <c r="I29" s="1">
        <f>'Income Statement'!I17</f>
        <v>0</v>
      </c>
      <c r="J29" s="1">
        <f>'Income Statement'!J17</f>
        <v>0</v>
      </c>
      <c r="K29" s="1">
        <f>'Income Statement'!K17</f>
        <v>0</v>
      </c>
      <c r="L29" s="1">
        <f>'Income Statement'!L17</f>
        <v>0</v>
      </c>
      <c r="N29" s="16">
        <f t="shared" si="14"/>
        <v>-1</v>
      </c>
    </row>
    <row r="30" spans="1:14" x14ac:dyDescent="0.2">
      <c r="A30" s="1" t="str">
        <f>'Income Statement'!A18</f>
        <v>Basic EPS</v>
      </c>
      <c r="B30" s="1">
        <f>'Income Statement'!B18</f>
        <v>0</v>
      </c>
      <c r="C30" s="1">
        <f>'Income Statement'!C18</f>
        <v>0</v>
      </c>
      <c r="D30" s="1">
        <f>'Income Statement'!D18</f>
        <v>2194</v>
      </c>
      <c r="E30" s="1">
        <f>'Income Statement'!E18</f>
        <v>4466</v>
      </c>
      <c r="F30" s="1">
        <f>'Income Statement'!F18</f>
        <v>5311</v>
      </c>
      <c r="G30" s="1">
        <f>'Income Statement'!G18</f>
        <v>3802</v>
      </c>
      <c r="H30" s="1">
        <f>'Income Statement'!H18</f>
        <v>4808</v>
      </c>
      <c r="I30" s="1">
        <f>'Income Statement'!I18</f>
        <v>3432</v>
      </c>
      <c r="J30" s="1">
        <f>'Income Statement'!J18</f>
        <v>1182</v>
      </c>
      <c r="K30" s="1">
        <f>'Income Statement'!K18</f>
        <v>2730</v>
      </c>
      <c r="L30" s="1">
        <f>'Income Statement'!L18</f>
        <v>3047</v>
      </c>
      <c r="N30" s="16" t="e">
        <f t="shared" si="14"/>
        <v>#DIV/0!</v>
      </c>
    </row>
    <row r="31" spans="1:14" x14ac:dyDescent="0.2">
      <c r="A31" s="1" t="str">
        <f>'Income Statement'!A19</f>
        <v>Diluted EPS</v>
      </c>
      <c r="B31" s="1">
        <f>'Income Statement'!B19</f>
        <v>995</v>
      </c>
      <c r="C31" s="1">
        <f>'Income Statement'!C19</f>
        <v>2254</v>
      </c>
      <c r="D31" s="1">
        <f>'Income Statement'!D19</f>
        <v>2182</v>
      </c>
      <c r="E31" s="1">
        <f>'Income Statement'!E19</f>
        <v>4452</v>
      </c>
      <c r="F31" s="1">
        <f>'Income Statement'!F19</f>
        <v>5297</v>
      </c>
      <c r="G31" s="1">
        <f>'Income Statement'!G19</f>
        <v>3795</v>
      </c>
      <c r="H31" s="1">
        <f>'Income Statement'!H19</f>
        <v>4802</v>
      </c>
      <c r="I31" s="1">
        <f>'Income Statement'!I19</f>
        <v>3426</v>
      </c>
      <c r="J31" s="1">
        <f>'Income Statement'!J19</f>
        <v>1182</v>
      </c>
      <c r="K31" s="1">
        <f>'Income Statement'!K19</f>
        <v>2716</v>
      </c>
      <c r="L31" s="1">
        <f>'Income Statement'!L19</f>
        <v>3026</v>
      </c>
      <c r="N31" s="16">
        <f t="shared" si="14"/>
        <v>0.11764681362156715</v>
      </c>
    </row>
    <row r="33" spans="1:14" x14ac:dyDescent="0.2">
      <c r="A33" s="1" t="str">
        <f>'Income Statement'!A21</f>
        <v>Dividend per share - Interim</v>
      </c>
      <c r="B33" s="1">
        <f>'Income Statement'!B21</f>
        <v>350</v>
      </c>
      <c r="C33" s="1">
        <f>'Income Statement'!C21</f>
        <v>800</v>
      </c>
      <c r="D33" s="1">
        <f>'Income Statement'!D21</f>
        <v>0</v>
      </c>
      <c r="E33" s="1">
        <f>'Income Statement'!E21</f>
        <v>0</v>
      </c>
      <c r="F33" s="1">
        <f>'Income Statement'!F21</f>
        <v>0</v>
      </c>
      <c r="G33" s="1">
        <f>'Income Statement'!G21</f>
        <v>0</v>
      </c>
      <c r="H33" s="1">
        <f>'Income Statement'!H21</f>
        <v>0</v>
      </c>
      <c r="I33" s="1">
        <f>'Income Statement'!I21</f>
        <v>0</v>
      </c>
      <c r="J33" s="1">
        <f>'Income Statement'!J21</f>
        <v>0</v>
      </c>
      <c r="K33" s="1">
        <f>'Income Statement'!K21</f>
        <v>0</v>
      </c>
      <c r="L33" s="1">
        <f>'Income Statement'!L21</f>
        <v>0</v>
      </c>
      <c r="N33" s="16">
        <f t="shared" si="14"/>
        <v>-1</v>
      </c>
    </row>
    <row r="34" spans="1:14" x14ac:dyDescent="0.2">
      <c r="A34" s="1" t="str">
        <f>'Income Statement'!A22</f>
        <v>Dividend per share - Final</v>
      </c>
      <c r="B34" s="1">
        <f>'Income Statement'!B22</f>
        <v>400</v>
      </c>
      <c r="C34" s="1">
        <f>'Income Statement'!C22</f>
        <v>1300</v>
      </c>
      <c r="D34" s="1">
        <f>'Income Statement'!D22</f>
        <v>0</v>
      </c>
      <c r="E34" s="1">
        <f>'Income Statement'!E22</f>
        <v>0</v>
      </c>
      <c r="F34" s="1">
        <f>'Income Statement'!F22</f>
        <v>0</v>
      </c>
      <c r="G34" s="1">
        <f>'Income Statement'!G22</f>
        <v>0</v>
      </c>
      <c r="H34" s="1">
        <f>'Income Statement'!H22</f>
        <v>0</v>
      </c>
      <c r="I34" s="1">
        <f>'Income Statement'!I22</f>
        <v>0</v>
      </c>
      <c r="J34" s="1">
        <f>'Income Statement'!J22</f>
        <v>0</v>
      </c>
      <c r="K34" s="1">
        <f>'Income Statement'!K22</f>
        <v>0</v>
      </c>
      <c r="L34" s="1">
        <f>'Income Statement'!L22</f>
        <v>0</v>
      </c>
      <c r="N34" s="16">
        <f t="shared" si="14"/>
        <v>-1</v>
      </c>
    </row>
    <row r="35" spans="1:14" x14ac:dyDescent="0.2">
      <c r="C35" s="8"/>
      <c r="D35" s="8"/>
      <c r="E35" s="8"/>
      <c r="F35" s="8"/>
      <c r="G35" s="8"/>
      <c r="H35" s="8"/>
      <c r="I35" s="8"/>
      <c r="J35" s="8"/>
      <c r="K35" s="8"/>
      <c r="L35" s="8"/>
    </row>
    <row r="37" spans="1:14" x14ac:dyDescent="0.2">
      <c r="A37" s="1" t="str">
        <f>A3</f>
        <v>Rm</v>
      </c>
      <c r="B37" s="1">
        <f t="shared" ref="B37:N38" si="18">B3</f>
        <v>2007</v>
      </c>
      <c r="C37" s="1">
        <f t="shared" si="18"/>
        <v>2008</v>
      </c>
      <c r="D37" s="1">
        <f t="shared" si="18"/>
        <v>2009</v>
      </c>
      <c r="E37" s="1">
        <f t="shared" si="18"/>
        <v>2010</v>
      </c>
      <c r="F37" s="1">
        <f t="shared" si="18"/>
        <v>2011</v>
      </c>
      <c r="G37" s="1">
        <f t="shared" si="18"/>
        <v>2012</v>
      </c>
      <c r="H37" s="1">
        <f t="shared" si="18"/>
        <v>2013</v>
      </c>
      <c r="I37" s="1">
        <f t="shared" si="18"/>
        <v>2014</v>
      </c>
      <c r="J37" s="1">
        <f t="shared" si="18"/>
        <v>2015</v>
      </c>
      <c r="K37" s="1">
        <f t="shared" si="18"/>
        <v>2016</v>
      </c>
      <c r="L37" s="1">
        <f t="shared" si="18"/>
        <v>2017</v>
      </c>
      <c r="N37" s="93" t="str">
        <f t="shared" si="18"/>
        <v>CAGR</v>
      </c>
    </row>
    <row r="38" spans="1:14" x14ac:dyDescent="0.2">
      <c r="A38" s="1" t="str">
        <f>A4</f>
        <v>Revenue</v>
      </c>
      <c r="B38" s="86">
        <f t="shared" si="18"/>
        <v>11497</v>
      </c>
      <c r="C38" s="86">
        <f t="shared" si="18"/>
        <v>21360</v>
      </c>
      <c r="D38" s="86">
        <f t="shared" si="18"/>
        <v>23408</v>
      </c>
      <c r="E38" s="86">
        <f t="shared" si="18"/>
        <v>38704</v>
      </c>
      <c r="F38" s="86">
        <f t="shared" si="18"/>
        <v>48553</v>
      </c>
      <c r="G38" s="86">
        <f t="shared" si="18"/>
        <v>45446</v>
      </c>
      <c r="H38" s="86">
        <f t="shared" si="18"/>
        <v>54461</v>
      </c>
      <c r="I38" s="86">
        <f t="shared" si="18"/>
        <v>47597</v>
      </c>
      <c r="J38" s="86">
        <f t="shared" si="18"/>
        <v>35260</v>
      </c>
      <c r="K38" s="86">
        <f t="shared" si="18"/>
        <v>40155</v>
      </c>
      <c r="L38" s="86">
        <f t="shared" si="18"/>
        <v>46379</v>
      </c>
      <c r="N38" s="16">
        <f t="shared" ref="N38:N41" si="19">(L38/B38)^(1/10)-1</f>
        <v>0.14967128671948604</v>
      </c>
    </row>
    <row r="39" spans="1:14" x14ac:dyDescent="0.2">
      <c r="A39" s="1" t="str">
        <f>A6</f>
        <v>Gross profit</v>
      </c>
      <c r="B39" s="8">
        <f t="shared" ref="B39:L39" si="20">B6/B4</f>
        <v>1</v>
      </c>
      <c r="C39" s="8">
        <f t="shared" si="20"/>
        <v>1</v>
      </c>
      <c r="D39" s="8">
        <f t="shared" si="20"/>
        <v>1</v>
      </c>
      <c r="E39" s="8">
        <f t="shared" si="20"/>
        <v>1</v>
      </c>
      <c r="F39" s="8">
        <f t="shared" si="20"/>
        <v>1</v>
      </c>
      <c r="G39" s="8">
        <f t="shared" si="20"/>
        <v>1</v>
      </c>
      <c r="H39" s="8">
        <f t="shared" si="20"/>
        <v>1</v>
      </c>
      <c r="I39" s="8">
        <f t="shared" si="20"/>
        <v>1</v>
      </c>
      <c r="J39" s="8">
        <f t="shared" si="20"/>
        <v>1</v>
      </c>
      <c r="K39" s="8">
        <f t="shared" si="20"/>
        <v>1</v>
      </c>
      <c r="L39" s="8">
        <f t="shared" si="20"/>
        <v>1</v>
      </c>
      <c r="N39" s="16">
        <f t="shared" si="19"/>
        <v>0</v>
      </c>
    </row>
    <row r="40" spans="1:14" x14ac:dyDescent="0.2">
      <c r="A40" s="1" t="str">
        <f>A8</f>
        <v>Operating profit (EBIT)</v>
      </c>
      <c r="B40" s="86">
        <f>B8</f>
        <v>5978</v>
      </c>
      <c r="C40" s="86">
        <f t="shared" ref="C40:L40" si="21">C8</f>
        <v>13513</v>
      </c>
      <c r="D40" s="86">
        <f t="shared" si="21"/>
        <v>12880</v>
      </c>
      <c r="E40" s="86">
        <f t="shared" si="21"/>
        <v>25131</v>
      </c>
      <c r="F40" s="86">
        <f t="shared" si="21"/>
        <v>31966</v>
      </c>
      <c r="G40" s="86">
        <f t="shared" si="21"/>
        <v>23153</v>
      </c>
      <c r="H40" s="86">
        <f t="shared" si="21"/>
        <v>28385</v>
      </c>
      <c r="I40" s="86">
        <f t="shared" si="21"/>
        <v>19192</v>
      </c>
      <c r="J40" s="86">
        <f t="shared" si="21"/>
        <v>2696</v>
      </c>
      <c r="K40" s="86">
        <f t="shared" si="21"/>
        <v>15274</v>
      </c>
      <c r="L40" s="86">
        <f t="shared" si="21"/>
        <v>21390</v>
      </c>
      <c r="N40" s="16">
        <f t="shared" si="19"/>
        <v>0.13596640400599425</v>
      </c>
    </row>
    <row r="41" spans="1:14" x14ac:dyDescent="0.2">
      <c r="A41" s="1" t="str">
        <f>A26</f>
        <v>Profit for the year</v>
      </c>
      <c r="B41" s="8">
        <f t="shared" ref="B41:L41" si="22">B14/B4</f>
        <v>0.33939288510046101</v>
      </c>
      <c r="C41" s="8">
        <f t="shared" si="22"/>
        <v>0.42523408239700372</v>
      </c>
      <c r="D41" s="8">
        <f t="shared" si="22"/>
        <v>0.37611073137388928</v>
      </c>
      <c r="E41" s="8">
        <f t="shared" si="22"/>
        <v>0.47253513848697809</v>
      </c>
      <c r="F41" s="8">
        <f t="shared" si="22"/>
        <v>0.4592507157127263</v>
      </c>
      <c r="G41" s="8">
        <f t="shared" si="22"/>
        <v>0.35426660212119876</v>
      </c>
      <c r="H41" s="8">
        <f t="shared" si="22"/>
        <v>0.37274379831439014</v>
      </c>
      <c r="I41" s="8">
        <f t="shared" si="22"/>
        <v>0.29724562472424731</v>
      </c>
      <c r="J41" s="8">
        <f t="shared" si="22"/>
        <v>2.0334656834940443E-2</v>
      </c>
      <c r="K41" s="10">
        <f t="shared" si="22"/>
        <v>0.27744988170838003</v>
      </c>
      <c r="L41" s="8">
        <f t="shared" si="22"/>
        <v>0.34944694797214254</v>
      </c>
      <c r="N41" s="16">
        <f t="shared" si="19"/>
        <v>2.9236020799432438E-3</v>
      </c>
    </row>
  </sheetData>
  <mergeCells count="1">
    <mergeCell ref="A1:N1"/>
  </mergeCells>
  <pageMargins left="0.7" right="0.7" top="0.75" bottom="0.75" header="0.3" footer="0.3"/>
  <pageSetup paperSize="9" orientation="portrait" r:id="rId1"/>
  <ignoredErrors>
    <ignoredError sqref="B12:N16 B28:N28 B24:M27 N24:N26 B29:M30 N29:N31 N33:N34 B4:N4 B6:N9 B5:M5 B18:N21 B17:M17"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O63"/>
  <sheetViews>
    <sheetView showGridLines="0" topLeftCell="A56" workbookViewId="0">
      <selection activeCell="A63" sqref="A63"/>
    </sheetView>
  </sheetViews>
  <sheetFormatPr defaultRowHeight="12.75" x14ac:dyDescent="0.2"/>
  <cols>
    <col min="1" max="1" width="39" style="1" bestFit="1" customWidth="1"/>
    <col min="2" max="2" width="10.28515625" style="1" bestFit="1" customWidth="1"/>
    <col min="3" max="12" width="11.42578125" style="1" bestFit="1" customWidth="1"/>
    <col min="13" max="13" width="4.7109375" style="1" customWidth="1"/>
    <col min="14" max="14" width="8.28515625" style="1" bestFit="1" customWidth="1"/>
    <col min="15" max="16384" width="9.140625" style="1"/>
  </cols>
  <sheetData>
    <row r="1" spans="1:15" ht="15" x14ac:dyDescent="0.2">
      <c r="A1" s="133" t="s">
        <v>37</v>
      </c>
      <c r="B1" s="133"/>
      <c r="C1" s="133"/>
      <c r="D1" s="133"/>
      <c r="E1" s="133"/>
      <c r="F1" s="133"/>
      <c r="G1" s="133"/>
      <c r="H1" s="133"/>
      <c r="I1" s="133"/>
      <c r="J1" s="133"/>
      <c r="K1" s="133"/>
      <c r="L1" s="133"/>
      <c r="M1" s="133"/>
      <c r="N1" s="133"/>
      <c r="O1" s="2"/>
    </row>
    <row r="2" spans="1:15" x14ac:dyDescent="0.2">
      <c r="O2" s="2"/>
    </row>
    <row r="3" spans="1:15" s="2" customFormat="1" x14ac:dyDescent="0.2">
      <c r="A3" s="2" t="s">
        <v>130</v>
      </c>
      <c r="B3" s="2">
        <f>'Balance Sheet'!B3</f>
        <v>2007</v>
      </c>
      <c r="C3" s="2">
        <f>'Balance Sheet'!C3</f>
        <v>2008</v>
      </c>
      <c r="D3" s="2">
        <f>'Balance Sheet'!D3</f>
        <v>2009</v>
      </c>
      <c r="E3" s="2">
        <f>'Balance Sheet'!E3</f>
        <v>2010</v>
      </c>
      <c r="F3" s="2">
        <f>'Balance Sheet'!F3</f>
        <v>2011</v>
      </c>
      <c r="G3" s="2">
        <f>'Balance Sheet'!G3</f>
        <v>2012</v>
      </c>
      <c r="H3" s="2">
        <f>'Balance Sheet'!H3</f>
        <v>2013</v>
      </c>
      <c r="I3" s="2">
        <f>'Balance Sheet'!I3</f>
        <v>2014</v>
      </c>
      <c r="J3" s="2">
        <f>'Balance Sheet'!J3</f>
        <v>2015</v>
      </c>
      <c r="K3" s="2">
        <f>'Balance Sheet'!K3</f>
        <v>2016</v>
      </c>
      <c r="L3" s="2">
        <f>'Balance Sheet'!L3</f>
        <v>2017</v>
      </c>
      <c r="N3" s="2" t="str">
        <f>'Income Statement Analysis'!N3</f>
        <v>CAGR</v>
      </c>
    </row>
    <row r="4" spans="1:15" s="2" customFormat="1" x14ac:dyDescent="0.2">
      <c r="A4" s="2" t="str">
        <f>'Balance Sheet'!A4</f>
        <v>ASSETS</v>
      </c>
      <c r="B4" s="49"/>
      <c r="C4" s="49"/>
      <c r="D4" s="49"/>
      <c r="E4" s="49"/>
      <c r="F4" s="49"/>
      <c r="G4" s="49"/>
      <c r="H4" s="49"/>
      <c r="I4" s="49"/>
      <c r="J4" s="49"/>
      <c r="K4" s="49"/>
      <c r="L4" s="49"/>
    </row>
    <row r="5" spans="1:15" s="2" customFormat="1" x14ac:dyDescent="0.2">
      <c r="A5" s="2" t="str">
        <f>'Balance Sheet'!A5</f>
        <v>Non-current assets</v>
      </c>
      <c r="B5" s="49"/>
      <c r="C5" s="49"/>
      <c r="D5" s="49"/>
      <c r="E5" s="49"/>
      <c r="F5" s="49"/>
      <c r="G5" s="49"/>
      <c r="H5" s="49"/>
      <c r="I5" s="49"/>
      <c r="J5" s="49"/>
      <c r="K5" s="49"/>
      <c r="L5" s="49"/>
    </row>
    <row r="6" spans="1:15" x14ac:dyDescent="0.2">
      <c r="A6" s="1" t="str">
        <f>'Balance Sheet'!A6</f>
        <v>Property, plant and equipment</v>
      </c>
      <c r="B6" s="84">
        <f>'Balance Sheet'!B6</f>
        <v>5889</v>
      </c>
      <c r="C6" s="84">
        <f>'Balance Sheet'!C6</f>
        <v>7911</v>
      </c>
      <c r="D6" s="84">
        <f>'Balance Sheet'!D6</f>
        <v>11568</v>
      </c>
      <c r="E6" s="84">
        <f>'Balance Sheet'!E6</f>
        <v>15866</v>
      </c>
      <c r="F6" s="84">
        <f>'Balance Sheet'!F6</f>
        <v>20878</v>
      </c>
      <c r="G6" s="84">
        <f>'Balance Sheet'!G6</f>
        <v>24765</v>
      </c>
      <c r="H6" s="84">
        <f>'Balance Sheet'!H6</f>
        <v>29922</v>
      </c>
      <c r="I6" s="84">
        <f>'Balance Sheet'!I6</f>
        <v>35170</v>
      </c>
      <c r="J6" s="84">
        <f>'Balance Sheet'!J6</f>
        <v>32671</v>
      </c>
      <c r="K6" s="84">
        <f>'Balance Sheet'!K6</f>
        <v>32131</v>
      </c>
      <c r="L6" s="84">
        <f>'Balance Sheet'!L6</f>
        <v>36833</v>
      </c>
      <c r="N6" s="16">
        <f t="shared" ref="N6:N13" si="0">(L6/B6)^(1/10)-1</f>
        <v>0.20121170061491656</v>
      </c>
    </row>
    <row r="7" spans="1:15" x14ac:dyDescent="0.2">
      <c r="A7" s="1" t="str">
        <f>'Balance Sheet'!A7</f>
        <v>Biological assets</v>
      </c>
      <c r="B7" s="84">
        <f>'Balance Sheet'!B7</f>
        <v>6</v>
      </c>
      <c r="C7" s="84">
        <f>'Balance Sheet'!C7</f>
        <v>8</v>
      </c>
      <c r="D7" s="84">
        <f>'Balance Sheet'!D7</f>
        <v>7</v>
      </c>
      <c r="E7" s="84">
        <f>'Balance Sheet'!E7</f>
        <v>6</v>
      </c>
      <c r="F7" s="84">
        <f>'Balance Sheet'!F7</f>
        <v>6</v>
      </c>
      <c r="G7" s="84">
        <f>'Balance Sheet'!G7</f>
        <v>8</v>
      </c>
      <c r="H7" s="84">
        <f>'Balance Sheet'!H7</f>
        <v>6</v>
      </c>
      <c r="I7" s="84">
        <f>'Balance Sheet'!I7</f>
        <v>6</v>
      </c>
      <c r="J7" s="84">
        <f>'Balance Sheet'!J7</f>
        <v>11</v>
      </c>
      <c r="K7" s="84">
        <f>'Balance Sheet'!K7</f>
        <v>2</v>
      </c>
      <c r="L7" s="84">
        <f>'Balance Sheet'!L7</f>
        <v>3</v>
      </c>
      <c r="N7" s="16">
        <f t="shared" si="0"/>
        <v>-6.696700846319259E-2</v>
      </c>
    </row>
    <row r="8" spans="1:15" x14ac:dyDescent="0.2">
      <c r="A8" s="1" t="str">
        <f>'Balance Sheet'!A8</f>
        <v>Investments in associates and joint ventures</v>
      </c>
      <c r="B8" s="84">
        <f>'Balance Sheet'!B8</f>
        <v>2</v>
      </c>
      <c r="C8" s="84">
        <f>'Balance Sheet'!C8</f>
        <v>6</v>
      </c>
      <c r="D8" s="84">
        <f>'Balance Sheet'!D8</f>
        <v>20</v>
      </c>
      <c r="E8" s="84">
        <f>'Balance Sheet'!E8</f>
        <v>29</v>
      </c>
      <c r="F8" s="84">
        <f>'Balance Sheet'!F8</f>
        <v>33</v>
      </c>
      <c r="G8" s="84">
        <f>'Balance Sheet'!G8</f>
        <v>47</v>
      </c>
      <c r="H8" s="84">
        <f>'Balance Sheet'!H8</f>
        <v>0</v>
      </c>
      <c r="I8" s="84">
        <f>'Balance Sheet'!I8</f>
        <v>0</v>
      </c>
      <c r="J8" s="84">
        <f>'Balance Sheet'!J8</f>
        <v>0</v>
      </c>
      <c r="K8" s="84">
        <f>'Balance Sheet'!K8</f>
        <v>0</v>
      </c>
      <c r="L8" s="84">
        <f>'Balance Sheet'!L8</f>
        <v>0</v>
      </c>
      <c r="N8" s="16">
        <f>(G8/B8)^(1/5)-1</f>
        <v>0.88024123336543059</v>
      </c>
    </row>
    <row r="9" spans="1:15" x14ac:dyDescent="0.2">
      <c r="A9" s="1" t="str">
        <f>'Balance Sheet'!A9</f>
        <v>Investments held by environmental trust</v>
      </c>
      <c r="B9" s="84">
        <f>'Balance Sheet'!B9</f>
        <v>165</v>
      </c>
      <c r="C9" s="84">
        <f>'Balance Sheet'!C9</f>
        <v>237</v>
      </c>
      <c r="D9" s="84">
        <f>'Balance Sheet'!D9</f>
        <v>279</v>
      </c>
      <c r="E9" s="84">
        <f>'Balance Sheet'!E9</f>
        <v>372</v>
      </c>
      <c r="F9" s="84">
        <f>'Balance Sheet'!F9</f>
        <v>568</v>
      </c>
      <c r="G9" s="84">
        <f>'Balance Sheet'!G9</f>
        <v>673</v>
      </c>
      <c r="H9" s="84">
        <f>'Balance Sheet'!H9</f>
        <v>737</v>
      </c>
      <c r="I9" s="84">
        <f>'Balance Sheet'!I9</f>
        <v>791</v>
      </c>
      <c r="J9" s="84">
        <f>'Balance Sheet'!J9</f>
        <v>818</v>
      </c>
      <c r="K9" s="84">
        <f>'Balance Sheet'!K9</f>
        <v>559</v>
      </c>
      <c r="L9" s="84">
        <f>'Balance Sheet'!L9</f>
        <v>627</v>
      </c>
      <c r="N9" s="16">
        <f t="shared" si="0"/>
        <v>0.14282138804355626</v>
      </c>
    </row>
    <row r="10" spans="1:15" s="2" customFormat="1" x14ac:dyDescent="0.2">
      <c r="A10" s="1" t="str">
        <f>'Balance Sheet'!A10</f>
        <v>Long-term financial assets and repayments</v>
      </c>
      <c r="B10" s="84">
        <f>'Balance Sheet'!B10</f>
        <v>14</v>
      </c>
      <c r="C10" s="84">
        <f>'Balance Sheet'!C10</f>
        <v>32</v>
      </c>
      <c r="D10" s="84">
        <f>'Balance Sheet'!D10</f>
        <v>28</v>
      </c>
      <c r="E10" s="84">
        <f>'Balance Sheet'!E10</f>
        <v>53</v>
      </c>
      <c r="F10" s="84">
        <f>'Balance Sheet'!F10</f>
        <v>95</v>
      </c>
      <c r="G10" s="84">
        <f>'Balance Sheet'!G10</f>
        <v>130</v>
      </c>
      <c r="H10" s="84">
        <f>'Balance Sheet'!H10</f>
        <v>605</v>
      </c>
      <c r="I10" s="84">
        <f>'Balance Sheet'!I10</f>
        <v>555</v>
      </c>
      <c r="J10" s="84">
        <f>'Balance Sheet'!J10</f>
        <v>581</v>
      </c>
      <c r="K10" s="84">
        <f>'Balance Sheet'!K10</f>
        <v>84</v>
      </c>
      <c r="L10" s="84">
        <f>'Balance Sheet'!L10</f>
        <v>211</v>
      </c>
      <c r="N10" s="16">
        <f t="shared" si="0"/>
        <v>0.3116423842488627</v>
      </c>
    </row>
    <row r="11" spans="1:15" x14ac:dyDescent="0.2">
      <c r="A11" s="1" t="str">
        <f>'Balance Sheet'!A11</f>
        <v>Inventories</v>
      </c>
      <c r="B11" s="84">
        <f>'Balance Sheet'!B11</f>
        <v>0</v>
      </c>
      <c r="C11" s="84">
        <f>'Balance Sheet'!C11</f>
        <v>0</v>
      </c>
      <c r="D11" s="84">
        <f>'Balance Sheet'!D11</f>
        <v>0</v>
      </c>
      <c r="E11" s="84">
        <f>'Balance Sheet'!E11</f>
        <v>0</v>
      </c>
      <c r="F11" s="84">
        <f>'Balance Sheet'!F11</f>
        <v>0</v>
      </c>
      <c r="G11" s="84">
        <f>'Balance Sheet'!G11</f>
        <v>0</v>
      </c>
      <c r="H11" s="84">
        <f>'Balance Sheet'!H11</f>
        <v>0</v>
      </c>
      <c r="I11" s="84">
        <f>'Balance Sheet'!I11</f>
        <v>0</v>
      </c>
      <c r="J11" s="84">
        <f>'Balance Sheet'!J11</f>
        <v>2560</v>
      </c>
      <c r="K11" s="84">
        <f>'Balance Sheet'!K11</f>
        <v>2889</v>
      </c>
      <c r="L11" s="84">
        <f>'Balance Sheet'!L11</f>
        <v>2841</v>
      </c>
      <c r="N11" s="16">
        <f>(L11/J11)^(1/2)-1</f>
        <v>5.3454139960539493E-2</v>
      </c>
    </row>
    <row r="12" spans="1:15" s="2" customFormat="1" x14ac:dyDescent="0.2">
      <c r="A12" s="1" t="str">
        <f>'Balance Sheet'!A12</f>
        <v>Deffered tax and other receivables</v>
      </c>
      <c r="B12" s="84">
        <f>'Balance Sheet'!B12</f>
        <v>9</v>
      </c>
      <c r="C12" s="84">
        <f>'Balance Sheet'!C12</f>
        <v>11</v>
      </c>
      <c r="D12" s="84">
        <f>'Balance Sheet'!D12</f>
        <v>129</v>
      </c>
      <c r="E12" s="84">
        <f>'Balance Sheet'!E12</f>
        <v>472</v>
      </c>
      <c r="F12" s="84">
        <f>'Balance Sheet'!F12</f>
        <v>658</v>
      </c>
      <c r="G12" s="84">
        <f>'Balance Sheet'!G12</f>
        <v>842</v>
      </c>
      <c r="H12" s="84">
        <f>'Balance Sheet'!H12</f>
        <v>920</v>
      </c>
      <c r="I12" s="84">
        <f>'Balance Sheet'!I12</f>
        <v>871</v>
      </c>
      <c r="J12" s="84">
        <f>'Balance Sheet'!J12</f>
        <v>1</v>
      </c>
      <c r="K12" s="84">
        <f>'Balance Sheet'!K12</f>
        <v>87</v>
      </c>
      <c r="L12" s="84">
        <f>'Balance Sheet'!L12</f>
        <v>72</v>
      </c>
      <c r="N12" s="16">
        <f t="shared" si="0"/>
        <v>0.23114441334491631</v>
      </c>
    </row>
    <row r="13" spans="1:15" s="2" customFormat="1" x14ac:dyDescent="0.2">
      <c r="A13" s="2" t="str">
        <f>'Balance Sheet'!A13</f>
        <v>Total non-current assets</v>
      </c>
      <c r="B13" s="85">
        <f>'Balance Sheet'!B13</f>
        <v>6085</v>
      </c>
      <c r="C13" s="85">
        <f>'Balance Sheet'!C13</f>
        <v>8205</v>
      </c>
      <c r="D13" s="85">
        <f>'Balance Sheet'!D13</f>
        <v>12031</v>
      </c>
      <c r="E13" s="85">
        <f>'Balance Sheet'!E13</f>
        <v>16798</v>
      </c>
      <c r="F13" s="85">
        <f>'Balance Sheet'!F13</f>
        <v>22238</v>
      </c>
      <c r="G13" s="85">
        <f>'Balance Sheet'!G13</f>
        <v>26465</v>
      </c>
      <c r="H13" s="85">
        <f>'Balance Sheet'!H13</f>
        <v>32190</v>
      </c>
      <c r="I13" s="85">
        <f>'Balance Sheet'!I13</f>
        <v>37393</v>
      </c>
      <c r="J13" s="85">
        <f>'Balance Sheet'!J13</f>
        <v>36642</v>
      </c>
      <c r="K13" s="85">
        <f>'Balance Sheet'!K13</f>
        <v>35752</v>
      </c>
      <c r="L13" s="85">
        <f>'Balance Sheet'!L13</f>
        <v>40587</v>
      </c>
      <c r="N13" s="16">
        <f t="shared" si="0"/>
        <v>0.208961962499145</v>
      </c>
    </row>
    <row r="14" spans="1:15" s="2" customFormat="1" x14ac:dyDescent="0.2">
      <c r="B14" s="85"/>
      <c r="C14" s="85"/>
      <c r="D14" s="85"/>
      <c r="E14" s="85"/>
      <c r="F14" s="85"/>
      <c r="G14" s="85"/>
      <c r="H14" s="85"/>
      <c r="I14" s="85"/>
      <c r="J14" s="85"/>
      <c r="K14" s="85"/>
      <c r="L14" s="85"/>
      <c r="N14" s="16"/>
    </row>
    <row r="15" spans="1:15" s="2" customFormat="1" x14ac:dyDescent="0.2">
      <c r="A15" s="2" t="str">
        <f>'Balance Sheet'!A15</f>
        <v>Current assets</v>
      </c>
      <c r="B15" s="85"/>
      <c r="C15" s="85"/>
      <c r="D15" s="85"/>
      <c r="E15" s="85"/>
      <c r="F15" s="85"/>
      <c r="G15" s="85"/>
      <c r="H15" s="85"/>
      <c r="I15" s="85"/>
      <c r="J15" s="85"/>
      <c r="K15" s="85"/>
      <c r="L15" s="85"/>
      <c r="N15" s="16"/>
    </row>
    <row r="16" spans="1:15" s="2" customFormat="1" x14ac:dyDescent="0.2">
      <c r="A16" s="1" t="str">
        <f>'Balance Sheet'!A16</f>
        <v>Financial assets</v>
      </c>
      <c r="B16" s="86">
        <f>'Balance Sheet'!B16</f>
        <v>0</v>
      </c>
      <c r="C16" s="86">
        <f>'Balance Sheet'!C16</f>
        <v>0</v>
      </c>
      <c r="D16" s="86">
        <f>'Balance Sheet'!D16</f>
        <v>0</v>
      </c>
      <c r="E16" s="86">
        <f>'Balance Sheet'!E16</f>
        <v>0</v>
      </c>
      <c r="F16" s="86">
        <f>'Balance Sheet'!F16</f>
        <v>0</v>
      </c>
      <c r="G16" s="86">
        <f>'Balance Sheet'!G16</f>
        <v>0</v>
      </c>
      <c r="H16" s="86">
        <f>'Balance Sheet'!H16</f>
        <v>0</v>
      </c>
      <c r="I16" s="86">
        <f>'Balance Sheet'!I16</f>
        <v>0</v>
      </c>
      <c r="J16" s="86">
        <f>'Balance Sheet'!J16</f>
        <v>0</v>
      </c>
      <c r="K16" s="86">
        <f>'Balance Sheet'!K16</f>
        <v>0</v>
      </c>
      <c r="L16" s="86">
        <f>'Balance Sheet'!L16</f>
        <v>0</v>
      </c>
      <c r="N16" s="16"/>
    </row>
    <row r="17" spans="1:14" x14ac:dyDescent="0.2">
      <c r="A17" s="1" t="str">
        <f>'Balance Sheet'!A17</f>
        <v>Inventrory</v>
      </c>
      <c r="B17" s="86">
        <f>'Balance Sheet'!B17</f>
        <v>1310</v>
      </c>
      <c r="C17" s="86">
        <f>'Balance Sheet'!C17</f>
        <v>1879</v>
      </c>
      <c r="D17" s="86">
        <f>'Balance Sheet'!D17</f>
        <v>2559</v>
      </c>
      <c r="E17" s="86">
        <f>'Balance Sheet'!E17</f>
        <v>3102</v>
      </c>
      <c r="F17" s="86">
        <f>'Balance Sheet'!F17</f>
        <v>3864</v>
      </c>
      <c r="G17" s="86">
        <f>'Balance Sheet'!G17</f>
        <v>4136</v>
      </c>
      <c r="H17" s="86">
        <f>'Balance Sheet'!H17</f>
        <v>5171</v>
      </c>
      <c r="I17" s="86">
        <f>'Balance Sheet'!I17</f>
        <v>7366</v>
      </c>
      <c r="J17" s="86">
        <f>'Balance Sheet'!J17</f>
        <v>5056</v>
      </c>
      <c r="K17" s="86">
        <f>'Balance Sheet'!K17</f>
        <v>4604</v>
      </c>
      <c r="L17" s="86">
        <f>'Balance Sheet'!L17</f>
        <v>4061</v>
      </c>
      <c r="N17" s="16">
        <f t="shared" ref="N17:N23" si="1">(L17/B17)^(1/10)-1</f>
        <v>0.11978892883451464</v>
      </c>
    </row>
    <row r="18" spans="1:14" s="2" customFormat="1" x14ac:dyDescent="0.2">
      <c r="A18" s="1" t="str">
        <f>'Balance Sheet'!A18</f>
        <v>Trade and other receivables</v>
      </c>
      <c r="B18" s="86">
        <f>'Balance Sheet'!B18</f>
        <v>1531</v>
      </c>
      <c r="C18" s="86">
        <f>'Balance Sheet'!C18</f>
        <v>2262</v>
      </c>
      <c r="D18" s="86">
        <f>'Balance Sheet'!D18</f>
        <v>2195</v>
      </c>
      <c r="E18" s="86">
        <f>'Balance Sheet'!E18</f>
        <v>3096</v>
      </c>
      <c r="F18" s="86">
        <f>'Balance Sheet'!F18</f>
        <v>3537</v>
      </c>
      <c r="G18" s="86">
        <f>'Balance Sheet'!G18</f>
        <v>4332</v>
      </c>
      <c r="H18" s="86">
        <f>'Balance Sheet'!H18</f>
        <v>6124</v>
      </c>
      <c r="I18" s="86">
        <f>'Balance Sheet'!I18</f>
        <v>4476</v>
      </c>
      <c r="J18" s="86">
        <f>'Balance Sheet'!J18</f>
        <v>3212</v>
      </c>
      <c r="K18" s="86">
        <f>'Balance Sheet'!K18</f>
        <v>5253</v>
      </c>
      <c r="L18" s="86">
        <f>'Balance Sheet'!L18</f>
        <v>2709</v>
      </c>
      <c r="N18" s="16">
        <f t="shared" si="1"/>
        <v>5.8725519504081891E-2</v>
      </c>
    </row>
    <row r="19" spans="1:14" x14ac:dyDescent="0.2">
      <c r="A19" s="1" t="str">
        <f>'Balance Sheet'!A19</f>
        <v>Non-current assets held for sale</v>
      </c>
      <c r="B19" s="86">
        <f>'Balance Sheet'!B19</f>
        <v>0</v>
      </c>
      <c r="C19" s="86">
        <f>'Balance Sheet'!C19</f>
        <v>0</v>
      </c>
      <c r="D19" s="86">
        <f>'Balance Sheet'!D19</f>
        <v>0</v>
      </c>
      <c r="E19" s="86">
        <f>'Balance Sheet'!E19</f>
        <v>0</v>
      </c>
      <c r="F19" s="86">
        <f>'Balance Sheet'!F19</f>
        <v>0</v>
      </c>
      <c r="G19" s="86">
        <f>'Balance Sheet'!G19</f>
        <v>0</v>
      </c>
      <c r="H19" s="86">
        <f>'Balance Sheet'!H19</f>
        <v>0</v>
      </c>
      <c r="I19" s="86">
        <f>'Balance Sheet'!I19</f>
        <v>0</v>
      </c>
      <c r="J19" s="86">
        <f>'Balance Sheet'!J19</f>
        <v>0</v>
      </c>
      <c r="K19" s="86">
        <f>'Balance Sheet'!K19</f>
        <v>0</v>
      </c>
      <c r="L19" s="86">
        <f>'Balance Sheet'!L19</f>
        <v>0</v>
      </c>
      <c r="N19" s="16"/>
    </row>
    <row r="20" spans="1:14" s="2" customFormat="1" x14ac:dyDescent="0.2">
      <c r="A20" s="1" t="str">
        <f>'Balance Sheet'!A20</f>
        <v>Finance receivable</v>
      </c>
      <c r="B20" s="86">
        <f>'Balance Sheet'!B20</f>
        <v>0</v>
      </c>
      <c r="C20" s="86">
        <f>'Balance Sheet'!C20</f>
        <v>0</v>
      </c>
      <c r="D20" s="86">
        <f>'Balance Sheet'!D20</f>
        <v>0</v>
      </c>
      <c r="E20" s="86">
        <f>'Balance Sheet'!E20</f>
        <v>0</v>
      </c>
      <c r="F20" s="86">
        <f>'Balance Sheet'!F20</f>
        <v>0</v>
      </c>
      <c r="G20" s="86">
        <f>'Balance Sheet'!G20</f>
        <v>0</v>
      </c>
      <c r="H20" s="86">
        <f>'Balance Sheet'!H20</f>
        <v>0</v>
      </c>
      <c r="I20" s="86">
        <f>'Balance Sheet'!I20</f>
        <v>0</v>
      </c>
      <c r="J20" s="86">
        <f>'Balance Sheet'!J20</f>
        <v>0</v>
      </c>
      <c r="K20" s="86">
        <f>'Balance Sheet'!K20</f>
        <v>0</v>
      </c>
      <c r="L20" s="86">
        <f>'Balance Sheet'!L20</f>
        <v>0</v>
      </c>
      <c r="N20" s="16"/>
    </row>
    <row r="21" spans="1:14" x14ac:dyDescent="0.2">
      <c r="A21" s="1" t="str">
        <f>'Balance Sheet'!A21</f>
        <v>Current tax</v>
      </c>
      <c r="B21" s="86">
        <f>'Balance Sheet'!B21</f>
        <v>0</v>
      </c>
      <c r="C21" s="86">
        <f>'Balance Sheet'!C21</f>
        <v>547</v>
      </c>
      <c r="D21" s="86">
        <f>'Balance Sheet'!D21</f>
        <v>131</v>
      </c>
      <c r="E21" s="86">
        <f>'Balance Sheet'!E21</f>
        <v>24</v>
      </c>
      <c r="F21" s="86">
        <f>'Balance Sheet'!F21</f>
        <v>32</v>
      </c>
      <c r="G21" s="86">
        <f>'Balance Sheet'!G21</f>
        <v>76</v>
      </c>
      <c r="H21" s="86">
        <f>'Balance Sheet'!H21</f>
        <v>0</v>
      </c>
      <c r="I21" s="86">
        <f>'Balance Sheet'!I21</f>
        <v>0</v>
      </c>
      <c r="J21" s="86">
        <f>'Balance Sheet'!J21</f>
        <v>0</v>
      </c>
      <c r="K21" s="86">
        <f>'Balance Sheet'!K21</f>
        <v>0</v>
      </c>
      <c r="L21" s="86">
        <f>'Balance Sheet'!L21</f>
        <v>0</v>
      </c>
      <c r="N21" s="16">
        <f>(G21/C21)^(1/4)-1</f>
        <v>-0.38947062209577232</v>
      </c>
    </row>
    <row r="22" spans="1:14" s="2" customFormat="1" x14ac:dyDescent="0.2">
      <c r="A22" s="1" t="str">
        <f>'Balance Sheet'!A22</f>
        <v>Cash and cash equivalents</v>
      </c>
      <c r="B22" s="86">
        <f>'Balance Sheet'!B22</f>
        <v>952</v>
      </c>
      <c r="C22" s="86">
        <f>'Balance Sheet'!C22</f>
        <v>3810</v>
      </c>
      <c r="D22" s="86">
        <f>'Balance Sheet'!D22</f>
        <v>891</v>
      </c>
      <c r="E22" s="86">
        <f>'Balance Sheet'!E22</f>
        <v>4855</v>
      </c>
      <c r="F22" s="86">
        <f>'Balance Sheet'!F22</f>
        <v>4742</v>
      </c>
      <c r="G22" s="86">
        <f>'Balance Sheet'!G22</f>
        <v>1527</v>
      </c>
      <c r="H22" s="86">
        <f>'Balance Sheet'!H22</f>
        <v>1053</v>
      </c>
      <c r="I22" s="86">
        <f>'Balance Sheet'!I22</f>
        <v>1664</v>
      </c>
      <c r="J22" s="86">
        <f>'Balance Sheet'!J22</f>
        <v>3601</v>
      </c>
      <c r="K22" s="86">
        <f>'Balance Sheet'!K22</f>
        <v>10665</v>
      </c>
      <c r="L22" s="86">
        <f>'Balance Sheet'!L22</f>
        <v>13874</v>
      </c>
      <c r="N22" s="16">
        <f t="shared" si="1"/>
        <v>0.30724344916349677</v>
      </c>
    </row>
    <row r="23" spans="1:14" s="2" customFormat="1" x14ac:dyDescent="0.2">
      <c r="A23" s="2" t="str">
        <f>'Balance Sheet'!A23</f>
        <v>Total current assets</v>
      </c>
      <c r="B23" s="85">
        <f>'Balance Sheet'!B23</f>
        <v>3793</v>
      </c>
      <c r="C23" s="85">
        <f>'Balance Sheet'!C23</f>
        <v>8498</v>
      </c>
      <c r="D23" s="85">
        <f>'Balance Sheet'!D23</f>
        <v>5776</v>
      </c>
      <c r="E23" s="85">
        <f>'Balance Sheet'!E23</f>
        <v>11077</v>
      </c>
      <c r="F23" s="85">
        <f>'Balance Sheet'!F23</f>
        <v>12175</v>
      </c>
      <c r="G23" s="85">
        <f>'Balance Sheet'!G23</f>
        <v>10071</v>
      </c>
      <c r="H23" s="85">
        <f>'Balance Sheet'!H23</f>
        <v>12348</v>
      </c>
      <c r="I23" s="85">
        <f>'Balance Sheet'!I23</f>
        <v>13506</v>
      </c>
      <c r="J23" s="85">
        <f>'Balance Sheet'!J23</f>
        <v>11869</v>
      </c>
      <c r="K23" s="85">
        <f>'Balance Sheet'!K23</f>
        <v>20522</v>
      </c>
      <c r="L23" s="85">
        <f>'Balance Sheet'!L23</f>
        <v>20644</v>
      </c>
      <c r="N23" s="16">
        <f t="shared" si="1"/>
        <v>0.18462556500673233</v>
      </c>
    </row>
    <row r="24" spans="1:14" s="2" customFormat="1" x14ac:dyDescent="0.2">
      <c r="B24" s="85"/>
      <c r="C24" s="85"/>
      <c r="D24" s="85"/>
      <c r="E24" s="85"/>
      <c r="F24" s="85"/>
      <c r="G24" s="85"/>
      <c r="H24" s="85"/>
      <c r="I24" s="85"/>
      <c r="J24" s="85"/>
      <c r="K24" s="85"/>
      <c r="L24" s="85"/>
      <c r="N24" s="16"/>
    </row>
    <row r="25" spans="1:14" s="2" customFormat="1" x14ac:dyDescent="0.2">
      <c r="A25" s="2" t="str">
        <f>'Balance Sheet'!A25</f>
        <v>TOTAL ASSETS</v>
      </c>
      <c r="B25" s="85">
        <f>'Balance Sheet'!B25</f>
        <v>9878</v>
      </c>
      <c r="C25" s="85">
        <f>'Balance Sheet'!C25</f>
        <v>16703</v>
      </c>
      <c r="D25" s="85">
        <f>'Balance Sheet'!D25</f>
        <v>17807</v>
      </c>
      <c r="E25" s="85">
        <f>'Balance Sheet'!E25</f>
        <v>27875</v>
      </c>
      <c r="F25" s="85">
        <f>'Balance Sheet'!F25</f>
        <v>34413</v>
      </c>
      <c r="G25" s="85">
        <f>'Balance Sheet'!G25</f>
        <v>36536</v>
      </c>
      <c r="H25" s="85">
        <f>'Balance Sheet'!H25</f>
        <v>44538</v>
      </c>
      <c r="I25" s="85">
        <f>'Balance Sheet'!I25</f>
        <v>50899</v>
      </c>
      <c r="J25" s="85">
        <f>'Balance Sheet'!J25</f>
        <v>48511</v>
      </c>
      <c r="K25" s="85">
        <f>'Balance Sheet'!K25</f>
        <v>56274</v>
      </c>
      <c r="L25" s="85">
        <f>'Balance Sheet'!L25</f>
        <v>61231</v>
      </c>
      <c r="N25" s="16">
        <f t="shared" ref="N25" si="2">(L25/B25)^(1/10)-1</f>
        <v>0.20013536369358498</v>
      </c>
    </row>
    <row r="26" spans="1:14" s="2" customFormat="1" x14ac:dyDescent="0.2">
      <c r="B26" s="85"/>
      <c r="C26" s="85"/>
      <c r="D26" s="85"/>
      <c r="E26" s="85"/>
      <c r="F26" s="85"/>
      <c r="G26" s="85"/>
      <c r="H26" s="85"/>
      <c r="I26" s="85"/>
      <c r="J26" s="85"/>
      <c r="K26" s="85"/>
      <c r="L26" s="85"/>
      <c r="N26" s="16"/>
    </row>
    <row r="27" spans="1:14" s="2" customFormat="1" x14ac:dyDescent="0.2">
      <c r="A27" s="2" t="str">
        <f>'Balance Sheet'!A27</f>
        <v>EQUITY AND LIABILITIES</v>
      </c>
      <c r="B27" s="85"/>
      <c r="C27" s="85"/>
      <c r="D27" s="85"/>
      <c r="E27" s="85"/>
      <c r="F27" s="85"/>
      <c r="G27" s="85"/>
      <c r="H27" s="85"/>
      <c r="I27" s="85"/>
      <c r="J27" s="85"/>
      <c r="K27" s="85"/>
      <c r="L27" s="85"/>
      <c r="N27" s="16"/>
    </row>
    <row r="28" spans="1:14" s="2" customFormat="1" x14ac:dyDescent="0.2">
      <c r="B28" s="85"/>
      <c r="C28" s="85"/>
      <c r="D28" s="85"/>
      <c r="E28" s="85"/>
      <c r="F28" s="85"/>
      <c r="G28" s="85"/>
      <c r="H28" s="85"/>
      <c r="I28" s="85"/>
      <c r="J28" s="85"/>
      <c r="K28" s="85"/>
      <c r="L28" s="85"/>
      <c r="N28" s="16"/>
    </row>
    <row r="29" spans="1:14" x14ac:dyDescent="0.2">
      <c r="A29" s="2" t="str">
        <f>'Balance Sheet'!A29</f>
        <v>Equity attributable to owners</v>
      </c>
      <c r="B29" s="84"/>
      <c r="C29" s="84"/>
      <c r="D29" s="84"/>
      <c r="E29" s="84"/>
      <c r="F29" s="84"/>
      <c r="G29" s="84"/>
      <c r="H29" s="84"/>
      <c r="I29" s="84"/>
      <c r="J29" s="84"/>
      <c r="K29" s="84"/>
      <c r="L29" s="84"/>
      <c r="N29" s="16"/>
    </row>
    <row r="30" spans="1:14" x14ac:dyDescent="0.2">
      <c r="A30" s="1" t="str">
        <f>'Balance Sheet'!A30</f>
        <v>Shareholders' equity</v>
      </c>
      <c r="B30" s="84">
        <f>'Balance Sheet'!B30</f>
        <v>2736</v>
      </c>
      <c r="C30" s="84">
        <f>'Balance Sheet'!C30</f>
        <v>6859</v>
      </c>
      <c r="D30" s="84">
        <f>'Balance Sheet'!D30</f>
        <v>7306</v>
      </c>
      <c r="E30" s="84">
        <f>'Balance Sheet'!E30</f>
        <v>14338</v>
      </c>
      <c r="F30" s="84">
        <f>'Balance Sheet'!F30</f>
        <v>15833</v>
      </c>
      <c r="G30" s="84">
        <f>'Balance Sheet'!G30</f>
        <v>14964</v>
      </c>
      <c r="H30" s="84">
        <f>'Balance Sheet'!H30</f>
        <v>20831</v>
      </c>
      <c r="I30" s="84">
        <f>'Balance Sheet'!I30</f>
        <v>20764</v>
      </c>
      <c r="J30" s="84">
        <f>'Balance Sheet'!J30</f>
        <v>19320</v>
      </c>
      <c r="K30" s="84">
        <f>'Balance Sheet'!K30</f>
        <v>27850</v>
      </c>
      <c r="L30" s="84">
        <f>'Balance Sheet'!L30</f>
        <v>34769</v>
      </c>
      <c r="N30" s="16">
        <f t="shared" ref="N30:N35" si="3">(L30/B30)^(1/10)-1</f>
        <v>0.28945921660040685</v>
      </c>
    </row>
    <row r="31" spans="1:14" s="2" customFormat="1" x14ac:dyDescent="0.2">
      <c r="A31" s="1" t="str">
        <f>'Balance Sheet'!A31</f>
        <v>Minority shares</v>
      </c>
      <c r="B31" s="84">
        <f>'Balance Sheet'!B31</f>
        <v>661</v>
      </c>
      <c r="C31" s="84">
        <f>'Balance Sheet'!C31</f>
        <v>1647</v>
      </c>
      <c r="D31" s="84">
        <f>'Balance Sheet'!D31</f>
        <v>1650</v>
      </c>
      <c r="E31" s="84">
        <f>'Balance Sheet'!E31</f>
        <v>4038</v>
      </c>
      <c r="F31" s="84">
        <f>'Balance Sheet'!F31</f>
        <v>4759</v>
      </c>
      <c r="G31" s="84">
        <f>'Balance Sheet'!G31</f>
        <v>4345</v>
      </c>
      <c r="H31" s="84">
        <f>'Balance Sheet'!H31</f>
        <v>6353</v>
      </c>
      <c r="I31" s="84">
        <f>'Balance Sheet'!I31</f>
        <v>6237</v>
      </c>
      <c r="J31" s="84">
        <f>'Balance Sheet'!J31</f>
        <v>5847</v>
      </c>
      <c r="K31" s="84">
        <f>'Balance Sheet'!K31</f>
        <v>8686</v>
      </c>
      <c r="L31" s="84">
        <f>'Balance Sheet'!L31</f>
        <v>10777</v>
      </c>
      <c r="N31" s="16">
        <f t="shared" si="3"/>
        <v>0.32199448177863332</v>
      </c>
    </row>
    <row r="32" spans="1:14" x14ac:dyDescent="0.2">
      <c r="A32" s="1" t="str">
        <f>'Balance Sheet'!A32</f>
        <v>Retained earnings</v>
      </c>
      <c r="B32" s="84">
        <f>'Balance Sheet'!B32</f>
        <v>0</v>
      </c>
      <c r="C32" s="84">
        <f>'Balance Sheet'!C32</f>
        <v>0</v>
      </c>
      <c r="D32" s="84">
        <f>'Balance Sheet'!D32</f>
        <v>0</v>
      </c>
      <c r="E32" s="84">
        <f>'Balance Sheet'!E32</f>
        <v>0</v>
      </c>
      <c r="F32" s="84">
        <f>'Balance Sheet'!F32</f>
        <v>0</v>
      </c>
      <c r="G32" s="84">
        <f>'Balance Sheet'!G32</f>
        <v>0</v>
      </c>
      <c r="H32" s="84">
        <f>'Balance Sheet'!H32</f>
        <v>0</v>
      </c>
      <c r="I32" s="84">
        <f>'Balance Sheet'!I32</f>
        <v>0</v>
      </c>
      <c r="J32" s="84">
        <f>'Balance Sheet'!J32</f>
        <v>0</v>
      </c>
      <c r="K32" s="84">
        <f>'Balance Sheet'!K32</f>
        <v>0</v>
      </c>
      <c r="L32" s="84">
        <f>'Balance Sheet'!L32</f>
        <v>0</v>
      </c>
      <c r="N32" s="16"/>
    </row>
    <row r="33" spans="1:15" s="2" customFormat="1" x14ac:dyDescent="0.2">
      <c r="A33" s="1" t="str">
        <f>'Balance Sheet'!A33</f>
        <v>Other reserves</v>
      </c>
      <c r="B33" s="84">
        <f>'Balance Sheet'!B33</f>
        <v>0</v>
      </c>
      <c r="C33" s="84">
        <f>'Balance Sheet'!C33</f>
        <v>0</v>
      </c>
      <c r="D33" s="84">
        <f>'Balance Sheet'!D33</f>
        <v>0</v>
      </c>
      <c r="E33" s="84">
        <f>'Balance Sheet'!E33</f>
        <v>0</v>
      </c>
      <c r="F33" s="84">
        <f>'Balance Sheet'!F33</f>
        <v>0</v>
      </c>
      <c r="G33" s="84">
        <f>'Balance Sheet'!G33</f>
        <v>0</v>
      </c>
      <c r="H33" s="84">
        <f>'Balance Sheet'!H33</f>
        <v>0</v>
      </c>
      <c r="I33" s="84">
        <f>'Balance Sheet'!I33</f>
        <v>0</v>
      </c>
      <c r="J33" s="84">
        <f>'Balance Sheet'!J33</f>
        <v>0</v>
      </c>
      <c r="K33" s="84">
        <f>'Balance Sheet'!K33</f>
        <v>0</v>
      </c>
      <c r="L33" s="84">
        <f>'Balance Sheet'!L33</f>
        <v>0</v>
      </c>
      <c r="N33" s="16"/>
    </row>
    <row r="34" spans="1:15" x14ac:dyDescent="0.2">
      <c r="A34" s="1" t="str">
        <f>'Balance Sheet'!A34</f>
        <v>Non-controling interest</v>
      </c>
      <c r="B34" s="84">
        <f>'Balance Sheet'!B34</f>
        <v>0</v>
      </c>
      <c r="C34" s="84">
        <f>'Balance Sheet'!C34</f>
        <v>0</v>
      </c>
      <c r="D34" s="84">
        <f>'Balance Sheet'!D34</f>
        <v>0</v>
      </c>
      <c r="E34" s="84">
        <f>'Balance Sheet'!E34</f>
        <v>0</v>
      </c>
      <c r="F34" s="84">
        <f>'Balance Sheet'!F34</f>
        <v>0</v>
      </c>
      <c r="G34" s="84">
        <f>'Balance Sheet'!G34</f>
        <v>0</v>
      </c>
      <c r="H34" s="84">
        <f>'Balance Sheet'!H34</f>
        <v>0</v>
      </c>
      <c r="I34" s="84">
        <f>'Balance Sheet'!I34</f>
        <v>0</v>
      </c>
      <c r="J34" s="84">
        <f>'Balance Sheet'!J34</f>
        <v>0</v>
      </c>
      <c r="K34" s="84">
        <f>'Balance Sheet'!K34</f>
        <v>0</v>
      </c>
      <c r="L34" s="84">
        <f>'Balance Sheet'!L34</f>
        <v>0</v>
      </c>
      <c r="N34" s="16"/>
    </row>
    <row r="35" spans="1:15" s="2" customFormat="1" x14ac:dyDescent="0.2">
      <c r="A35" s="2" t="str">
        <f>'Balance Sheet'!A35</f>
        <v>Total equity</v>
      </c>
      <c r="B35" s="85">
        <f>'Balance Sheet'!B35</f>
        <v>3397</v>
      </c>
      <c r="C35" s="85">
        <f>'Balance Sheet'!C35</f>
        <v>8506</v>
      </c>
      <c r="D35" s="85">
        <f>'Balance Sheet'!D35</f>
        <v>8956</v>
      </c>
      <c r="E35" s="85">
        <f>'Balance Sheet'!E35</f>
        <v>18376</v>
      </c>
      <c r="F35" s="85">
        <f>'Balance Sheet'!F35</f>
        <v>20592</v>
      </c>
      <c r="G35" s="85">
        <f>'Balance Sheet'!G35</f>
        <v>19309</v>
      </c>
      <c r="H35" s="85">
        <f>'Balance Sheet'!H35</f>
        <v>27184</v>
      </c>
      <c r="I35" s="85">
        <f>'Balance Sheet'!I35</f>
        <v>27001</v>
      </c>
      <c r="J35" s="85">
        <f>'Balance Sheet'!J35</f>
        <v>25167</v>
      </c>
      <c r="K35" s="85">
        <f>'Balance Sheet'!K35</f>
        <v>36536</v>
      </c>
      <c r="L35" s="85">
        <f>'Balance Sheet'!L35</f>
        <v>45546</v>
      </c>
      <c r="N35" s="16">
        <f t="shared" si="3"/>
        <v>0.29638939448429658</v>
      </c>
    </row>
    <row r="36" spans="1:15" s="2" customFormat="1" x14ac:dyDescent="0.2">
      <c r="B36" s="85"/>
      <c r="C36" s="85"/>
      <c r="D36" s="85"/>
      <c r="E36" s="85"/>
      <c r="F36" s="85"/>
      <c r="G36" s="85"/>
      <c r="H36" s="85"/>
      <c r="I36" s="85"/>
      <c r="J36" s="85"/>
      <c r="K36" s="85"/>
      <c r="L36" s="85"/>
      <c r="N36" s="16"/>
    </row>
    <row r="37" spans="1:15" s="2" customFormat="1" x14ac:dyDescent="0.2">
      <c r="A37" s="2" t="str">
        <f>'Balance Sheet'!A37</f>
        <v>Non-current liabilities</v>
      </c>
      <c r="B37" s="85"/>
      <c r="C37" s="85"/>
      <c r="D37" s="85"/>
      <c r="E37" s="85"/>
      <c r="F37" s="85"/>
      <c r="G37" s="85"/>
      <c r="H37" s="85"/>
      <c r="I37" s="85"/>
      <c r="J37" s="85"/>
      <c r="K37" s="85"/>
      <c r="L37" s="85"/>
      <c r="N37" s="16"/>
    </row>
    <row r="38" spans="1:15" x14ac:dyDescent="0.2">
      <c r="A38" s="1" t="str">
        <f>'Balance Sheet'!A38</f>
        <v>Interest bearing borrowings</v>
      </c>
      <c r="B38" s="84">
        <f>'Balance Sheet'!B38</f>
        <v>1040</v>
      </c>
      <c r="C38" s="84">
        <f>'Balance Sheet'!C38</f>
        <v>977</v>
      </c>
      <c r="D38" s="84">
        <f>'Balance Sheet'!D38</f>
        <v>3859</v>
      </c>
      <c r="E38" s="84">
        <f>'Balance Sheet'!E38</f>
        <v>3185</v>
      </c>
      <c r="F38" s="84">
        <f>'Balance Sheet'!F38</f>
        <v>0</v>
      </c>
      <c r="G38" s="84">
        <f>'Balance Sheet'!G38</f>
        <v>3200</v>
      </c>
      <c r="H38" s="84">
        <f>'Balance Sheet'!H38</f>
        <v>2234</v>
      </c>
      <c r="I38" s="84">
        <f>'Balance Sheet'!I38</f>
        <v>4000</v>
      </c>
      <c r="J38" s="84">
        <f>'Balance Sheet'!J38</f>
        <v>8000</v>
      </c>
      <c r="K38" s="84">
        <f>'Balance Sheet'!K38</f>
        <v>4500</v>
      </c>
      <c r="L38" s="84">
        <f>'Balance Sheet'!L38</f>
        <v>0</v>
      </c>
      <c r="N38" s="16">
        <f>(K38/B38)^(1/9)-1</f>
        <v>0.17675641617246507</v>
      </c>
    </row>
    <row r="39" spans="1:15" s="2" customFormat="1" x14ac:dyDescent="0.2">
      <c r="A39" s="1" t="str">
        <f>'Balance Sheet'!A39</f>
        <v>Trade and other payables</v>
      </c>
      <c r="B39" s="84">
        <f>'Balance Sheet'!B39</f>
        <v>0</v>
      </c>
      <c r="C39" s="84">
        <f>'Balance Sheet'!C39</f>
        <v>0</v>
      </c>
      <c r="D39" s="84">
        <f>'Balance Sheet'!D39</f>
        <v>0</v>
      </c>
      <c r="E39" s="84">
        <f>'Balance Sheet'!E39</f>
        <v>0</v>
      </c>
      <c r="F39" s="84">
        <f>'Balance Sheet'!F39</f>
        <v>0</v>
      </c>
      <c r="G39" s="84">
        <f>'Balance Sheet'!G39</f>
        <v>0</v>
      </c>
      <c r="H39" s="84">
        <f>'Balance Sheet'!H39</f>
        <v>0</v>
      </c>
      <c r="I39" s="84">
        <f>'Balance Sheet'!I39</f>
        <v>0</v>
      </c>
      <c r="J39" s="84">
        <f>'Balance Sheet'!J39</f>
        <v>0</v>
      </c>
      <c r="K39" s="84">
        <f>'Balance Sheet'!K39</f>
        <v>0</v>
      </c>
      <c r="L39" s="84">
        <f>'Balance Sheet'!L39</f>
        <v>0</v>
      </c>
      <c r="N39" s="16"/>
    </row>
    <row r="40" spans="1:15" x14ac:dyDescent="0.2">
      <c r="A40" s="1" t="str">
        <f>'Balance Sheet'!A40</f>
        <v>Provisions</v>
      </c>
      <c r="B40" s="84">
        <f>'Balance Sheet'!B40</f>
        <v>339</v>
      </c>
      <c r="C40" s="84">
        <f>'Balance Sheet'!C40</f>
        <v>384</v>
      </c>
      <c r="D40" s="84">
        <f>'Balance Sheet'!D40</f>
        <v>468</v>
      </c>
      <c r="E40" s="84">
        <f>'Balance Sheet'!E40</f>
        <v>672</v>
      </c>
      <c r="F40" s="84">
        <f>'Balance Sheet'!F40</f>
        <v>901</v>
      </c>
      <c r="G40" s="84">
        <f>'Balance Sheet'!G40</f>
        <v>1420</v>
      </c>
      <c r="H40" s="84">
        <f>'Balance Sheet'!H40</f>
        <v>1809</v>
      </c>
      <c r="I40" s="84">
        <f>'Balance Sheet'!I40</f>
        <v>1964</v>
      </c>
      <c r="J40" s="84">
        <f>'Balance Sheet'!J40</f>
        <v>2717</v>
      </c>
      <c r="K40" s="84">
        <f>'Balance Sheet'!K40</f>
        <v>1967</v>
      </c>
      <c r="L40" s="84">
        <f>'Balance Sheet'!L40</f>
        <v>1860</v>
      </c>
      <c r="N40" s="16">
        <f t="shared" ref="N40:N42" si="4">(L40/B40)^(1/10)-1</f>
        <v>0.18558125625438815</v>
      </c>
    </row>
    <row r="41" spans="1:15" s="2" customFormat="1" x14ac:dyDescent="0.2">
      <c r="A41" s="1" t="str">
        <f>'Balance Sheet'!A41</f>
        <v>Deferred liabilities</v>
      </c>
      <c r="B41" s="84">
        <f>'Balance Sheet'!B41</f>
        <v>1490</v>
      </c>
      <c r="C41" s="84">
        <f>'Balance Sheet'!C41</f>
        <v>1990</v>
      </c>
      <c r="D41" s="84">
        <f>'Balance Sheet'!D41</f>
        <v>2282</v>
      </c>
      <c r="E41" s="84">
        <f>'Balance Sheet'!E41</f>
        <v>2272</v>
      </c>
      <c r="F41" s="84">
        <f>'Balance Sheet'!F41</f>
        <v>4942</v>
      </c>
      <c r="G41" s="84">
        <f>'Balance Sheet'!G41</f>
        <v>6697</v>
      </c>
      <c r="H41" s="84">
        <f>'Balance Sheet'!H41</f>
        <v>7888</v>
      </c>
      <c r="I41" s="84">
        <f>'Balance Sheet'!I41</f>
        <v>8201</v>
      </c>
      <c r="J41" s="84">
        <f>'Balance Sheet'!J41</f>
        <v>7680</v>
      </c>
      <c r="K41" s="84">
        <f>'Balance Sheet'!K41</f>
        <v>7462</v>
      </c>
      <c r="L41" s="84">
        <f>'Balance Sheet'!L41</f>
        <v>8860</v>
      </c>
      <c r="N41" s="16">
        <f t="shared" si="4"/>
        <v>0.19515641073879708</v>
      </c>
    </row>
    <row r="42" spans="1:15" x14ac:dyDescent="0.2">
      <c r="A42" s="2" t="str">
        <f>'Balance Sheet'!A42</f>
        <v>Total non-current liabilities</v>
      </c>
      <c r="B42" s="85">
        <f>'Balance Sheet'!B42</f>
        <v>2869</v>
      </c>
      <c r="C42" s="85">
        <f>'Balance Sheet'!C42</f>
        <v>3351</v>
      </c>
      <c r="D42" s="85">
        <f>'Balance Sheet'!D42</f>
        <v>6609</v>
      </c>
      <c r="E42" s="85">
        <f>'Balance Sheet'!E42</f>
        <v>6129</v>
      </c>
      <c r="F42" s="85">
        <f>'Balance Sheet'!F42</f>
        <v>5843</v>
      </c>
      <c r="G42" s="85">
        <f>'Balance Sheet'!G42</f>
        <v>11317</v>
      </c>
      <c r="H42" s="85">
        <f>'Balance Sheet'!H42</f>
        <v>11931</v>
      </c>
      <c r="I42" s="85">
        <f>'Balance Sheet'!I42</f>
        <v>14165</v>
      </c>
      <c r="J42" s="85">
        <f>'Balance Sheet'!J42</f>
        <v>18397</v>
      </c>
      <c r="K42" s="85">
        <f>'Balance Sheet'!K42</f>
        <v>13929</v>
      </c>
      <c r="L42" s="85">
        <f>'Balance Sheet'!L42</f>
        <v>10720</v>
      </c>
      <c r="N42" s="16">
        <f t="shared" si="4"/>
        <v>0.14089696206590241</v>
      </c>
    </row>
    <row r="43" spans="1:15" x14ac:dyDescent="0.2">
      <c r="B43" s="84"/>
      <c r="C43" s="84"/>
      <c r="D43" s="84"/>
      <c r="E43" s="84"/>
      <c r="F43" s="84"/>
      <c r="G43" s="84"/>
      <c r="H43" s="84"/>
      <c r="I43" s="84"/>
      <c r="J43" s="84"/>
      <c r="K43" s="84"/>
      <c r="L43" s="84"/>
      <c r="N43" s="16"/>
      <c r="O43" s="2"/>
    </row>
    <row r="44" spans="1:15" x14ac:dyDescent="0.2">
      <c r="A44" s="2" t="str">
        <f>'Balance Sheet'!A44</f>
        <v>Current Liabilities</v>
      </c>
      <c r="B44" s="84"/>
      <c r="C44" s="84"/>
      <c r="D44" s="84"/>
      <c r="E44" s="84"/>
      <c r="F44" s="84"/>
      <c r="G44" s="84"/>
      <c r="H44" s="84"/>
      <c r="I44" s="84"/>
      <c r="J44" s="84"/>
      <c r="K44" s="84"/>
      <c r="L44" s="84"/>
      <c r="N44" s="16"/>
      <c r="O44" s="2"/>
    </row>
    <row r="45" spans="1:15" x14ac:dyDescent="0.2">
      <c r="A45" s="1" t="str">
        <f>'Balance Sheet'!A45</f>
        <v>Interest bearing borrowings</v>
      </c>
      <c r="B45" s="86">
        <f>'Balance Sheet'!B45</f>
        <v>2490</v>
      </c>
      <c r="C45" s="86">
        <f>'Balance Sheet'!C45</f>
        <v>2881</v>
      </c>
      <c r="D45" s="86">
        <f>'Balance Sheet'!D45</f>
        <v>55</v>
      </c>
      <c r="E45" s="86">
        <f>'Balance Sheet'!E45</f>
        <v>0</v>
      </c>
      <c r="F45" s="86">
        <f>'Balance Sheet'!F45</f>
        <v>3191</v>
      </c>
      <c r="G45" s="86">
        <f>'Balance Sheet'!G45</f>
        <v>2669</v>
      </c>
      <c r="H45" s="86">
        <f>'Balance Sheet'!H45</f>
        <v>615</v>
      </c>
      <c r="I45" s="86">
        <f>'Balance Sheet'!I45</f>
        <v>5593</v>
      </c>
      <c r="J45" s="86">
        <f>'Balance Sheet'!J45</f>
        <v>205</v>
      </c>
      <c r="K45" s="86">
        <f>'Balance Sheet'!K45</f>
        <v>0</v>
      </c>
      <c r="L45" s="86">
        <f>'Balance Sheet'!L45</f>
        <v>0</v>
      </c>
      <c r="N45" s="16">
        <f t="shared" ref="N45:N51" si="5">(L45/B45)^(1/10)-1</f>
        <v>-1</v>
      </c>
      <c r="O45" s="2"/>
    </row>
    <row r="46" spans="1:15" x14ac:dyDescent="0.2">
      <c r="A46" s="1" t="str">
        <f>'Balance Sheet'!A46</f>
        <v>Trade and other payables</v>
      </c>
      <c r="B46" s="86">
        <f>'Balance Sheet'!B46</f>
        <v>1058</v>
      </c>
      <c r="C46" s="86">
        <f>'Balance Sheet'!C46</f>
        <v>1655</v>
      </c>
      <c r="D46" s="86">
        <f>'Balance Sheet'!D46</f>
        <v>2161</v>
      </c>
      <c r="E46" s="86">
        <f>'Balance Sheet'!E46</f>
        <v>3274</v>
      </c>
      <c r="F46" s="86">
        <f>'Balance Sheet'!F46</f>
        <v>4556</v>
      </c>
      <c r="G46" s="86">
        <f>'Balance Sheet'!G46</f>
        <v>3012</v>
      </c>
      <c r="H46" s="86">
        <f>'Balance Sheet'!H46</f>
        <v>3888</v>
      </c>
      <c r="I46" s="86">
        <f>'Balance Sheet'!I46</f>
        <v>3493</v>
      </c>
      <c r="J46" s="86">
        <f>'Balance Sheet'!J46</f>
        <v>3407</v>
      </c>
      <c r="K46" s="86">
        <f>'Balance Sheet'!K46</f>
        <v>3741</v>
      </c>
      <c r="L46" s="86">
        <f>'Balance Sheet'!L46</f>
        <v>4945</v>
      </c>
      <c r="N46" s="16">
        <f t="shared" si="5"/>
        <v>0.16672381529235203</v>
      </c>
      <c r="O46" s="2"/>
    </row>
    <row r="47" spans="1:15" s="2" customFormat="1" x14ac:dyDescent="0.2">
      <c r="A47" s="1" t="str">
        <f>'Balance Sheet'!A47</f>
        <v>Provisions</v>
      </c>
      <c r="B47" s="86">
        <f>'Balance Sheet'!B47</f>
        <v>0</v>
      </c>
      <c r="C47" s="86">
        <f>'Balance Sheet'!C47</f>
        <v>310</v>
      </c>
      <c r="D47" s="86">
        <f>'Balance Sheet'!D47</f>
        <v>4</v>
      </c>
      <c r="E47" s="86">
        <f>'Balance Sheet'!E47</f>
        <v>11</v>
      </c>
      <c r="F47" s="86">
        <f>'Balance Sheet'!F47</f>
        <v>11</v>
      </c>
      <c r="G47" s="86">
        <f>'Balance Sheet'!G47</f>
        <v>26</v>
      </c>
      <c r="H47" s="86">
        <f>'Balance Sheet'!H47</f>
        <v>355</v>
      </c>
      <c r="I47" s="86">
        <f>'Balance Sheet'!I47</f>
        <v>92</v>
      </c>
      <c r="J47" s="86">
        <f>'Balance Sheet'!J47</f>
        <v>349</v>
      </c>
      <c r="K47" s="86">
        <f>'Balance Sheet'!K47</f>
        <v>164</v>
      </c>
      <c r="L47" s="86">
        <f>'Balance Sheet'!L47</f>
        <v>147</v>
      </c>
      <c r="N47" s="16">
        <f>(L47/C47)^(1/9)-1</f>
        <v>-7.956087432580472E-2</v>
      </c>
    </row>
    <row r="48" spans="1:15" x14ac:dyDescent="0.2">
      <c r="A48" s="1" t="str">
        <f>'Balance Sheet'!A48</f>
        <v>Current tax liability</v>
      </c>
      <c r="B48" s="86">
        <f>'Balance Sheet'!B48</f>
        <v>64</v>
      </c>
      <c r="C48" s="86">
        <f>'Balance Sheet'!C48</f>
        <v>0</v>
      </c>
      <c r="D48" s="86">
        <f>'Balance Sheet'!D48</f>
        <v>22</v>
      </c>
      <c r="E48" s="86">
        <f>'Balance Sheet'!E48</f>
        <v>85</v>
      </c>
      <c r="F48" s="86">
        <f>'Balance Sheet'!F48</f>
        <v>220</v>
      </c>
      <c r="G48" s="86">
        <f>'Balance Sheet'!G48</f>
        <v>203</v>
      </c>
      <c r="H48" s="86">
        <f>'Balance Sheet'!H48</f>
        <v>565</v>
      </c>
      <c r="I48" s="86">
        <f>'Balance Sheet'!I48</f>
        <v>555</v>
      </c>
      <c r="J48" s="86">
        <f>'Balance Sheet'!J48</f>
        <v>986</v>
      </c>
      <c r="K48" s="86">
        <f>'Balance Sheet'!K48</f>
        <v>1906</v>
      </c>
      <c r="L48" s="86">
        <f>'Balance Sheet'!L48</f>
        <v>59</v>
      </c>
      <c r="N48" s="16">
        <f t="shared" si="5"/>
        <v>-8.1015679101739124E-3</v>
      </c>
      <c r="O48" s="2"/>
    </row>
    <row r="49" spans="1:15" x14ac:dyDescent="0.2">
      <c r="A49" s="1" t="str">
        <f>'Balance Sheet'!A49</f>
        <v>Dividends payable</v>
      </c>
      <c r="B49" s="86">
        <f>'Balance Sheet'!B49</f>
        <v>0</v>
      </c>
      <c r="C49" s="86">
        <f>'Balance Sheet'!C49</f>
        <v>0</v>
      </c>
      <c r="D49" s="86">
        <f>'Balance Sheet'!D49</f>
        <v>0</v>
      </c>
      <c r="E49" s="86">
        <f>'Balance Sheet'!E49</f>
        <v>0</v>
      </c>
      <c r="F49" s="86">
        <f>'Balance Sheet'!F49</f>
        <v>0</v>
      </c>
      <c r="G49" s="86">
        <f>'Balance Sheet'!G49</f>
        <v>0</v>
      </c>
      <c r="H49" s="86">
        <f>'Balance Sheet'!H49</f>
        <v>0</v>
      </c>
      <c r="I49" s="86">
        <f>'Balance Sheet'!I49</f>
        <v>0</v>
      </c>
      <c r="J49" s="86">
        <f>'Balance Sheet'!J49</f>
        <v>0</v>
      </c>
      <c r="K49" s="86">
        <f>'Balance Sheet'!K49</f>
        <v>0</v>
      </c>
      <c r="L49" s="86">
        <f>'Balance Sheet'!L49</f>
        <v>0</v>
      </c>
      <c r="N49" s="16"/>
      <c r="O49" s="2"/>
    </row>
    <row r="50" spans="1:15" x14ac:dyDescent="0.2">
      <c r="A50" s="1" t="str">
        <f>'Balance Sheet'!A50</f>
        <v>Bank overdrafts</v>
      </c>
      <c r="B50" s="86">
        <f>'Balance Sheet'!B50</f>
        <v>0</v>
      </c>
      <c r="C50" s="86">
        <f>'Balance Sheet'!C50</f>
        <v>0</v>
      </c>
      <c r="D50" s="86">
        <f>'Balance Sheet'!D50</f>
        <v>0</v>
      </c>
      <c r="E50" s="86">
        <f>'Balance Sheet'!E50</f>
        <v>0</v>
      </c>
      <c r="F50" s="86">
        <f>'Balance Sheet'!F50</f>
        <v>0</v>
      </c>
      <c r="G50" s="86">
        <f>'Balance Sheet'!G50</f>
        <v>0</v>
      </c>
      <c r="H50" s="86">
        <f>'Balance Sheet'!H50</f>
        <v>0</v>
      </c>
      <c r="I50" s="86">
        <f>'Balance Sheet'!I50</f>
        <v>0</v>
      </c>
      <c r="J50" s="86">
        <f>'Balance Sheet'!J50</f>
        <v>0</v>
      </c>
      <c r="K50" s="86">
        <f>'Balance Sheet'!K50</f>
        <v>0</v>
      </c>
      <c r="L50" s="86">
        <f>'Balance Sheet'!L50</f>
        <v>0</v>
      </c>
      <c r="N50" s="16"/>
      <c r="O50" s="2"/>
    </row>
    <row r="51" spans="1:15" s="2" customFormat="1" x14ac:dyDescent="0.2">
      <c r="A51" s="2" t="str">
        <f>'Balance Sheet'!A51</f>
        <v>Total current liabilities</v>
      </c>
      <c r="B51" s="85">
        <f>'Balance Sheet'!B51</f>
        <v>3612</v>
      </c>
      <c r="C51" s="85">
        <f>'Balance Sheet'!C51</f>
        <v>4846</v>
      </c>
      <c r="D51" s="85">
        <f>'Balance Sheet'!D51</f>
        <v>2242</v>
      </c>
      <c r="E51" s="85">
        <f>'Balance Sheet'!E51</f>
        <v>3370</v>
      </c>
      <c r="F51" s="85">
        <f>'Balance Sheet'!F51</f>
        <v>7978</v>
      </c>
      <c r="G51" s="85">
        <f>'Balance Sheet'!G51</f>
        <v>5910</v>
      </c>
      <c r="H51" s="85">
        <f>'Balance Sheet'!H51</f>
        <v>5423</v>
      </c>
      <c r="I51" s="85">
        <f>'Balance Sheet'!I51</f>
        <v>9733</v>
      </c>
      <c r="J51" s="85">
        <f>'Balance Sheet'!J51</f>
        <v>4947</v>
      </c>
      <c r="K51" s="85">
        <f>'Balance Sheet'!K51</f>
        <v>5811</v>
      </c>
      <c r="L51" s="85">
        <f>'Balance Sheet'!L51</f>
        <v>5151</v>
      </c>
      <c r="N51" s="16">
        <f t="shared" si="5"/>
        <v>3.6130315928915691E-2</v>
      </c>
    </row>
    <row r="52" spans="1:15" s="2" customFormat="1" x14ac:dyDescent="0.2">
      <c r="B52" s="85"/>
      <c r="C52" s="85"/>
      <c r="D52" s="85"/>
      <c r="E52" s="85"/>
      <c r="F52" s="85"/>
      <c r="G52" s="85"/>
      <c r="H52" s="85"/>
      <c r="I52" s="85"/>
      <c r="J52" s="85"/>
      <c r="K52" s="85"/>
      <c r="L52" s="85"/>
      <c r="N52" s="16"/>
    </row>
    <row r="53" spans="1:15" s="2" customFormat="1" x14ac:dyDescent="0.2">
      <c r="A53" s="2" t="str">
        <f>'Balance Sheet'!A53</f>
        <v>TOTAL LIABILITIES</v>
      </c>
      <c r="B53" s="85">
        <f>'Balance Sheet'!B53</f>
        <v>6481</v>
      </c>
      <c r="C53" s="85">
        <f>'Balance Sheet'!C53</f>
        <v>8197</v>
      </c>
      <c r="D53" s="85">
        <f>'Balance Sheet'!D53</f>
        <v>8851</v>
      </c>
      <c r="E53" s="85">
        <f>'Balance Sheet'!E53</f>
        <v>9499</v>
      </c>
      <c r="F53" s="85">
        <f>'Balance Sheet'!F53</f>
        <v>13821</v>
      </c>
      <c r="G53" s="85">
        <f>'Balance Sheet'!G53</f>
        <v>17227</v>
      </c>
      <c r="H53" s="85">
        <f>'Balance Sheet'!H53</f>
        <v>17354</v>
      </c>
      <c r="I53" s="85">
        <f>'Balance Sheet'!I53</f>
        <v>23898</v>
      </c>
      <c r="J53" s="85">
        <f>'Balance Sheet'!J53</f>
        <v>23344</v>
      </c>
      <c r="K53" s="85">
        <f>'Balance Sheet'!K53</f>
        <v>19740</v>
      </c>
      <c r="L53" s="85">
        <f>'Balance Sheet'!L53</f>
        <v>15871</v>
      </c>
      <c r="N53" s="16">
        <f t="shared" ref="N53" si="6">(L53/B53)^(1/10)-1</f>
        <v>9.3695000871622192E-2</v>
      </c>
    </row>
    <row r="54" spans="1:15" s="2" customFormat="1" x14ac:dyDescent="0.2">
      <c r="B54" s="85"/>
      <c r="C54" s="85"/>
      <c r="D54" s="85"/>
      <c r="E54" s="85"/>
      <c r="F54" s="85"/>
      <c r="G54" s="85"/>
      <c r="H54" s="85"/>
      <c r="I54" s="85"/>
      <c r="J54" s="85"/>
      <c r="K54" s="85"/>
      <c r="L54" s="85"/>
      <c r="N54" s="16"/>
    </row>
    <row r="55" spans="1:15" s="2" customFormat="1" x14ac:dyDescent="0.2">
      <c r="A55" s="2" t="str">
        <f>'Balance Sheet'!A55</f>
        <v>TOTAL EQUITY AND LIABILITIES</v>
      </c>
      <c r="B55" s="85">
        <f>'Balance Sheet'!B55</f>
        <v>9878</v>
      </c>
      <c r="C55" s="85">
        <f>'Balance Sheet'!C55</f>
        <v>16703</v>
      </c>
      <c r="D55" s="85">
        <f>'Balance Sheet'!D55</f>
        <v>17807</v>
      </c>
      <c r="E55" s="85">
        <f>'Balance Sheet'!E55</f>
        <v>27875</v>
      </c>
      <c r="F55" s="85">
        <f>'Balance Sheet'!F55</f>
        <v>34413</v>
      </c>
      <c r="G55" s="85">
        <f>'Balance Sheet'!G55</f>
        <v>36536</v>
      </c>
      <c r="H55" s="85">
        <f>'Balance Sheet'!H55</f>
        <v>44538</v>
      </c>
      <c r="I55" s="85">
        <f>'Balance Sheet'!I55</f>
        <v>50899</v>
      </c>
      <c r="J55" s="85">
        <f>'Balance Sheet'!J55</f>
        <v>48511</v>
      </c>
      <c r="K55" s="85">
        <f>'Balance Sheet'!K55</f>
        <v>56276</v>
      </c>
      <c r="L55" s="85">
        <f>'Balance Sheet'!L55</f>
        <v>61417</v>
      </c>
      <c r="N55" s="16">
        <f t="shared" ref="N55" si="7">(L55/B55)^(1/10)-1</f>
        <v>0.20049942866836568</v>
      </c>
    </row>
    <row r="58" spans="1:15" x14ac:dyDescent="0.2">
      <c r="A58" s="1" t="str">
        <f>A3</f>
        <v>Rm</v>
      </c>
      <c r="B58" s="1">
        <f t="shared" ref="B58:L58" si="8">B3</f>
        <v>2007</v>
      </c>
      <c r="C58" s="1">
        <f t="shared" si="8"/>
        <v>2008</v>
      </c>
      <c r="D58" s="1">
        <f t="shared" si="8"/>
        <v>2009</v>
      </c>
      <c r="E58" s="1">
        <f t="shared" si="8"/>
        <v>2010</v>
      </c>
      <c r="F58" s="1">
        <f t="shared" si="8"/>
        <v>2011</v>
      </c>
      <c r="G58" s="1">
        <f t="shared" si="8"/>
        <v>2012</v>
      </c>
      <c r="H58" s="1">
        <f t="shared" si="8"/>
        <v>2013</v>
      </c>
      <c r="I58" s="1">
        <f t="shared" si="8"/>
        <v>2014</v>
      </c>
      <c r="J58" s="1">
        <f t="shared" si="8"/>
        <v>2015</v>
      </c>
      <c r="K58" s="1">
        <f t="shared" si="8"/>
        <v>2016</v>
      </c>
      <c r="L58" s="1">
        <f t="shared" si="8"/>
        <v>2017</v>
      </c>
      <c r="N58" s="16"/>
    </row>
    <row r="59" spans="1:15" x14ac:dyDescent="0.2">
      <c r="A59" s="1" t="str">
        <f>A25</f>
        <v>TOTAL ASSETS</v>
      </c>
      <c r="B59" s="86">
        <f t="shared" ref="B59:L59" si="9">B25</f>
        <v>9878</v>
      </c>
      <c r="C59" s="86">
        <f t="shared" si="9"/>
        <v>16703</v>
      </c>
      <c r="D59" s="86">
        <f t="shared" si="9"/>
        <v>17807</v>
      </c>
      <c r="E59" s="86">
        <f t="shared" si="9"/>
        <v>27875</v>
      </c>
      <c r="F59" s="86">
        <f t="shared" si="9"/>
        <v>34413</v>
      </c>
      <c r="G59" s="86">
        <f t="shared" si="9"/>
        <v>36536</v>
      </c>
      <c r="H59" s="86">
        <f t="shared" si="9"/>
        <v>44538</v>
      </c>
      <c r="I59" s="86">
        <f t="shared" si="9"/>
        <v>50899</v>
      </c>
      <c r="J59" s="86">
        <f t="shared" si="9"/>
        <v>48511</v>
      </c>
      <c r="K59" s="86">
        <f t="shared" si="9"/>
        <v>56274</v>
      </c>
      <c r="L59" s="86">
        <f t="shared" si="9"/>
        <v>61231</v>
      </c>
      <c r="N59" s="16">
        <f t="shared" ref="N59:N61" si="10">(L59/B59)^(1/10)-1</f>
        <v>0.20013536369358498</v>
      </c>
    </row>
    <row r="60" spans="1:15" x14ac:dyDescent="0.2">
      <c r="A60" s="1" t="str">
        <f>A35</f>
        <v>Total equity</v>
      </c>
      <c r="B60" s="86">
        <f t="shared" ref="B60:L60" si="11">B35</f>
        <v>3397</v>
      </c>
      <c r="C60" s="86">
        <f t="shared" si="11"/>
        <v>8506</v>
      </c>
      <c r="D60" s="86">
        <f t="shared" si="11"/>
        <v>8956</v>
      </c>
      <c r="E60" s="86">
        <f t="shared" si="11"/>
        <v>18376</v>
      </c>
      <c r="F60" s="86">
        <f t="shared" si="11"/>
        <v>20592</v>
      </c>
      <c r="G60" s="86">
        <f t="shared" si="11"/>
        <v>19309</v>
      </c>
      <c r="H60" s="86">
        <f t="shared" si="11"/>
        <v>27184</v>
      </c>
      <c r="I60" s="86">
        <f t="shared" si="11"/>
        <v>27001</v>
      </c>
      <c r="J60" s="86">
        <f t="shared" si="11"/>
        <v>25167</v>
      </c>
      <c r="K60" s="86">
        <f t="shared" si="11"/>
        <v>36536</v>
      </c>
      <c r="L60" s="86">
        <f t="shared" si="11"/>
        <v>45546</v>
      </c>
      <c r="N60" s="16">
        <f t="shared" si="10"/>
        <v>0.29638939448429658</v>
      </c>
    </row>
    <row r="61" spans="1:15" x14ac:dyDescent="0.2">
      <c r="A61" s="1" t="str">
        <f>A53</f>
        <v>TOTAL LIABILITIES</v>
      </c>
      <c r="B61" s="86">
        <f t="shared" ref="B61:L61" si="12">B53</f>
        <v>6481</v>
      </c>
      <c r="C61" s="86">
        <f t="shared" si="12"/>
        <v>8197</v>
      </c>
      <c r="D61" s="86">
        <f t="shared" si="12"/>
        <v>8851</v>
      </c>
      <c r="E61" s="86">
        <f t="shared" si="12"/>
        <v>9499</v>
      </c>
      <c r="F61" s="86">
        <f t="shared" si="12"/>
        <v>13821</v>
      </c>
      <c r="G61" s="86">
        <f t="shared" si="12"/>
        <v>17227</v>
      </c>
      <c r="H61" s="86">
        <f t="shared" si="12"/>
        <v>17354</v>
      </c>
      <c r="I61" s="86">
        <f t="shared" si="12"/>
        <v>23898</v>
      </c>
      <c r="J61" s="86">
        <f t="shared" si="12"/>
        <v>23344</v>
      </c>
      <c r="K61" s="86">
        <f t="shared" si="12"/>
        <v>19740</v>
      </c>
      <c r="L61" s="86">
        <f t="shared" si="12"/>
        <v>15871</v>
      </c>
      <c r="N61" s="16">
        <f t="shared" si="10"/>
        <v>9.3695000871622192E-2</v>
      </c>
    </row>
    <row r="63" spans="1:15" x14ac:dyDescent="0.2">
      <c r="A63" s="1" t="s">
        <v>302</v>
      </c>
      <c r="B63" s="86">
        <f>-'Cashflow Analysis'!B21</f>
        <v>2064</v>
      </c>
      <c r="C63" s="86">
        <f>-'Cashflow Analysis'!C21</f>
        <v>2487</v>
      </c>
      <c r="D63" s="86">
        <f>-'Cashflow Analysis'!D21</f>
        <v>4087</v>
      </c>
      <c r="E63" s="86">
        <f>-'Cashflow Analysis'!E21</f>
        <v>4733</v>
      </c>
      <c r="F63" s="86">
        <f>-'Cashflow Analysis'!F21</f>
        <v>6034</v>
      </c>
      <c r="G63" s="86">
        <f>-'Cashflow Analysis'!G21</f>
        <v>5418</v>
      </c>
      <c r="H63" s="86">
        <f>-'Cashflow Analysis'!H21</f>
        <v>6428</v>
      </c>
      <c r="I63" s="86">
        <f>-'Cashflow Analysis'!I21</f>
        <v>8404</v>
      </c>
      <c r="J63" s="86">
        <f>-'Cashflow Analysis'!J21</f>
        <v>6627</v>
      </c>
      <c r="K63" s="86">
        <f>-'Cashflow Analysis'!K21</f>
        <v>2344</v>
      </c>
      <c r="L63" s="86">
        <f>-'Cashflow Analysis'!L21</f>
        <v>3047</v>
      </c>
      <c r="N63" s="16">
        <f t="shared" ref="N63" si="13">(L63/B63)^(1/10)-1</f>
        <v>3.9719707946316518E-2</v>
      </c>
    </row>
  </sheetData>
  <mergeCells count="1">
    <mergeCell ref="A1:N1"/>
  </mergeCells>
  <pageMargins left="0.7" right="0.7" top="0.75" bottom="0.75" header="0.3" footer="0.3"/>
  <pageSetup paperSize="9" orientation="portrait" r:id="rId1"/>
  <ignoredErrors>
    <ignoredError sqref="N36:N37 N26 N24 N6:N7 N17:N18 N25 N30:N31 N54 N52 N43:N44 N45:N46 N53 N55:N57 N9:N10 N12:N13 N22:N23 N35 N40:N42 N48 N51 N62" evalError="1"/>
    <ignoredError sqref="N8 N1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O55"/>
  <sheetViews>
    <sheetView showGridLines="0" workbookViewId="0">
      <selection sqref="A1:N1"/>
    </sheetView>
  </sheetViews>
  <sheetFormatPr defaultRowHeight="12.75" x14ac:dyDescent="0.2"/>
  <cols>
    <col min="1" max="1" width="41.42578125" style="1" customWidth="1"/>
    <col min="2" max="3" width="11.140625" style="1" bestFit="1" customWidth="1"/>
    <col min="4" max="4" width="10.85546875" style="1" bestFit="1" customWidth="1"/>
    <col min="5" max="5" width="11.42578125" style="1" bestFit="1" customWidth="1"/>
    <col min="6" max="8" width="12" style="1" bestFit="1" customWidth="1"/>
    <col min="9" max="9" width="11.7109375" style="1" bestFit="1" customWidth="1"/>
    <col min="10" max="11" width="11.42578125" style="1" bestFit="1" customWidth="1"/>
    <col min="12" max="12" width="12" style="1" bestFit="1" customWidth="1"/>
    <col min="13" max="13" width="4.5703125" style="1" customWidth="1"/>
    <col min="14" max="14" width="8.28515625" style="1" bestFit="1" customWidth="1"/>
    <col min="15" max="16384" width="9.140625" style="1"/>
  </cols>
  <sheetData>
    <row r="1" spans="1:14" ht="15" x14ac:dyDescent="0.2">
      <c r="A1" s="133" t="s">
        <v>38</v>
      </c>
      <c r="B1" s="133"/>
      <c r="C1" s="133"/>
      <c r="D1" s="133"/>
      <c r="E1" s="133"/>
      <c r="F1" s="133"/>
      <c r="G1" s="133"/>
      <c r="H1" s="133"/>
      <c r="I1" s="133"/>
      <c r="J1" s="133"/>
      <c r="K1" s="133"/>
      <c r="L1" s="133"/>
      <c r="M1" s="133"/>
      <c r="N1" s="133"/>
    </row>
    <row r="3" spans="1:14" x14ac:dyDescent="0.2">
      <c r="A3" s="2" t="s">
        <v>130</v>
      </c>
      <c r="B3" s="2">
        <f>'Cashflow Statement'!B3</f>
        <v>2007</v>
      </c>
      <c r="C3" s="2">
        <f>'Cashflow Statement'!C3</f>
        <v>2008</v>
      </c>
      <c r="D3" s="2">
        <f>'Cashflow Statement'!D3</f>
        <v>2009</v>
      </c>
      <c r="E3" s="2">
        <f>'Cashflow Statement'!E3</f>
        <v>2010</v>
      </c>
      <c r="F3" s="2">
        <f>'Cashflow Statement'!F3</f>
        <v>2011</v>
      </c>
      <c r="G3" s="2">
        <f>'Cashflow Statement'!G3</f>
        <v>2012</v>
      </c>
      <c r="H3" s="2">
        <f>'Cashflow Statement'!H3</f>
        <v>2013</v>
      </c>
      <c r="I3" s="2">
        <f>'Cashflow Statement'!I3</f>
        <v>2014</v>
      </c>
      <c r="J3" s="2">
        <f>'Cashflow Statement'!J3</f>
        <v>2015</v>
      </c>
      <c r="K3" s="2">
        <f>'Cashflow Statement'!K3</f>
        <v>2016</v>
      </c>
      <c r="L3" s="2">
        <f>'Cashflow Statement'!L3</f>
        <v>2017</v>
      </c>
      <c r="M3" s="2"/>
      <c r="N3" s="2" t="str">
        <f>'Income Statement Analysis'!N3</f>
        <v>CAGR</v>
      </c>
    </row>
    <row r="4" spans="1:14" s="2" customFormat="1" x14ac:dyDescent="0.2">
      <c r="A4" s="2" t="str">
        <f>'Cashflow Statement'!A4</f>
        <v>Cashflow from operating activities</v>
      </c>
    </row>
    <row r="5" spans="1:14" x14ac:dyDescent="0.2">
      <c r="A5" s="1" t="str">
        <f>'Cashflow Statement'!A5</f>
        <v>Cash receipt from customers</v>
      </c>
      <c r="B5" s="84">
        <f>'Cashflow Statement'!B5</f>
        <v>10963</v>
      </c>
      <c r="C5" s="84">
        <f>'Cashflow Statement'!C5</f>
        <v>21098</v>
      </c>
      <c r="D5" s="84">
        <f>'Cashflow Statement'!D5</f>
        <v>0</v>
      </c>
      <c r="E5" s="84">
        <f>'Cashflow Statement'!E5</f>
        <v>0</v>
      </c>
      <c r="F5" s="84">
        <f>'Cashflow Statement'!F5</f>
        <v>0</v>
      </c>
      <c r="G5" s="84">
        <f>'Cashflow Statement'!G5</f>
        <v>0</v>
      </c>
      <c r="H5" s="84">
        <f>'Cashflow Statement'!H5</f>
        <v>0</v>
      </c>
      <c r="I5" s="84">
        <f>'Cashflow Statement'!I5</f>
        <v>0</v>
      </c>
      <c r="J5" s="84">
        <f>'Cashflow Statement'!J5</f>
        <v>0</v>
      </c>
      <c r="K5" s="84">
        <f>'Cashflow Statement'!K5</f>
        <v>0</v>
      </c>
      <c r="L5" s="84">
        <f>'Cashflow Statement'!L5</f>
        <v>0</v>
      </c>
      <c r="N5" s="53"/>
    </row>
    <row r="6" spans="1:14" x14ac:dyDescent="0.2">
      <c r="A6" s="1" t="str">
        <f>'Cashflow Statement'!A6</f>
        <v>Cash paid to suppliers and employees</v>
      </c>
      <c r="B6" s="84">
        <f>'Cashflow Statement'!B6</f>
        <v>-5158</v>
      </c>
      <c r="C6" s="84">
        <f>'Cashflow Statement'!C6</f>
        <v>-6579</v>
      </c>
      <c r="D6" s="84">
        <f>'Cashflow Statement'!D6</f>
        <v>0</v>
      </c>
      <c r="E6" s="84">
        <f>'Cashflow Statement'!E6</f>
        <v>0</v>
      </c>
      <c r="F6" s="84">
        <f>'Cashflow Statement'!F6</f>
        <v>0</v>
      </c>
      <c r="G6" s="84">
        <f>'Cashflow Statement'!G6</f>
        <v>0</v>
      </c>
      <c r="H6" s="84">
        <f>'Cashflow Statement'!H6</f>
        <v>0</v>
      </c>
      <c r="I6" s="84">
        <f>'Cashflow Statement'!I6</f>
        <v>0</v>
      </c>
      <c r="J6" s="84">
        <f>'Cashflow Statement'!J6</f>
        <v>0</v>
      </c>
      <c r="K6" s="84">
        <f>'Cashflow Statement'!K6</f>
        <v>0</v>
      </c>
      <c r="L6" s="84">
        <f>'Cashflow Statement'!L6</f>
        <v>0</v>
      </c>
      <c r="N6" s="53"/>
    </row>
    <row r="7" spans="1:14" x14ac:dyDescent="0.2">
      <c r="A7" s="1" t="str">
        <f>'Cashflow Statement'!A7</f>
        <v>Cash generated from operations</v>
      </c>
      <c r="B7" s="84">
        <f>'Cashflow Statement'!B7</f>
        <v>5805</v>
      </c>
      <c r="C7" s="84">
        <f>'Cashflow Statement'!C7</f>
        <v>14519</v>
      </c>
      <c r="D7" s="84">
        <f>'Cashflow Statement'!D7</f>
        <v>12744</v>
      </c>
      <c r="E7" s="84">
        <f>'Cashflow Statement'!E7</f>
        <v>25555</v>
      </c>
      <c r="F7" s="84">
        <f>'Cashflow Statement'!F7</f>
        <v>32814</v>
      </c>
      <c r="G7" s="84">
        <f>'Cashflow Statement'!G7</f>
        <v>24170</v>
      </c>
      <c r="H7" s="84">
        <f>'Cashflow Statement'!H7</f>
        <v>29354</v>
      </c>
      <c r="I7" s="84">
        <f>'Cashflow Statement'!I7</f>
        <v>21769</v>
      </c>
      <c r="J7" s="84">
        <f>'Cashflow Statement'!J7</f>
        <v>13841</v>
      </c>
      <c r="K7" s="84">
        <f>'Cashflow Statement'!K7</f>
        <v>17218</v>
      </c>
      <c r="L7" s="84">
        <f>'Cashflow Statement'!L7</f>
        <v>22432</v>
      </c>
      <c r="N7" s="53">
        <f t="shared" ref="N7:N11" si="0">(L7/B7)^(1/10)-1</f>
        <v>0.1447392588785017</v>
      </c>
    </row>
    <row r="8" spans="1:14" x14ac:dyDescent="0.2">
      <c r="A8" s="1" t="str">
        <f>'Cashflow Statement'!A8</f>
        <v>Net finance costs paid</v>
      </c>
      <c r="B8" s="84">
        <f>'Cashflow Statement'!B8</f>
        <v>-301</v>
      </c>
      <c r="C8" s="84">
        <f>'Cashflow Statement'!C8</f>
        <v>-401</v>
      </c>
      <c r="D8" s="84">
        <f>'Cashflow Statement'!D8</f>
        <v>-287</v>
      </c>
      <c r="E8" s="84">
        <f>'Cashflow Statement'!E8</f>
        <v>-283</v>
      </c>
      <c r="F8" s="84">
        <f>'Cashflow Statement'!F8</f>
        <v>-96</v>
      </c>
      <c r="G8" s="84">
        <f>'Cashflow Statement'!G8</f>
        <v>-227</v>
      </c>
      <c r="H8" s="84">
        <f>'Cashflow Statement'!H8</f>
        <v>-161</v>
      </c>
      <c r="I8" s="84">
        <f>'Cashflow Statement'!I8</f>
        <v>-285</v>
      </c>
      <c r="J8" s="84">
        <f>'Cashflow Statement'!J8</f>
        <v>-578</v>
      </c>
      <c r="K8" s="84">
        <f>'Cashflow Statement'!K8</f>
        <v>-319</v>
      </c>
      <c r="L8" s="84">
        <f>'Cashflow Statement'!L8</f>
        <v>461</v>
      </c>
      <c r="N8" s="53"/>
    </row>
    <row r="9" spans="1:14" x14ac:dyDescent="0.2">
      <c r="A9" s="1" t="str">
        <f>'Cashflow Statement'!A9</f>
        <v>Taxation paid</v>
      </c>
      <c r="B9" s="84">
        <f>'Cashflow Statement'!B9</f>
        <v>-1401</v>
      </c>
      <c r="C9" s="84">
        <f>'Cashflow Statement'!C9</f>
        <v>-4311</v>
      </c>
      <c r="D9" s="84">
        <f>'Cashflow Statement'!D9</f>
        <v>-3232</v>
      </c>
      <c r="E9" s="84">
        <f>'Cashflow Statement'!E9</f>
        <v>-7031</v>
      </c>
      <c r="F9" s="84">
        <f>'Cashflow Statement'!F9</f>
        <v>-7035</v>
      </c>
      <c r="G9" s="84">
        <f>'Cashflow Statement'!G9</f>
        <v>-5215</v>
      </c>
      <c r="H9" s="84">
        <f>'Cashflow Statement'!H9</f>
        <v>-6171</v>
      </c>
      <c r="I9" s="84">
        <f>'Cashflow Statement'!I9</f>
        <v>-4165</v>
      </c>
      <c r="J9" s="84">
        <f>'Cashflow Statement'!J9</f>
        <v>-594</v>
      </c>
      <c r="K9" s="84">
        <f>'Cashflow Statement'!K9</f>
        <v>-3363</v>
      </c>
      <c r="L9" s="84">
        <f>'Cashflow Statement'!L9</f>
        <v>-5883</v>
      </c>
      <c r="N9" s="53">
        <f t="shared" si="0"/>
        <v>0.15429302483321283</v>
      </c>
    </row>
    <row r="10" spans="1:14" x14ac:dyDescent="0.2">
      <c r="A10" s="1" t="str">
        <f>'Cashflow Statement'!A10</f>
        <v>Dividends paid</v>
      </c>
      <c r="B10" s="84">
        <f>'Cashflow Statement'!B10</f>
        <v>-1353</v>
      </c>
      <c r="C10" s="84">
        <f>'Cashflow Statement'!C10</f>
        <v>-3794</v>
      </c>
      <c r="D10" s="84">
        <f>'Cashflow Statement'!D10</f>
        <v>0</v>
      </c>
      <c r="E10" s="84">
        <f>'Cashflow Statement'!E10</f>
        <v>0</v>
      </c>
      <c r="F10" s="84">
        <f>'Cashflow Statement'!F10</f>
        <v>0</v>
      </c>
      <c r="G10" s="84">
        <f>'Cashflow Statement'!G10</f>
        <v>0</v>
      </c>
      <c r="H10" s="84">
        <f>'Cashflow Statement'!H10</f>
        <v>0</v>
      </c>
      <c r="I10" s="84">
        <f>'Cashflow Statement'!I10</f>
        <v>0</v>
      </c>
      <c r="J10" s="84">
        <f>'Cashflow Statement'!J10</f>
        <v>0</v>
      </c>
      <c r="K10" s="84">
        <f>'Cashflow Statement'!K10</f>
        <v>0</v>
      </c>
      <c r="L10" s="84">
        <f>'Cashflow Statement'!L10</f>
        <v>0</v>
      </c>
      <c r="N10" s="53"/>
    </row>
    <row r="11" spans="1:14" s="2" customFormat="1" x14ac:dyDescent="0.2">
      <c r="A11" s="2" t="str">
        <f>'Cashflow Statement'!A12</f>
        <v>Cash provided by operating activities</v>
      </c>
      <c r="B11" s="85">
        <f>'Cashflow Statement'!B12</f>
        <v>8555</v>
      </c>
      <c r="C11" s="85">
        <f>'Cashflow Statement'!C12</f>
        <v>20532</v>
      </c>
      <c r="D11" s="85">
        <f>'Cashflow Statement'!D12</f>
        <v>9225</v>
      </c>
      <c r="E11" s="85">
        <f>'Cashflow Statement'!E12</f>
        <v>18241</v>
      </c>
      <c r="F11" s="85">
        <f>'Cashflow Statement'!F12</f>
        <v>25683</v>
      </c>
      <c r="G11" s="85">
        <f>'Cashflow Statement'!G12</f>
        <v>18728</v>
      </c>
      <c r="H11" s="85">
        <f>'Cashflow Statement'!H12</f>
        <v>23022</v>
      </c>
      <c r="I11" s="85">
        <f>'Cashflow Statement'!I12</f>
        <v>17319</v>
      </c>
      <c r="J11" s="85">
        <f>'Cashflow Statement'!J12</f>
        <v>12669</v>
      </c>
      <c r="K11" s="85">
        <f>'Cashflow Statement'!K12</f>
        <v>13538</v>
      </c>
      <c r="L11" s="85">
        <f>'Cashflow Statement'!L12</f>
        <v>17010</v>
      </c>
      <c r="N11" s="16">
        <f t="shared" si="0"/>
        <v>7.1145407159944218E-2</v>
      </c>
    </row>
    <row r="12" spans="1:14" s="2" customFormat="1" x14ac:dyDescent="0.2">
      <c r="B12" s="85"/>
      <c r="C12" s="85"/>
      <c r="D12" s="85"/>
      <c r="E12" s="85"/>
      <c r="F12" s="85"/>
      <c r="G12" s="85"/>
      <c r="H12" s="85"/>
      <c r="I12" s="85"/>
      <c r="J12" s="85"/>
      <c r="K12" s="85"/>
      <c r="L12" s="85"/>
    </row>
    <row r="13" spans="1:14" s="2" customFormat="1" x14ac:dyDescent="0.2">
      <c r="A13" s="2" t="str">
        <f>'Cashflow Statement'!A14</f>
        <v>Cashflow from investment activities</v>
      </c>
      <c r="B13" s="85"/>
      <c r="C13" s="85"/>
      <c r="D13" s="85"/>
      <c r="E13" s="85"/>
      <c r="F13" s="85"/>
      <c r="G13" s="85"/>
      <c r="H13" s="85"/>
      <c r="I13" s="85"/>
      <c r="J13" s="85"/>
      <c r="K13" s="85"/>
      <c r="L13" s="85"/>
    </row>
    <row r="14" spans="1:14" x14ac:dyDescent="0.2">
      <c r="A14" s="1" t="str">
        <f>'Cashflow Statement'!A15</f>
        <v>Additions to property, plant and equipment</v>
      </c>
      <c r="B14" s="84">
        <f>'Cashflow Statement'!B15</f>
        <v>-2119</v>
      </c>
      <c r="C14" s="84">
        <f>'Cashflow Statement'!C15</f>
        <v>-2563</v>
      </c>
      <c r="D14" s="84">
        <f>'Cashflow Statement'!D15</f>
        <v>-3996</v>
      </c>
      <c r="E14" s="84">
        <f>'Cashflow Statement'!E15</f>
        <v>-4723</v>
      </c>
      <c r="F14" s="84">
        <f>'Cashflow Statement'!F15</f>
        <v>-5849</v>
      </c>
      <c r="G14" s="84">
        <f>'Cashflow Statement'!G15</f>
        <v>-5399</v>
      </c>
      <c r="H14" s="84">
        <f>'Cashflow Statement'!H15</f>
        <v>-6453</v>
      </c>
      <c r="I14" s="84">
        <f>'Cashflow Statement'!I15</f>
        <v>-8477</v>
      </c>
      <c r="J14" s="84">
        <f>'Cashflow Statement'!J15</f>
        <v>-6752</v>
      </c>
      <c r="K14" s="84">
        <f>'Cashflow Statement'!K15</f>
        <v>-2353</v>
      </c>
      <c r="L14" s="84">
        <f>'Cashflow Statement'!L15</f>
        <v>-3074</v>
      </c>
      <c r="N14" s="53">
        <f t="shared" ref="N14:N21" si="1">(L14/B14)^(1/10)-1</f>
        <v>3.7904250825632202E-2</v>
      </c>
    </row>
    <row r="15" spans="1:14" s="2" customFormat="1" x14ac:dyDescent="0.2">
      <c r="A15" s="1" t="str">
        <f>'Cashflow Statement'!A16</f>
        <v>Investment in associates and joint ventures</v>
      </c>
      <c r="B15" s="84">
        <f>'Cashflow Statement'!B16</f>
        <v>-2</v>
      </c>
      <c r="C15" s="84">
        <f>'Cashflow Statement'!C16</f>
        <v>-3</v>
      </c>
      <c r="D15" s="84">
        <f>'Cashflow Statement'!D16</f>
        <v>-15</v>
      </c>
      <c r="E15" s="84">
        <f>'Cashflow Statement'!E16</f>
        <v>-9</v>
      </c>
      <c r="F15" s="84">
        <f>'Cashflow Statement'!F16</f>
        <v>-4</v>
      </c>
      <c r="G15" s="84">
        <f>'Cashflow Statement'!G16</f>
        <v>-14</v>
      </c>
      <c r="H15" s="84">
        <f>'Cashflow Statement'!H16</f>
        <v>-17</v>
      </c>
      <c r="I15" s="84">
        <f>'Cashflow Statement'!I16</f>
        <v>-5</v>
      </c>
      <c r="J15" s="84">
        <f>'Cashflow Statement'!J16</f>
        <v>5</v>
      </c>
      <c r="K15" s="84">
        <f>'Cashflow Statement'!K16</f>
        <v>0</v>
      </c>
      <c r="L15" s="84">
        <f>'Cashflow Statement'!L16</f>
        <v>0</v>
      </c>
      <c r="M15" s="1"/>
      <c r="N15" s="53"/>
    </row>
    <row r="16" spans="1:14" s="2" customFormat="1" x14ac:dyDescent="0.2">
      <c r="A16" s="1" t="str">
        <f>'Cashflow Statement'!A17</f>
        <v>Investment held by environmental trust</v>
      </c>
      <c r="B16" s="84">
        <f>'Cashflow Statement'!B17</f>
        <v>0</v>
      </c>
      <c r="C16" s="84">
        <f>'Cashflow Statement'!C17</f>
        <v>0</v>
      </c>
      <c r="D16" s="84">
        <f>'Cashflow Statement'!D17</f>
        <v>0</v>
      </c>
      <c r="E16" s="84">
        <f>'Cashflow Statement'!E17</f>
        <v>0</v>
      </c>
      <c r="F16" s="84">
        <f>'Cashflow Statement'!F17</f>
        <v>-183</v>
      </c>
      <c r="G16" s="84">
        <f>'Cashflow Statement'!G17</f>
        <v>-45</v>
      </c>
      <c r="H16" s="84">
        <f>'Cashflow Statement'!H17</f>
        <v>0</v>
      </c>
      <c r="I16" s="84">
        <f>'Cashflow Statement'!I17</f>
        <v>0</v>
      </c>
      <c r="J16" s="84">
        <f>'Cashflow Statement'!J17</f>
        <v>0</v>
      </c>
      <c r="K16" s="84">
        <f>'Cashflow Statement'!K17</f>
        <v>0</v>
      </c>
      <c r="L16" s="84">
        <f>'Cashflow Statement'!L17</f>
        <v>0</v>
      </c>
      <c r="M16" s="1"/>
      <c r="N16" s="53"/>
    </row>
    <row r="17" spans="1:15" x14ac:dyDescent="0.2">
      <c r="A17" s="1" t="str">
        <f>'Cashflow Statement'!A18</f>
        <v>Proceeds from disposal of non-current assets</v>
      </c>
      <c r="B17" s="84">
        <f>'Cashflow Statement'!B18</f>
        <v>26</v>
      </c>
      <c r="C17" s="84">
        <f>'Cashflow Statement'!C18</f>
        <v>0</v>
      </c>
      <c r="D17" s="84">
        <f>'Cashflow Statement'!D18</f>
        <v>39</v>
      </c>
      <c r="E17" s="84">
        <f>'Cashflow Statement'!E18</f>
        <v>1</v>
      </c>
      <c r="F17" s="84">
        <f>'Cashflow Statement'!F18</f>
        <v>2</v>
      </c>
      <c r="G17" s="84">
        <f>'Cashflow Statement'!G18</f>
        <v>37</v>
      </c>
      <c r="H17" s="84">
        <f>'Cashflow Statement'!H18</f>
        <v>37</v>
      </c>
      <c r="I17" s="84">
        <f>'Cashflow Statement'!I18</f>
        <v>78</v>
      </c>
      <c r="J17" s="84">
        <f>'Cashflow Statement'!J18</f>
        <v>120</v>
      </c>
      <c r="K17" s="84">
        <f>'Cashflow Statement'!K18</f>
        <v>9</v>
      </c>
      <c r="L17" s="84">
        <f>'Cashflow Statement'!L18</f>
        <v>27</v>
      </c>
      <c r="N17" s="53">
        <f t="shared" si="1"/>
        <v>3.7811634276536665E-3</v>
      </c>
    </row>
    <row r="18" spans="1:15" s="2" customFormat="1" x14ac:dyDescent="0.2">
      <c r="A18" s="1" t="str">
        <f>'Cashflow Statement'!A19</f>
        <v>Acquisition of business</v>
      </c>
      <c r="B18" s="84">
        <f>'Cashflow Statement'!B19</f>
        <v>0</v>
      </c>
      <c r="C18" s="84">
        <f>'Cashflow Statement'!C19</f>
        <v>0</v>
      </c>
      <c r="D18" s="84">
        <f>'Cashflow Statement'!D19</f>
        <v>-115</v>
      </c>
      <c r="E18" s="84">
        <f>'Cashflow Statement'!E19</f>
        <v>0</v>
      </c>
      <c r="F18" s="84">
        <f>'Cashflow Statement'!F19</f>
        <v>0</v>
      </c>
      <c r="G18" s="84">
        <f>'Cashflow Statement'!G19</f>
        <v>3</v>
      </c>
      <c r="H18" s="84">
        <f>'Cashflow Statement'!H19</f>
        <v>0</v>
      </c>
      <c r="I18" s="84">
        <f>'Cashflow Statement'!I19</f>
        <v>0</v>
      </c>
      <c r="J18" s="84">
        <f>'Cashflow Statement'!J19</f>
        <v>0</v>
      </c>
      <c r="K18" s="84">
        <f>'Cashflow Statement'!K19</f>
        <v>0</v>
      </c>
      <c r="L18" s="84">
        <f>'Cashflow Statement'!L19</f>
        <v>0</v>
      </c>
      <c r="M18" s="1"/>
      <c r="N18" s="53"/>
    </row>
    <row r="19" spans="1:15" x14ac:dyDescent="0.2">
      <c r="A19" s="1" t="str">
        <f>'Cashflow Statement'!A20</f>
        <v>Net cash acquired on acquisition of business</v>
      </c>
      <c r="B19" s="84">
        <f>'Cashflow Statement'!B20</f>
        <v>0</v>
      </c>
      <c r="C19" s="84">
        <f>'Cashflow Statement'!C20</f>
        <v>0</v>
      </c>
      <c r="D19" s="84">
        <f>'Cashflow Statement'!D20</f>
        <v>0</v>
      </c>
      <c r="E19" s="84">
        <f>'Cashflow Statement'!E20</f>
        <v>-2</v>
      </c>
      <c r="F19" s="84">
        <f>'Cashflow Statement'!F20</f>
        <v>0</v>
      </c>
      <c r="G19" s="84">
        <f>'Cashflow Statement'!G20</f>
        <v>0</v>
      </c>
      <c r="H19" s="84">
        <f>'Cashflow Statement'!H20</f>
        <v>5</v>
      </c>
      <c r="I19" s="84">
        <f>'Cashflow Statement'!I20</f>
        <v>0</v>
      </c>
      <c r="J19" s="84">
        <f>'Cashflow Statement'!J20</f>
        <v>0</v>
      </c>
      <c r="K19" s="84">
        <f>'Cashflow Statement'!K20</f>
        <v>0</v>
      </c>
      <c r="L19" s="84">
        <f>'Cashflow Statement'!L20</f>
        <v>0</v>
      </c>
      <c r="N19" s="53"/>
    </row>
    <row r="20" spans="1:15" x14ac:dyDescent="0.2">
      <c r="A20" s="1" t="str">
        <f>'Cashflow Statement'!A21</f>
        <v>Translation effects of cash flows of foreign operations</v>
      </c>
      <c r="B20" s="84">
        <f>'Cashflow Statement'!B21</f>
        <v>31</v>
      </c>
      <c r="C20" s="84">
        <f>'Cashflow Statement'!C21</f>
        <v>79</v>
      </c>
      <c r="D20" s="84">
        <f>'Cashflow Statement'!D21</f>
        <v>0</v>
      </c>
      <c r="E20" s="84">
        <f>'Cashflow Statement'!E21</f>
        <v>0</v>
      </c>
      <c r="F20" s="84">
        <f>'Cashflow Statement'!F21</f>
        <v>0</v>
      </c>
      <c r="G20" s="84">
        <f>'Cashflow Statement'!G21</f>
        <v>0</v>
      </c>
      <c r="H20" s="84">
        <f>'Cashflow Statement'!H21</f>
        <v>0</v>
      </c>
      <c r="I20" s="84">
        <f>'Cashflow Statement'!I21</f>
        <v>0</v>
      </c>
      <c r="J20" s="84">
        <f>'Cashflow Statement'!J21</f>
        <v>0</v>
      </c>
      <c r="K20" s="84">
        <f>'Cashflow Statement'!K21</f>
        <v>0</v>
      </c>
      <c r="L20" s="84">
        <f>'Cashflow Statement'!L21</f>
        <v>0</v>
      </c>
      <c r="N20" s="53"/>
    </row>
    <row r="21" spans="1:15" s="2" customFormat="1" x14ac:dyDescent="0.2">
      <c r="A21" s="2" t="str">
        <f>'Cashflow Statement'!A22</f>
        <v>Cash provided by investment activities</v>
      </c>
      <c r="B21" s="85">
        <f>'Cashflow Statement'!B22</f>
        <v>-2064</v>
      </c>
      <c r="C21" s="85">
        <f>'Cashflow Statement'!C22</f>
        <v>-2487</v>
      </c>
      <c r="D21" s="85">
        <f>'Cashflow Statement'!D22</f>
        <v>-4087</v>
      </c>
      <c r="E21" s="85">
        <f>'Cashflow Statement'!E22</f>
        <v>-4733</v>
      </c>
      <c r="F21" s="85">
        <f>'Cashflow Statement'!F22</f>
        <v>-6034</v>
      </c>
      <c r="G21" s="85">
        <f>'Cashflow Statement'!G22</f>
        <v>-5418</v>
      </c>
      <c r="H21" s="85">
        <f>'Cashflow Statement'!H22</f>
        <v>-6428</v>
      </c>
      <c r="I21" s="85">
        <f>'Cashflow Statement'!I22</f>
        <v>-8404</v>
      </c>
      <c r="J21" s="85">
        <f>'Cashflow Statement'!J22</f>
        <v>-6627</v>
      </c>
      <c r="K21" s="85">
        <f>'Cashflow Statement'!K22</f>
        <v>-2344</v>
      </c>
      <c r="L21" s="85">
        <f>'Cashflow Statement'!L22</f>
        <v>-3047</v>
      </c>
      <c r="N21" s="16">
        <f t="shared" si="1"/>
        <v>3.9719707946316518E-2</v>
      </c>
    </row>
    <row r="22" spans="1:15" s="2" customFormat="1" x14ac:dyDescent="0.2">
      <c r="B22" s="85"/>
      <c r="C22" s="85"/>
      <c r="D22" s="85"/>
      <c r="E22" s="85"/>
      <c r="F22" s="85"/>
      <c r="G22" s="85"/>
      <c r="H22" s="85"/>
      <c r="I22" s="85"/>
      <c r="J22" s="85"/>
      <c r="K22" s="85"/>
      <c r="L22" s="85"/>
      <c r="N22" s="16"/>
    </row>
    <row r="23" spans="1:15" s="2" customFormat="1" x14ac:dyDescent="0.2">
      <c r="A23" s="2" t="str">
        <f>'Cashflow Statement'!A24</f>
        <v>Cashflow from financing activities</v>
      </c>
      <c r="B23" s="85"/>
      <c r="C23" s="85"/>
      <c r="D23" s="85"/>
      <c r="E23" s="85"/>
      <c r="F23" s="85"/>
      <c r="G23" s="85"/>
      <c r="H23" s="85"/>
      <c r="I23" s="85"/>
      <c r="J23" s="85"/>
      <c r="K23" s="85"/>
      <c r="L23" s="85"/>
      <c r="N23" s="16"/>
    </row>
    <row r="24" spans="1:15" x14ac:dyDescent="0.2">
      <c r="A24" s="1" t="str">
        <f>'Cashflow Statement'!A25</f>
        <v>Shares issued</v>
      </c>
      <c r="B24" s="84">
        <f>'Cashflow Statement'!B25</f>
        <v>53</v>
      </c>
      <c r="C24" s="84">
        <f>'Cashflow Statement'!C25</f>
        <v>80</v>
      </c>
      <c r="D24" s="84">
        <f>'Cashflow Statement'!D25</f>
        <v>132</v>
      </c>
      <c r="E24" s="84">
        <f>'Cashflow Statement'!E25</f>
        <v>74</v>
      </c>
      <c r="F24" s="84">
        <f>'Cashflow Statement'!F25</f>
        <v>16</v>
      </c>
      <c r="G24" s="84">
        <f>'Cashflow Statement'!G25</f>
        <v>5</v>
      </c>
      <c r="H24" s="84">
        <f>'Cashflow Statement'!H25</f>
        <v>2</v>
      </c>
      <c r="I24" s="84">
        <f>'Cashflow Statement'!I25</f>
        <v>0</v>
      </c>
      <c r="J24" s="84">
        <f>'Cashflow Statement'!J25</f>
        <v>0</v>
      </c>
      <c r="K24" s="84">
        <f>'Cashflow Statement'!K25</f>
        <v>0</v>
      </c>
      <c r="L24" s="84">
        <f>'Cashflow Statement'!L25</f>
        <v>0</v>
      </c>
      <c r="N24" s="53"/>
    </row>
    <row r="25" spans="1:15" s="2" customFormat="1" x14ac:dyDescent="0.2">
      <c r="A25" s="1" t="str">
        <f>'Cashflow Statement'!A26</f>
        <v>Dividends paid to minority shareholders</v>
      </c>
      <c r="B25" s="84">
        <f>'Cashflow Statement'!B26</f>
        <v>-392</v>
      </c>
      <c r="C25" s="84">
        <f>'Cashflow Statement'!C26</f>
        <v>-1076</v>
      </c>
      <c r="D25" s="84">
        <f>'Cashflow Statement'!D26</f>
        <v>-1811</v>
      </c>
      <c r="E25" s="84">
        <f>'Cashflow Statement'!E26</f>
        <v>-1876</v>
      </c>
      <c r="F25" s="84">
        <f>'Cashflow Statement'!F26</f>
        <v>-4170</v>
      </c>
      <c r="G25" s="84">
        <f>'Cashflow Statement'!G26</f>
        <v>-4578</v>
      </c>
      <c r="H25" s="84">
        <f>'Cashflow Statement'!H26</f>
        <v>-3207</v>
      </c>
      <c r="I25" s="84">
        <f>'Cashflow Statement'!I26</f>
        <v>-3728</v>
      </c>
      <c r="J25" s="84">
        <f>'Cashflow Statement'!J26</f>
        <v>-811</v>
      </c>
      <c r="K25" s="84">
        <f>'Cashflow Statement'!K26</f>
        <v>0</v>
      </c>
      <c r="L25" s="84">
        <f>'Cashflow Statement'!L26</f>
        <v>-1599</v>
      </c>
      <c r="M25" s="1"/>
      <c r="N25" s="53">
        <f t="shared" ref="N25:N32" si="2">(L25/B25)^(1/10)-1</f>
        <v>0.15094942336809702</v>
      </c>
      <c r="O25" s="1"/>
    </row>
    <row r="26" spans="1:15" s="2" customFormat="1" x14ac:dyDescent="0.2">
      <c r="A26" s="1" t="str">
        <f>'Cashflow Statement'!A27</f>
        <v>Vesting of Envision share scheme</v>
      </c>
      <c r="B26" s="84">
        <f>'Cashflow Statement'!B27</f>
        <v>0</v>
      </c>
      <c r="C26" s="84">
        <f>'Cashflow Statement'!C27</f>
        <v>0</v>
      </c>
      <c r="D26" s="84">
        <f>'Cashflow Statement'!D27</f>
        <v>0</v>
      </c>
      <c r="E26" s="84">
        <f>'Cashflow Statement'!E27</f>
        <v>0</v>
      </c>
      <c r="F26" s="84">
        <f>'Cashflow Statement'!F27</f>
        <v>-1694</v>
      </c>
      <c r="G26" s="84">
        <f>'Cashflow Statement'!G27</f>
        <v>-968</v>
      </c>
      <c r="H26" s="84">
        <f>'Cashflow Statement'!H27</f>
        <v>0</v>
      </c>
      <c r="I26" s="84">
        <f>'Cashflow Statement'!I27</f>
        <v>0</v>
      </c>
      <c r="J26" s="84">
        <f>'Cashflow Statement'!J27</f>
        <v>0</v>
      </c>
      <c r="K26" s="84">
        <f>'Cashflow Statement'!K27</f>
        <v>0</v>
      </c>
      <c r="L26" s="84">
        <f>'Cashflow Statement'!L27</f>
        <v>0</v>
      </c>
      <c r="M26" s="1"/>
      <c r="N26" s="53"/>
      <c r="O26" s="1"/>
    </row>
    <row r="27" spans="1:15" x14ac:dyDescent="0.2">
      <c r="A27" s="1" t="str">
        <f>'Cashflow Statement'!A28</f>
        <v>Interest bearing borrowings raised</v>
      </c>
      <c r="B27" s="84">
        <f>'Cashflow Statement'!B28</f>
        <v>1311</v>
      </c>
      <c r="C27" s="84">
        <f>'Cashflow Statement'!C28</f>
        <v>3847</v>
      </c>
      <c r="D27" s="84">
        <f>'Cashflow Statement'!D28</f>
        <v>56</v>
      </c>
      <c r="E27" s="84">
        <f>'Cashflow Statement'!E28</f>
        <v>-729</v>
      </c>
      <c r="F27" s="84">
        <f>'Cashflow Statement'!F28</f>
        <v>0</v>
      </c>
      <c r="G27" s="84">
        <f>'Cashflow Statement'!G28</f>
        <v>2678</v>
      </c>
      <c r="H27" s="84">
        <f>'Cashflow Statement'!H28</f>
        <v>-3332</v>
      </c>
      <c r="I27" s="84">
        <f>'Cashflow Statement'!I28</f>
        <v>6744</v>
      </c>
      <c r="J27" s="84">
        <f>'Cashflow Statement'!J28</f>
        <v>0</v>
      </c>
      <c r="K27" s="84">
        <f>'Cashflow Statement'!K28</f>
        <v>0</v>
      </c>
      <c r="L27" s="84">
        <f>'Cashflow Statement'!L28</f>
        <v>0</v>
      </c>
      <c r="N27" s="53">
        <f>(I27/B27)^(1/7)-1</f>
        <v>0.26361976399534082</v>
      </c>
    </row>
    <row r="28" spans="1:15" x14ac:dyDescent="0.2">
      <c r="A28" s="1" t="str">
        <f>'Cashflow Statement'!A29</f>
        <v>Interest bearing borrowings repaid</v>
      </c>
      <c r="B28" s="84">
        <f>'Cashflow Statement'!B29</f>
        <v>-1800</v>
      </c>
      <c r="C28" s="84">
        <f>'Cashflow Statement'!C29</f>
        <v>-3519</v>
      </c>
      <c r="D28" s="84">
        <f>'Cashflow Statement'!D29</f>
        <v>0</v>
      </c>
      <c r="E28" s="84">
        <f>'Cashflow Statement'!E29</f>
        <v>0</v>
      </c>
      <c r="F28" s="84">
        <f>'Cashflow Statement'!F29</f>
        <v>0</v>
      </c>
      <c r="G28" s="84">
        <f>'Cashflow Statement'!G29</f>
        <v>0</v>
      </c>
      <c r="H28" s="84">
        <f>'Cashflow Statement'!H29</f>
        <v>0</v>
      </c>
      <c r="I28" s="84">
        <f>'Cashflow Statement'!I29</f>
        <v>0</v>
      </c>
      <c r="J28" s="84">
        <f>'Cashflow Statement'!J29</f>
        <v>-1388</v>
      </c>
      <c r="K28" s="84">
        <f>'Cashflow Statement'!K29</f>
        <v>-3705</v>
      </c>
      <c r="L28" s="84">
        <f>'Cashflow Statement'!L29</f>
        <v>-4500</v>
      </c>
      <c r="N28" s="53">
        <f t="shared" si="2"/>
        <v>9.5958226385217227E-2</v>
      </c>
    </row>
    <row r="29" spans="1:15" x14ac:dyDescent="0.2">
      <c r="A29" s="1" t="str">
        <f>'Cashflow Statement'!A30</f>
        <v>Purchase of treasury shares</v>
      </c>
      <c r="B29" s="84">
        <f>'Cashflow Statement'!B30</f>
        <v>0</v>
      </c>
      <c r="C29" s="84">
        <f>'Cashflow Statement'!C30</f>
        <v>0</v>
      </c>
      <c r="D29" s="84">
        <f>'Cashflow Statement'!D30</f>
        <v>-60</v>
      </c>
      <c r="E29" s="84">
        <f>'Cashflow Statement'!E30</f>
        <v>-191</v>
      </c>
      <c r="F29" s="84">
        <f>'Cashflow Statement'!F30</f>
        <v>-278</v>
      </c>
      <c r="G29" s="84">
        <f>'Cashflow Statement'!G30</f>
        <v>-261</v>
      </c>
      <c r="H29" s="84">
        <f>'Cashflow Statement'!H30</f>
        <v>-265</v>
      </c>
      <c r="I29" s="84">
        <f>'Cashflow Statement'!I30</f>
        <v>-107</v>
      </c>
      <c r="J29" s="84">
        <f>'Cashflow Statement'!J30</f>
        <v>0</v>
      </c>
      <c r="K29" s="84">
        <f>'Cashflow Statement'!K30</f>
        <v>-180</v>
      </c>
      <c r="L29" s="84">
        <f>'Cashflow Statement'!L30</f>
        <v>-61</v>
      </c>
      <c r="N29" s="53">
        <f>(L29/D29)^(1/8)-1</f>
        <v>2.0682987289877275E-3</v>
      </c>
    </row>
    <row r="30" spans="1:15" x14ac:dyDescent="0.2">
      <c r="A30" s="1" t="str">
        <f>'Cashflow Statement'!A31</f>
        <v>Increase in non-controlling interest</v>
      </c>
      <c r="B30" s="84">
        <f>'Cashflow Statement'!B31</f>
        <v>0</v>
      </c>
      <c r="C30" s="84">
        <f>'Cashflow Statement'!C31</f>
        <v>0</v>
      </c>
      <c r="D30" s="84">
        <f>'Cashflow Statement'!D31</f>
        <v>0</v>
      </c>
      <c r="E30" s="84">
        <f>'Cashflow Statement'!E31</f>
        <v>-147</v>
      </c>
      <c r="F30" s="84">
        <f>'Cashflow Statement'!F31</f>
        <v>0</v>
      </c>
      <c r="G30" s="84">
        <f>'Cashflow Statement'!G31</f>
        <v>0</v>
      </c>
      <c r="H30" s="84">
        <f>'Cashflow Statement'!H31</f>
        <v>0</v>
      </c>
      <c r="I30" s="84">
        <f>'Cashflow Statement'!I31</f>
        <v>0</v>
      </c>
      <c r="J30" s="84">
        <f>'Cashflow Statement'!J31</f>
        <v>0</v>
      </c>
      <c r="K30" s="84">
        <f>'Cashflow Statement'!K31</f>
        <v>0</v>
      </c>
      <c r="L30" s="84">
        <f>'Cashflow Statement'!L31</f>
        <v>0</v>
      </c>
      <c r="N30" s="53"/>
    </row>
    <row r="31" spans="1:15" x14ac:dyDescent="0.2">
      <c r="A31" s="1" t="str">
        <f>'Cashflow Statement'!A32</f>
        <v>Dividends paid</v>
      </c>
      <c r="B31" s="84">
        <f>'Cashflow Statement'!B32</f>
        <v>0</v>
      </c>
      <c r="C31" s="84">
        <f>'Cashflow Statement'!C32</f>
        <v>0</v>
      </c>
      <c r="D31" s="84">
        <f>'Cashflow Statement'!D32</f>
        <v>-6437</v>
      </c>
      <c r="E31" s="84">
        <f>'Cashflow Statement'!E32</f>
        <v>-6714</v>
      </c>
      <c r="F31" s="84">
        <f>'Cashflow Statement'!F32</f>
        <v>-13742</v>
      </c>
      <c r="G31" s="84">
        <f>'Cashflow Statement'!G32</f>
        <v>-13428</v>
      </c>
      <c r="H31" s="84">
        <f>'Cashflow Statement'!H32</f>
        <v>-10500</v>
      </c>
      <c r="I31" s="84">
        <f>'Cashflow Statement'!I32</f>
        <v>-11450</v>
      </c>
      <c r="J31" s="84">
        <f>'Cashflow Statement'!J32</f>
        <v>-2490</v>
      </c>
      <c r="K31" s="84">
        <f>'Cashflow Statement'!K32</f>
        <v>0</v>
      </c>
      <c r="L31" s="84">
        <f>'Cashflow Statement'!L32</f>
        <v>-5144</v>
      </c>
      <c r="N31" s="53">
        <f>(L31/D31)^(1/8)-1</f>
        <v>-2.7639784180193638E-2</v>
      </c>
    </row>
    <row r="32" spans="1:15" s="2" customFormat="1" x14ac:dyDescent="0.2">
      <c r="A32" s="2" t="str">
        <f>'Cashflow Statement'!A33</f>
        <v>Cash provided by financing activities</v>
      </c>
      <c r="B32" s="85">
        <f>'Cashflow Statement'!B33</f>
        <v>-828</v>
      </c>
      <c r="C32" s="85">
        <f>'Cashflow Statement'!C33</f>
        <v>-668</v>
      </c>
      <c r="D32" s="85">
        <f>'Cashflow Statement'!D33</f>
        <v>-8120</v>
      </c>
      <c r="E32" s="85">
        <f>'Cashflow Statement'!E33</f>
        <v>-9583</v>
      </c>
      <c r="F32" s="85">
        <f>'Cashflow Statement'!F33</f>
        <v>-19868</v>
      </c>
      <c r="G32" s="85">
        <f>'Cashflow Statement'!G33</f>
        <v>-16552</v>
      </c>
      <c r="H32" s="85">
        <f>'Cashflow Statement'!H33</f>
        <v>-17302</v>
      </c>
      <c r="I32" s="85">
        <f>'Cashflow Statement'!I33</f>
        <v>-8541</v>
      </c>
      <c r="J32" s="85">
        <f>'Cashflow Statement'!J33</f>
        <v>-4689</v>
      </c>
      <c r="K32" s="85">
        <f>'Cashflow Statement'!K33</f>
        <v>-3885</v>
      </c>
      <c r="L32" s="85">
        <f>'Cashflow Statement'!L33</f>
        <v>-11304</v>
      </c>
      <c r="N32" s="16">
        <f t="shared" si="2"/>
        <v>0.29873391321926435</v>
      </c>
    </row>
    <row r="33" spans="1:14" s="2" customFormat="1" x14ac:dyDescent="0.2">
      <c r="B33" s="85"/>
      <c r="C33" s="85"/>
      <c r="D33" s="85"/>
      <c r="E33" s="85"/>
      <c r="F33" s="85"/>
      <c r="G33" s="85"/>
      <c r="H33" s="85"/>
      <c r="I33" s="85"/>
      <c r="J33" s="85"/>
      <c r="K33" s="85"/>
      <c r="L33" s="85"/>
      <c r="N33" s="16"/>
    </row>
    <row r="34" spans="1:14" s="2" customFormat="1" x14ac:dyDescent="0.2">
      <c r="A34" s="2" t="str">
        <f>'Cashflow Statement'!A35</f>
        <v>Net increase in cash and cash equivalents</v>
      </c>
      <c r="B34" s="85">
        <f>'Cashflow Statement'!B35</f>
        <v>5663</v>
      </c>
      <c r="C34" s="85">
        <f>'Cashflow Statement'!C35</f>
        <v>17377</v>
      </c>
      <c r="D34" s="85">
        <f>'Cashflow Statement'!D35</f>
        <v>-2982</v>
      </c>
      <c r="E34" s="85">
        <f>'Cashflow Statement'!E35</f>
        <v>3925</v>
      </c>
      <c r="F34" s="85">
        <f>'Cashflow Statement'!F35</f>
        <v>-219</v>
      </c>
      <c r="G34" s="85">
        <f>'Cashflow Statement'!G35</f>
        <v>-3242</v>
      </c>
      <c r="H34" s="85">
        <f>'Cashflow Statement'!H35</f>
        <v>-708</v>
      </c>
      <c r="I34" s="85">
        <f>'Cashflow Statement'!I35</f>
        <v>374</v>
      </c>
      <c r="J34" s="85">
        <f>'Cashflow Statement'!J35</f>
        <v>1353</v>
      </c>
      <c r="K34" s="85">
        <f>'Cashflow Statement'!K35</f>
        <v>7309</v>
      </c>
      <c r="L34" s="85">
        <f>'Cashflow Statement'!L35</f>
        <v>2659</v>
      </c>
      <c r="N34" s="16">
        <f t="shared" ref="N34" si="3">(L34/B34)^(1/10)-1</f>
        <v>-7.2813333531992375E-2</v>
      </c>
    </row>
    <row r="35" spans="1:14" x14ac:dyDescent="0.2">
      <c r="B35" s="84"/>
      <c r="C35" s="84"/>
      <c r="D35" s="84"/>
      <c r="E35" s="84"/>
      <c r="F35" s="84"/>
      <c r="G35" s="84"/>
      <c r="H35" s="84"/>
      <c r="I35" s="84"/>
      <c r="J35" s="84"/>
      <c r="K35" s="84"/>
      <c r="L35" s="84"/>
      <c r="N35" s="53"/>
    </row>
    <row r="36" spans="1:14" x14ac:dyDescent="0.2">
      <c r="A36" s="1" t="str">
        <f>'Cashflow Statement'!A37</f>
        <v>Cash and cash equivalents at the biggining of the year</v>
      </c>
      <c r="B36" s="84">
        <f>'Cashflow Statement'!B37</f>
        <v>1094</v>
      </c>
      <c r="C36" s="84">
        <f>'Cashflow Statement'!C37</f>
        <v>952</v>
      </c>
      <c r="D36" s="84">
        <f>'Cashflow Statement'!D37</f>
        <v>3810</v>
      </c>
      <c r="E36" s="84">
        <f>'Cashflow Statement'!E37</f>
        <v>891</v>
      </c>
      <c r="F36" s="84">
        <f>'Cashflow Statement'!F37</f>
        <v>4855</v>
      </c>
      <c r="G36" s="84">
        <f>'Cashflow Statement'!G37</f>
        <v>4742</v>
      </c>
      <c r="H36" s="84">
        <f>'Cashflow Statement'!H37</f>
        <v>1527</v>
      </c>
      <c r="I36" s="84">
        <f>'Cashflow Statement'!I37</f>
        <v>1053</v>
      </c>
      <c r="J36" s="84">
        <f>'Cashflow Statement'!J37</f>
        <v>1664</v>
      </c>
      <c r="K36" s="84">
        <f>'Cashflow Statement'!K37</f>
        <v>3601</v>
      </c>
      <c r="L36" s="84">
        <f>'Cashflow Statement'!L37</f>
        <v>10655</v>
      </c>
      <c r="N36" s="53">
        <f t="shared" ref="N36" si="4">(L36/B36)^(1/10)-1</f>
        <v>0.25560666746642347</v>
      </c>
    </row>
    <row r="37" spans="1:14" x14ac:dyDescent="0.2">
      <c r="A37" s="1" t="str">
        <f>'Cashflow Statement'!A38</f>
        <v>Exchange difference on cash and cash equivalents</v>
      </c>
      <c r="B37" s="84">
        <f>'Cashflow Statement'!B38</f>
        <v>0</v>
      </c>
      <c r="C37" s="84">
        <f>'Cashflow Statement'!C38</f>
        <v>0</v>
      </c>
      <c r="D37" s="84">
        <f>'Cashflow Statement'!D38</f>
        <v>63</v>
      </c>
      <c r="E37" s="84">
        <f>'Cashflow Statement'!E38</f>
        <v>39</v>
      </c>
      <c r="F37" s="84">
        <f>'Cashflow Statement'!F38</f>
        <v>106</v>
      </c>
      <c r="G37" s="84">
        <f>'Cashflow Statement'!G38</f>
        <v>27</v>
      </c>
      <c r="H37" s="84">
        <f>'Cashflow Statement'!H38</f>
        <v>234</v>
      </c>
      <c r="I37" s="84">
        <f>'Cashflow Statement'!I38</f>
        <v>237</v>
      </c>
      <c r="J37" s="84">
        <f>'Cashflow Statement'!J38</f>
        <v>584</v>
      </c>
      <c r="K37" s="84">
        <f>'Cashflow Statement'!K38</f>
        <v>-245</v>
      </c>
      <c r="L37" s="84">
        <f>'Cashflow Statement'!L38</f>
        <v>550</v>
      </c>
      <c r="N37" s="53">
        <f>(L37/D37)^(1/8)-1</f>
        <v>0.31107569827368686</v>
      </c>
    </row>
    <row r="38" spans="1:14" x14ac:dyDescent="0.2">
      <c r="B38" s="84"/>
      <c r="C38" s="84"/>
      <c r="D38" s="84"/>
      <c r="E38" s="84"/>
      <c r="F38" s="84"/>
      <c r="G38" s="84"/>
      <c r="H38" s="84"/>
      <c r="I38" s="84"/>
      <c r="J38" s="84"/>
      <c r="K38" s="84"/>
      <c r="L38" s="84"/>
      <c r="N38" s="53"/>
    </row>
    <row r="39" spans="1:14" s="2" customFormat="1" x14ac:dyDescent="0.2">
      <c r="A39" s="2" t="str">
        <f>'Cashflow Statement'!A40</f>
        <v>Cash and cash equivalents at the end of the year</v>
      </c>
      <c r="B39" s="85">
        <f>'Cashflow Statement'!B40</f>
        <v>6757</v>
      </c>
      <c r="C39" s="85">
        <f>'Cashflow Statement'!C40</f>
        <v>18329</v>
      </c>
      <c r="D39" s="85">
        <f>'Cashflow Statement'!D40</f>
        <v>891</v>
      </c>
      <c r="E39" s="85">
        <f>'Cashflow Statement'!E40</f>
        <v>4855</v>
      </c>
      <c r="F39" s="85">
        <f>'Cashflow Statement'!F40</f>
        <v>4742</v>
      </c>
      <c r="G39" s="85">
        <f>'Cashflow Statement'!G40</f>
        <v>1527</v>
      </c>
      <c r="H39" s="85">
        <f>'Cashflow Statement'!H40</f>
        <v>1053</v>
      </c>
      <c r="I39" s="85">
        <f>'Cashflow Statement'!I40</f>
        <v>1664</v>
      </c>
      <c r="J39" s="85">
        <f>'Cashflow Statement'!J40</f>
        <v>3601</v>
      </c>
      <c r="K39" s="85">
        <f>'Cashflow Statement'!K40</f>
        <v>10665</v>
      </c>
      <c r="L39" s="85">
        <f>'Cashflow Statement'!L40</f>
        <v>13864</v>
      </c>
      <c r="N39" s="16">
        <f t="shared" ref="N39" si="5">(L39/B39)^(1/10)-1</f>
        <v>7.4517426042653767E-2</v>
      </c>
    </row>
    <row r="40" spans="1:14" x14ac:dyDescent="0.2">
      <c r="A40" s="2"/>
      <c r="B40" s="2"/>
      <c r="C40" s="2"/>
      <c r="D40" s="2"/>
      <c r="E40" s="2"/>
      <c r="F40" s="2"/>
      <c r="G40" s="2"/>
      <c r="H40" s="2"/>
      <c r="I40" s="2"/>
      <c r="J40" s="2"/>
      <c r="K40" s="2"/>
      <c r="L40" s="2"/>
    </row>
    <row r="41" spans="1:14" x14ac:dyDescent="0.2">
      <c r="A41" s="2"/>
      <c r="B41" s="2"/>
      <c r="C41" s="2"/>
      <c r="D41" s="2"/>
      <c r="E41" s="2"/>
      <c r="F41" s="2"/>
      <c r="G41" s="2"/>
      <c r="H41" s="2"/>
      <c r="I41" s="2"/>
      <c r="J41" s="2"/>
      <c r="K41" s="2"/>
      <c r="L41" s="2"/>
    </row>
    <row r="42" spans="1:14" x14ac:dyDescent="0.2">
      <c r="A42" s="2"/>
      <c r="B42" s="2"/>
      <c r="C42" s="2"/>
      <c r="D42" s="2"/>
      <c r="E42" s="2"/>
      <c r="F42" s="2"/>
      <c r="G42" s="2"/>
      <c r="H42" s="2"/>
      <c r="I42" s="2"/>
      <c r="J42" s="2"/>
      <c r="K42" s="2"/>
      <c r="L42" s="2"/>
    </row>
    <row r="43" spans="1:14" x14ac:dyDescent="0.2">
      <c r="A43" s="2"/>
      <c r="B43" s="2"/>
      <c r="C43" s="2"/>
      <c r="D43" s="2"/>
      <c r="E43" s="2"/>
      <c r="F43" s="2"/>
      <c r="G43" s="2"/>
      <c r="H43" s="2"/>
      <c r="I43" s="2"/>
      <c r="J43" s="2"/>
      <c r="K43" s="2"/>
      <c r="L43" s="2"/>
    </row>
    <row r="44" spans="1:14" x14ac:dyDescent="0.2">
      <c r="A44" s="2"/>
      <c r="B44" s="2"/>
      <c r="C44" s="2"/>
      <c r="D44" s="2"/>
      <c r="E44" s="2"/>
      <c r="F44" s="2"/>
      <c r="G44" s="2"/>
      <c r="H44" s="2"/>
      <c r="I44" s="2"/>
      <c r="J44" s="2"/>
      <c r="K44" s="2"/>
      <c r="L44" s="2"/>
    </row>
    <row r="45" spans="1:14" x14ac:dyDescent="0.2">
      <c r="A45" s="2"/>
      <c r="B45" s="2"/>
      <c r="C45" s="2"/>
      <c r="D45" s="2"/>
      <c r="E45" s="2"/>
      <c r="F45" s="2"/>
      <c r="G45" s="2"/>
      <c r="H45" s="2"/>
      <c r="I45" s="2"/>
      <c r="J45" s="2"/>
      <c r="K45" s="2"/>
      <c r="L45" s="2"/>
    </row>
    <row r="46" spans="1:14" x14ac:dyDescent="0.2">
      <c r="A46" s="2"/>
      <c r="B46" s="2"/>
      <c r="C46" s="2"/>
      <c r="D46" s="2"/>
      <c r="E46" s="2"/>
      <c r="F46" s="2"/>
      <c r="G46" s="2"/>
      <c r="H46" s="2"/>
      <c r="I46" s="2"/>
      <c r="J46" s="2"/>
      <c r="K46" s="2"/>
      <c r="L46" s="2"/>
    </row>
    <row r="47" spans="1:14" x14ac:dyDescent="0.2">
      <c r="A47" s="2"/>
      <c r="B47" s="2"/>
      <c r="C47" s="2"/>
      <c r="D47" s="2"/>
      <c r="E47" s="2"/>
      <c r="F47" s="2"/>
      <c r="G47" s="2"/>
      <c r="H47" s="2"/>
      <c r="I47" s="2"/>
      <c r="J47" s="2"/>
      <c r="K47" s="2"/>
      <c r="L47" s="2"/>
    </row>
    <row r="48" spans="1:14" x14ac:dyDescent="0.2">
      <c r="A48" s="2"/>
      <c r="B48" s="2"/>
      <c r="C48" s="2"/>
      <c r="D48" s="2"/>
      <c r="E48" s="2"/>
      <c r="F48" s="2"/>
      <c r="G48" s="2"/>
      <c r="H48" s="2"/>
      <c r="I48" s="2"/>
      <c r="J48" s="2"/>
      <c r="K48" s="2"/>
      <c r="L48" s="2"/>
    </row>
    <row r="49" spans="1:12" x14ac:dyDescent="0.2">
      <c r="A49" s="2"/>
      <c r="B49" s="2"/>
      <c r="C49" s="2"/>
      <c r="D49" s="2"/>
      <c r="E49" s="2"/>
      <c r="F49" s="2"/>
      <c r="G49" s="2"/>
      <c r="H49" s="2"/>
      <c r="I49" s="2"/>
      <c r="J49" s="2"/>
      <c r="K49" s="2"/>
      <c r="L49" s="2"/>
    </row>
    <row r="50" spans="1:12" x14ac:dyDescent="0.2">
      <c r="A50" s="2"/>
      <c r="B50" s="2"/>
      <c r="C50" s="2"/>
      <c r="D50" s="2"/>
      <c r="E50" s="2"/>
      <c r="F50" s="2"/>
      <c r="G50" s="2"/>
      <c r="H50" s="2"/>
      <c r="I50" s="2"/>
      <c r="J50" s="2"/>
      <c r="K50" s="2"/>
      <c r="L50" s="2"/>
    </row>
    <row r="51" spans="1:12" x14ac:dyDescent="0.2">
      <c r="A51" s="2"/>
      <c r="B51" s="2"/>
      <c r="C51" s="2"/>
      <c r="D51" s="2"/>
      <c r="E51" s="2"/>
      <c r="F51" s="2"/>
      <c r="G51" s="2"/>
      <c r="H51" s="2"/>
      <c r="I51" s="2"/>
      <c r="J51" s="2"/>
      <c r="K51" s="2"/>
      <c r="L51" s="2"/>
    </row>
    <row r="52" spans="1:12" x14ac:dyDescent="0.2">
      <c r="A52" s="2"/>
      <c r="B52" s="2"/>
      <c r="C52" s="2"/>
      <c r="D52" s="2"/>
      <c r="E52" s="2"/>
      <c r="F52" s="2"/>
      <c r="G52" s="2"/>
      <c r="H52" s="2"/>
      <c r="I52" s="2"/>
      <c r="J52" s="2"/>
      <c r="K52" s="2"/>
      <c r="L52" s="2"/>
    </row>
    <row r="53" spans="1:12" x14ac:dyDescent="0.2">
      <c r="A53" s="2"/>
      <c r="B53" s="2"/>
      <c r="C53" s="2"/>
      <c r="D53" s="2"/>
      <c r="E53" s="2"/>
      <c r="F53" s="2"/>
      <c r="G53" s="2"/>
      <c r="H53" s="2"/>
      <c r="I53" s="2"/>
      <c r="J53" s="2"/>
      <c r="K53" s="2"/>
      <c r="L53" s="2"/>
    </row>
    <row r="54" spans="1:12" x14ac:dyDescent="0.2">
      <c r="A54" s="2"/>
      <c r="B54" s="2"/>
      <c r="C54" s="2"/>
      <c r="D54" s="2"/>
      <c r="E54" s="2"/>
      <c r="F54" s="2"/>
      <c r="G54" s="2"/>
      <c r="H54" s="2"/>
      <c r="I54" s="2"/>
      <c r="J54" s="2"/>
      <c r="K54" s="2"/>
      <c r="L54" s="2"/>
    </row>
    <row r="55" spans="1:12" x14ac:dyDescent="0.2">
      <c r="A55" s="2"/>
      <c r="B55" s="2"/>
      <c r="C55" s="2"/>
      <c r="D55" s="2"/>
      <c r="E55" s="2"/>
      <c r="F55" s="2"/>
      <c r="G55" s="2"/>
      <c r="H55" s="2"/>
      <c r="I55" s="2"/>
      <c r="J55" s="2"/>
      <c r="K55" s="2"/>
      <c r="L55" s="2"/>
    </row>
  </sheetData>
  <mergeCells count="1">
    <mergeCell ref="A1:N1"/>
  </mergeCells>
  <pageMargins left="0.7" right="0.7" top="0.75" bottom="0.75" header="0.3" footer="0.3"/>
  <pageSetup paperSize="9" orientation="portrait" r:id="rId1"/>
  <ignoredErrors>
    <ignoredError sqref="N28 N17 N7 N21:N23 N9 N11:N14 N32:N36 N38:N39 N25"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F17"/>
  <sheetViews>
    <sheetView workbookViewId="0"/>
  </sheetViews>
  <sheetFormatPr defaultRowHeight="12.75" x14ac:dyDescent="0.2"/>
  <cols>
    <col min="1" max="1" width="20.7109375" style="1" customWidth="1"/>
    <col min="2" max="16384" width="9.140625" style="1"/>
  </cols>
  <sheetData>
    <row r="1" spans="1:6" ht="15" x14ac:dyDescent="0.2">
      <c r="A1" s="3" t="s">
        <v>39</v>
      </c>
    </row>
    <row r="3" spans="1:6" x14ac:dyDescent="0.2">
      <c r="B3" s="2">
        <f>'Income Statement'!B3</f>
        <v>2007</v>
      </c>
      <c r="C3" s="2">
        <f>'Income Statement'!C3</f>
        <v>2008</v>
      </c>
      <c r="D3" s="2">
        <f>'Income Statement'!D3</f>
        <v>2009</v>
      </c>
      <c r="E3" s="2">
        <f>'Income Statement'!E3</f>
        <v>2010</v>
      </c>
      <c r="F3" s="2">
        <f>'Income Statement'!F3</f>
        <v>2011</v>
      </c>
    </row>
    <row r="4" spans="1:6" x14ac:dyDescent="0.2">
      <c r="A4" s="1" t="s">
        <v>3</v>
      </c>
      <c r="B4" s="1">
        <f>'Income Statement'!B4</f>
        <v>11497</v>
      </c>
      <c r="C4" s="1">
        <f>'Income Statement'!C4</f>
        <v>21360</v>
      </c>
      <c r="D4" s="1">
        <f>'Income Statement'!D4</f>
        <v>23408</v>
      </c>
      <c r="E4" s="1">
        <f>'Income Statement'!E4</f>
        <v>38704</v>
      </c>
      <c r="F4" s="1">
        <f>'Income Statement'!F4</f>
        <v>48553</v>
      </c>
    </row>
    <row r="5" spans="1:6" x14ac:dyDescent="0.2">
      <c r="A5" s="1" t="s">
        <v>91</v>
      </c>
    </row>
    <row r="6" spans="1:6" x14ac:dyDescent="0.2">
      <c r="A6" s="1" t="s">
        <v>90</v>
      </c>
      <c r="B6" s="1">
        <f t="shared" ref="B6:F6" si="0">B4-B5</f>
        <v>11497</v>
      </c>
      <c r="C6" s="1">
        <f t="shared" si="0"/>
        <v>21360</v>
      </c>
      <c r="D6" s="1">
        <f t="shared" si="0"/>
        <v>23408</v>
      </c>
      <c r="E6" s="1">
        <f t="shared" si="0"/>
        <v>38704</v>
      </c>
      <c r="F6" s="1">
        <f t="shared" si="0"/>
        <v>48553</v>
      </c>
    </row>
    <row r="7" spans="1:6" x14ac:dyDescent="0.2">
      <c r="A7" s="1" t="s">
        <v>92</v>
      </c>
      <c r="C7" s="8"/>
      <c r="D7" s="8"/>
      <c r="E7" s="8"/>
      <c r="F7" s="8"/>
    </row>
    <row r="8" spans="1:6" x14ac:dyDescent="0.2">
      <c r="A8" s="1" t="s">
        <v>93</v>
      </c>
      <c r="C8" s="8"/>
      <c r="D8" s="8"/>
      <c r="E8" s="8"/>
      <c r="F8" s="8"/>
    </row>
    <row r="9" spans="1:6" x14ac:dyDescent="0.2">
      <c r="A9" s="1" t="s">
        <v>94</v>
      </c>
    </row>
    <row r="10" spans="1:6" x14ac:dyDescent="0.2">
      <c r="A10" s="1" t="s">
        <v>4</v>
      </c>
      <c r="B10" s="1">
        <f t="shared" ref="B10:F10" si="1">SUM(B7:B9)</f>
        <v>0</v>
      </c>
      <c r="C10" s="1">
        <f t="shared" si="1"/>
        <v>0</v>
      </c>
      <c r="D10" s="1">
        <f t="shared" si="1"/>
        <v>0</v>
      </c>
      <c r="E10" s="1">
        <f t="shared" si="1"/>
        <v>0</v>
      </c>
      <c r="F10" s="1">
        <f t="shared" si="1"/>
        <v>0</v>
      </c>
    </row>
    <row r="11" spans="1:6" x14ac:dyDescent="0.2">
      <c r="A11" s="1" t="s">
        <v>40</v>
      </c>
      <c r="B11" s="1">
        <f t="shared" ref="B11:F11" si="2">B6-B10</f>
        <v>11497</v>
      </c>
      <c r="C11" s="1">
        <f t="shared" si="2"/>
        <v>21360</v>
      </c>
      <c r="D11" s="1">
        <f t="shared" si="2"/>
        <v>23408</v>
      </c>
      <c r="E11" s="1">
        <f t="shared" si="2"/>
        <v>38704</v>
      </c>
      <c r="F11" s="1">
        <f t="shared" si="2"/>
        <v>48553</v>
      </c>
    </row>
    <row r="12" spans="1:6" x14ac:dyDescent="0.2">
      <c r="A12" s="1" t="s">
        <v>41</v>
      </c>
      <c r="B12" s="8">
        <f t="shared" ref="B12:F12" si="3">B11/B6</f>
        <v>1</v>
      </c>
      <c r="C12" s="8">
        <f t="shared" si="3"/>
        <v>1</v>
      </c>
      <c r="D12" s="8">
        <f t="shared" si="3"/>
        <v>1</v>
      </c>
      <c r="E12" s="8">
        <f t="shared" si="3"/>
        <v>1</v>
      </c>
      <c r="F12" s="8">
        <f t="shared" si="3"/>
        <v>1</v>
      </c>
    </row>
    <row r="15" spans="1:6" x14ac:dyDescent="0.2">
      <c r="A15" s="1" t="s">
        <v>95</v>
      </c>
      <c r="B15" s="1">
        <f>B7/B6</f>
        <v>0</v>
      </c>
      <c r="C15" s="1">
        <f>C7/C6</f>
        <v>0</v>
      </c>
      <c r="D15" s="1">
        <f t="shared" ref="D15:F15" si="4">D7/D6</f>
        <v>0</v>
      </c>
      <c r="E15" s="1">
        <f t="shared" si="4"/>
        <v>0</v>
      </c>
      <c r="F15" s="1">
        <f t="shared" si="4"/>
        <v>0</v>
      </c>
    </row>
    <row r="16" spans="1:6" x14ac:dyDescent="0.2">
      <c r="A16" s="1" t="s">
        <v>96</v>
      </c>
      <c r="B16" s="1">
        <f>B8/B6</f>
        <v>0</v>
      </c>
      <c r="C16" s="1">
        <f t="shared" ref="C16:F16" si="5">C8/C6</f>
        <v>0</v>
      </c>
      <c r="D16" s="1">
        <f t="shared" si="5"/>
        <v>0</v>
      </c>
      <c r="E16" s="1">
        <f t="shared" si="5"/>
        <v>0</v>
      </c>
      <c r="F16" s="1">
        <f t="shared" si="5"/>
        <v>0</v>
      </c>
    </row>
    <row r="17" spans="1:6" x14ac:dyDescent="0.2">
      <c r="A17" s="1" t="s">
        <v>97</v>
      </c>
      <c r="B17" s="1">
        <f>B9/B6</f>
        <v>0</v>
      </c>
      <c r="C17" s="1">
        <f>C9/C6</f>
        <v>0</v>
      </c>
      <c r="D17" s="1">
        <f t="shared" ref="D17:F17" si="6">D9/D6</f>
        <v>0</v>
      </c>
      <c r="E17" s="1">
        <f t="shared" si="6"/>
        <v>0</v>
      </c>
      <c r="F17" s="1">
        <f t="shared" si="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22"/>
  <sheetViews>
    <sheetView showGridLines="0" workbookViewId="0">
      <pane xSplit="1" ySplit="3" topLeftCell="B4" activePane="bottomRight" state="frozen"/>
      <selection pane="topRight" activeCell="B1" sqref="B1"/>
      <selection pane="bottomLeft" activeCell="A4" sqref="A4"/>
      <selection pane="bottomRight" sqref="A1:L1"/>
    </sheetView>
  </sheetViews>
  <sheetFormatPr defaultRowHeight="12.75" x14ac:dyDescent="0.2"/>
  <cols>
    <col min="1" max="1" width="25.140625" style="1" bestFit="1" customWidth="1"/>
    <col min="2" max="2" width="9.28515625" style="1" bestFit="1" customWidth="1"/>
    <col min="3" max="10" width="9.28515625" style="1" customWidth="1"/>
    <col min="11" max="12" width="11.28515625" style="1" bestFit="1" customWidth="1"/>
    <col min="13" max="16384" width="9.140625" style="1"/>
  </cols>
  <sheetData>
    <row r="1" spans="1:12" ht="15" x14ac:dyDescent="0.2">
      <c r="A1" s="133" t="s">
        <v>2</v>
      </c>
      <c r="B1" s="133"/>
      <c r="C1" s="133"/>
      <c r="D1" s="133"/>
      <c r="E1" s="133"/>
      <c r="F1" s="133"/>
      <c r="G1" s="133"/>
      <c r="H1" s="133"/>
      <c r="I1" s="133"/>
      <c r="J1" s="133"/>
      <c r="K1" s="133"/>
      <c r="L1" s="133"/>
    </row>
    <row r="3" spans="1:12" x14ac:dyDescent="0.2">
      <c r="A3" s="2" t="s">
        <v>128</v>
      </c>
      <c r="B3" s="2">
        <v>2007</v>
      </c>
      <c r="C3" s="2">
        <v>2008</v>
      </c>
      <c r="D3" s="2">
        <v>2009</v>
      </c>
      <c r="E3" s="2">
        <v>2010</v>
      </c>
      <c r="F3" s="2">
        <v>2011</v>
      </c>
      <c r="G3" s="2">
        <v>2012</v>
      </c>
      <c r="H3" s="2">
        <v>2013</v>
      </c>
      <c r="I3" s="2">
        <v>2014</v>
      </c>
      <c r="J3" s="2">
        <v>2015</v>
      </c>
      <c r="K3" s="2">
        <v>2016</v>
      </c>
      <c r="L3" s="2">
        <v>2017</v>
      </c>
    </row>
    <row r="4" spans="1:12" x14ac:dyDescent="0.2">
      <c r="A4" s="1" t="s">
        <v>3</v>
      </c>
      <c r="B4" s="49">
        <v>11497</v>
      </c>
      <c r="C4" s="49">
        <v>21360</v>
      </c>
      <c r="D4" s="49">
        <v>23408</v>
      </c>
      <c r="E4" s="49">
        <v>38704</v>
      </c>
      <c r="F4" s="49">
        <v>48553</v>
      </c>
      <c r="G4" s="49">
        <v>45446</v>
      </c>
      <c r="H4" s="49">
        <v>54461</v>
      </c>
      <c r="I4" s="49">
        <v>47597</v>
      </c>
      <c r="J4" s="49">
        <v>35260</v>
      </c>
      <c r="K4" s="49">
        <v>40155</v>
      </c>
      <c r="L4" s="49">
        <v>46379</v>
      </c>
    </row>
    <row r="5" spans="1:12" x14ac:dyDescent="0.2">
      <c r="A5" s="1" t="s">
        <v>129</v>
      </c>
      <c r="B5" s="49"/>
      <c r="C5" s="49"/>
      <c r="D5" s="49"/>
      <c r="E5" s="49"/>
      <c r="F5" s="49"/>
      <c r="G5" s="49"/>
      <c r="H5" s="49"/>
      <c r="I5" s="49"/>
      <c r="J5" s="49"/>
      <c r="K5" s="49"/>
      <c r="L5" s="49"/>
    </row>
    <row r="6" spans="1:12" s="2" customFormat="1" x14ac:dyDescent="0.2">
      <c r="A6" s="2" t="s">
        <v>40</v>
      </c>
      <c r="B6" s="50">
        <f t="shared" ref="B6:L6" si="0">B4-B5</f>
        <v>11497</v>
      </c>
      <c r="C6" s="50">
        <f t="shared" si="0"/>
        <v>21360</v>
      </c>
      <c r="D6" s="50">
        <f t="shared" si="0"/>
        <v>23408</v>
      </c>
      <c r="E6" s="50">
        <f t="shared" si="0"/>
        <v>38704</v>
      </c>
      <c r="F6" s="50">
        <f t="shared" si="0"/>
        <v>48553</v>
      </c>
      <c r="G6" s="50">
        <f t="shared" si="0"/>
        <v>45446</v>
      </c>
      <c r="H6" s="50">
        <f t="shared" si="0"/>
        <v>54461</v>
      </c>
      <c r="I6" s="50">
        <f t="shared" si="0"/>
        <v>47597</v>
      </c>
      <c r="J6" s="50">
        <f t="shared" si="0"/>
        <v>35260</v>
      </c>
      <c r="K6" s="50">
        <f t="shared" ref="K6" si="1">K4-K5</f>
        <v>40155</v>
      </c>
      <c r="L6" s="50">
        <f t="shared" si="0"/>
        <v>46379</v>
      </c>
    </row>
    <row r="7" spans="1:12" x14ac:dyDescent="0.2">
      <c r="A7" s="1" t="s">
        <v>5</v>
      </c>
      <c r="B7" s="49">
        <v>5519</v>
      </c>
      <c r="C7" s="49">
        <v>7847</v>
      </c>
      <c r="D7" s="49">
        <v>10528</v>
      </c>
      <c r="E7" s="49">
        <v>13573</v>
      </c>
      <c r="F7" s="49">
        <v>16587</v>
      </c>
      <c r="G7" s="49">
        <v>22293</v>
      </c>
      <c r="H7" s="49">
        <v>26076</v>
      </c>
      <c r="I7" s="49">
        <v>28405</v>
      </c>
      <c r="J7" s="49">
        <v>32564</v>
      </c>
      <c r="K7" s="49">
        <v>24881</v>
      </c>
      <c r="L7" s="49">
        <v>24989</v>
      </c>
    </row>
    <row r="8" spans="1:12" s="2" customFormat="1" x14ac:dyDescent="0.2">
      <c r="A8" s="2" t="s">
        <v>10</v>
      </c>
      <c r="B8" s="50">
        <f>B6-B7</f>
        <v>5978</v>
      </c>
      <c r="C8" s="50">
        <f t="shared" ref="C8:L8" si="2">C6-C7</f>
        <v>13513</v>
      </c>
      <c r="D8" s="50">
        <f t="shared" si="2"/>
        <v>12880</v>
      </c>
      <c r="E8" s="50">
        <f t="shared" si="2"/>
        <v>25131</v>
      </c>
      <c r="F8" s="50">
        <f t="shared" si="2"/>
        <v>31966</v>
      </c>
      <c r="G8" s="50">
        <f t="shared" si="2"/>
        <v>23153</v>
      </c>
      <c r="H8" s="50">
        <f t="shared" si="2"/>
        <v>28385</v>
      </c>
      <c r="I8" s="50">
        <f t="shared" si="2"/>
        <v>19192</v>
      </c>
      <c r="J8" s="50">
        <f t="shared" si="2"/>
        <v>2696</v>
      </c>
      <c r="K8" s="50">
        <f t="shared" ref="K8" si="3">K6-K7</f>
        <v>15274</v>
      </c>
      <c r="L8" s="50">
        <f t="shared" si="2"/>
        <v>21390</v>
      </c>
    </row>
    <row r="9" spans="1:12" x14ac:dyDescent="0.2">
      <c r="A9" s="1" t="s">
        <v>172</v>
      </c>
      <c r="B9" s="49">
        <v>102</v>
      </c>
      <c r="C9" s="49">
        <v>154</v>
      </c>
      <c r="D9" s="49">
        <v>286</v>
      </c>
      <c r="E9" s="49">
        <v>149</v>
      </c>
      <c r="F9" s="49">
        <v>241</v>
      </c>
      <c r="G9" s="49">
        <v>102</v>
      </c>
      <c r="H9" s="49">
        <v>117</v>
      </c>
      <c r="I9" s="49">
        <v>84</v>
      </c>
      <c r="J9" s="49">
        <v>148</v>
      </c>
      <c r="K9" s="49">
        <v>295</v>
      </c>
      <c r="L9" s="49">
        <v>637</v>
      </c>
    </row>
    <row r="10" spans="1:12" x14ac:dyDescent="0.2">
      <c r="A10" s="1" t="s">
        <v>8</v>
      </c>
      <c r="B10" s="49">
        <v>410</v>
      </c>
      <c r="C10" s="49">
        <v>405</v>
      </c>
      <c r="D10" s="49">
        <v>413</v>
      </c>
      <c r="E10" s="49">
        <v>178</v>
      </c>
      <c r="F10" s="49">
        <v>149</v>
      </c>
      <c r="G10" s="49">
        <v>405</v>
      </c>
      <c r="H10" s="49">
        <v>396</v>
      </c>
      <c r="I10" s="49">
        <v>519</v>
      </c>
      <c r="J10" s="49">
        <v>853</v>
      </c>
      <c r="K10" s="49">
        <v>496</v>
      </c>
      <c r="L10" s="49">
        <v>339</v>
      </c>
    </row>
    <row r="11" spans="1:12" x14ac:dyDescent="0.2">
      <c r="A11" s="1" t="s">
        <v>196</v>
      </c>
      <c r="B11" s="49"/>
      <c r="C11" s="49"/>
      <c r="D11" s="49"/>
      <c r="E11" s="49"/>
      <c r="F11" s="49"/>
      <c r="G11" s="49"/>
      <c r="H11" s="49">
        <v>46</v>
      </c>
      <c r="I11" s="49">
        <v>5</v>
      </c>
      <c r="J11" s="49">
        <v>6</v>
      </c>
      <c r="K11" s="49">
        <v>2</v>
      </c>
      <c r="L11" s="49">
        <v>0</v>
      </c>
    </row>
    <row r="12" spans="1:12" s="2" customFormat="1" x14ac:dyDescent="0.2">
      <c r="A12" s="2" t="s">
        <v>6</v>
      </c>
      <c r="B12" s="50">
        <f t="shared" ref="B12:G12" si="4">B8+B9-B10</f>
        <v>5670</v>
      </c>
      <c r="C12" s="50">
        <f t="shared" si="4"/>
        <v>13262</v>
      </c>
      <c r="D12" s="50">
        <f t="shared" si="4"/>
        <v>12753</v>
      </c>
      <c r="E12" s="50">
        <f t="shared" si="4"/>
        <v>25102</v>
      </c>
      <c r="F12" s="50">
        <f t="shared" si="4"/>
        <v>32058</v>
      </c>
      <c r="G12" s="50">
        <f t="shared" si="4"/>
        <v>22850</v>
      </c>
      <c r="H12" s="50">
        <f t="shared" ref="H12:L12" si="5">H8+H9-H10-H11</f>
        <v>28060</v>
      </c>
      <c r="I12" s="50">
        <f t="shared" si="5"/>
        <v>18752</v>
      </c>
      <c r="J12" s="50">
        <f t="shared" ref="J12:K12" si="6">J8+J9-J10+J11</f>
        <v>1997</v>
      </c>
      <c r="K12" s="50">
        <f t="shared" si="6"/>
        <v>15075</v>
      </c>
      <c r="L12" s="50">
        <f t="shared" si="5"/>
        <v>21688</v>
      </c>
    </row>
    <row r="13" spans="1:12" x14ac:dyDescent="0.2">
      <c r="A13" s="1" t="s">
        <v>9</v>
      </c>
      <c r="B13" s="49">
        <v>1768</v>
      </c>
      <c r="C13" s="49">
        <v>4179</v>
      </c>
      <c r="D13" s="49">
        <v>3949</v>
      </c>
      <c r="E13" s="49">
        <v>6813</v>
      </c>
      <c r="F13" s="49">
        <v>9760</v>
      </c>
      <c r="G13" s="49">
        <v>6750</v>
      </c>
      <c r="H13" s="49">
        <v>7760</v>
      </c>
      <c r="I13" s="49">
        <v>4604</v>
      </c>
      <c r="J13" s="49">
        <v>1280</v>
      </c>
      <c r="K13" s="49">
        <v>3934</v>
      </c>
      <c r="L13" s="49">
        <v>5481</v>
      </c>
    </row>
    <row r="14" spans="1:12" s="2" customFormat="1" x14ac:dyDescent="0.2">
      <c r="A14" s="2" t="s">
        <v>7</v>
      </c>
      <c r="B14" s="50">
        <f>B12-B13</f>
        <v>3902</v>
      </c>
      <c r="C14" s="50">
        <f t="shared" ref="C14" si="7">C12-C13</f>
        <v>9083</v>
      </c>
      <c r="D14" s="50">
        <f t="shared" ref="D14" si="8">D12-D13</f>
        <v>8804</v>
      </c>
      <c r="E14" s="50">
        <f t="shared" ref="E14" si="9">E12-E13</f>
        <v>18289</v>
      </c>
      <c r="F14" s="50">
        <f t="shared" ref="F14:L14" si="10">F12-F13</f>
        <v>22298</v>
      </c>
      <c r="G14" s="50">
        <f t="shared" si="10"/>
        <v>16100</v>
      </c>
      <c r="H14" s="50">
        <f t="shared" si="10"/>
        <v>20300</v>
      </c>
      <c r="I14" s="50">
        <f t="shared" si="10"/>
        <v>14148</v>
      </c>
      <c r="J14" s="50">
        <f t="shared" si="10"/>
        <v>717</v>
      </c>
      <c r="K14" s="50">
        <f t="shared" ref="K14" si="11">K12-K13</f>
        <v>11141</v>
      </c>
      <c r="L14" s="50">
        <f t="shared" si="10"/>
        <v>16207</v>
      </c>
    </row>
    <row r="17" spans="1:12" x14ac:dyDescent="0.2">
      <c r="A17" s="1" t="s">
        <v>155</v>
      </c>
      <c r="B17" s="7">
        <v>1011</v>
      </c>
      <c r="C17" s="7">
        <v>2280</v>
      </c>
      <c r="D17" s="7"/>
      <c r="E17" s="7"/>
      <c r="F17" s="7"/>
      <c r="G17" s="7"/>
      <c r="H17" s="7"/>
      <c r="I17" s="7"/>
      <c r="J17" s="7"/>
      <c r="K17" s="7"/>
      <c r="L17" s="7"/>
    </row>
    <row r="18" spans="1:12" x14ac:dyDescent="0.2">
      <c r="A18" s="1" t="s">
        <v>145</v>
      </c>
      <c r="D18" s="1">
        <v>2194</v>
      </c>
      <c r="E18" s="1">
        <v>4466</v>
      </c>
      <c r="F18" s="1">
        <v>5311</v>
      </c>
      <c r="G18" s="1">
        <v>3802</v>
      </c>
      <c r="H18" s="1">
        <v>4808</v>
      </c>
      <c r="I18" s="1">
        <v>3432</v>
      </c>
      <c r="J18" s="1">
        <v>1182</v>
      </c>
      <c r="K18" s="1">
        <v>2730</v>
      </c>
      <c r="L18" s="1">
        <v>3047</v>
      </c>
    </row>
    <row r="19" spans="1:12" x14ac:dyDescent="0.2">
      <c r="A19" s="1" t="s">
        <v>146</v>
      </c>
      <c r="B19" s="1">
        <v>995</v>
      </c>
      <c r="C19" s="1">
        <v>2254</v>
      </c>
      <c r="D19" s="1">
        <v>2182</v>
      </c>
      <c r="E19" s="1">
        <v>4452</v>
      </c>
      <c r="F19" s="1">
        <v>5297</v>
      </c>
      <c r="G19" s="1">
        <v>3795</v>
      </c>
      <c r="H19" s="1">
        <v>4802</v>
      </c>
      <c r="I19" s="1">
        <v>3426</v>
      </c>
      <c r="J19" s="1">
        <v>1182</v>
      </c>
      <c r="K19" s="1">
        <v>2716</v>
      </c>
      <c r="L19" s="1">
        <v>3026</v>
      </c>
    </row>
    <row r="21" spans="1:12" x14ac:dyDescent="0.2">
      <c r="A21" s="1" t="s">
        <v>189</v>
      </c>
      <c r="B21" s="1">
        <v>350</v>
      </c>
      <c r="C21" s="1">
        <v>800</v>
      </c>
    </row>
    <row r="22" spans="1:12" x14ac:dyDescent="0.2">
      <c r="A22" s="1" t="s">
        <v>190</v>
      </c>
      <c r="B22" s="1">
        <v>400</v>
      </c>
      <c r="C22" s="1">
        <v>1300</v>
      </c>
    </row>
  </sheetData>
  <mergeCells count="1">
    <mergeCell ref="A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Data</vt:lpstr>
      <vt:lpstr>Company Overview</vt:lpstr>
      <vt:lpstr>Summary Performance</vt:lpstr>
      <vt:lpstr>Financial Analsysis</vt:lpstr>
      <vt:lpstr>Income Statement Analysis</vt:lpstr>
      <vt:lpstr>Balance Sheet Analysis</vt:lpstr>
      <vt:lpstr>Cashflow Analysis</vt:lpstr>
      <vt:lpstr>Operations Analysis</vt:lpstr>
      <vt:lpstr>Income Statement</vt:lpstr>
      <vt:lpstr>Balance Sheet</vt:lpstr>
      <vt:lpstr>Cashflow Statement</vt:lpstr>
      <vt:lpstr>'Company Overview'!Print_Area</vt:lpstr>
      <vt:lpstr>'Financial Analsysis'!Print_Area</vt:lpstr>
      <vt:lpstr>Rating</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pramashala001</dc:creator>
  <cp:lastModifiedBy>Palesa Ramashala</cp:lastModifiedBy>
  <cp:lastPrinted>2017-12-23T16:52:11Z</cp:lastPrinted>
  <dcterms:created xsi:type="dcterms:W3CDTF">2009-01-23T10:19:39Z</dcterms:created>
  <dcterms:modified xsi:type="dcterms:W3CDTF">2019-08-18T20:24:38Z</dcterms:modified>
</cp:coreProperties>
</file>