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pales\OneDrive\Documents\04 PhD Programme\06 Analysis\02 Results\"/>
    </mc:Choice>
  </mc:AlternateContent>
  <bookViews>
    <workbookView xWindow="120" yWindow="60" windowWidth="15255" windowHeight="8160" tabRatio="880" firstSheet="1" activeTab="1"/>
  </bookViews>
  <sheets>
    <sheet name="Data" sheetId="16" state="hidden" r:id="rId1"/>
    <sheet name="Company Overview" sheetId="24" r:id="rId2"/>
    <sheet name="Summary Performance" sheetId="23" r:id="rId3"/>
    <sheet name="Financial Analsysis" sheetId="9" r:id="rId4"/>
    <sheet name="Income Statement Analysis" sheetId="4" r:id="rId5"/>
    <sheet name="Balance Sheet Analysis" sheetId="5" r:id="rId6"/>
    <sheet name="Cashflow Analysis" sheetId="7" r:id="rId7"/>
    <sheet name="Operations Analysis" sheetId="8" state="hidden" r:id="rId8"/>
    <sheet name="Income Statement" sheetId="1" r:id="rId9"/>
    <sheet name="Balance Sheet" sheetId="2" r:id="rId10"/>
    <sheet name="Cashflow Statement" sheetId="3" r:id="rId11"/>
  </sheets>
  <definedNames>
    <definedName name="_xlnm.Print_Area" localSheetId="1">'Company Overview'!$A$1:$A$42</definedName>
    <definedName name="_xlnm.Print_Area" localSheetId="3">'Financial Analsysis'!$A$1:$V$53</definedName>
    <definedName name="Rating">Data!$A$4:$A$8</definedName>
  </definedNames>
  <calcPr calcId="152511"/>
</workbook>
</file>

<file path=xl/calcChain.xml><?xml version="1.0" encoding="utf-8"?>
<calcChain xmlns="http://schemas.openxmlformats.org/spreadsheetml/2006/main">
  <c r="N67" i="5" l="1"/>
  <c r="N65" i="5"/>
  <c r="A62" i="5"/>
  <c r="N37" i="4"/>
  <c r="N4" i="4"/>
  <c r="C37" i="4"/>
  <c r="D37" i="4"/>
  <c r="E37" i="4"/>
  <c r="F37" i="4"/>
  <c r="G37" i="4"/>
  <c r="H37" i="4"/>
  <c r="I37" i="4"/>
  <c r="J37" i="4"/>
  <c r="K37" i="4"/>
  <c r="L37" i="4"/>
  <c r="C36" i="4"/>
  <c r="D36" i="4"/>
  <c r="E36" i="4"/>
  <c r="F36" i="4"/>
  <c r="G36" i="4"/>
  <c r="H36" i="4"/>
  <c r="I36" i="4"/>
  <c r="J36" i="4"/>
  <c r="K36" i="4"/>
  <c r="L36" i="4"/>
  <c r="N36" i="4"/>
  <c r="A36" i="4"/>
  <c r="C35" i="4"/>
  <c r="D35" i="4"/>
  <c r="E35" i="4"/>
  <c r="F35" i="4"/>
  <c r="G35" i="4"/>
  <c r="H35" i="4"/>
  <c r="I35" i="4"/>
  <c r="J35" i="4"/>
  <c r="K35" i="4"/>
  <c r="L35" i="4"/>
  <c r="A35" i="4"/>
  <c r="B33" i="4"/>
  <c r="C33" i="4"/>
  <c r="D33" i="4"/>
  <c r="E33" i="4"/>
  <c r="F33" i="4"/>
  <c r="G33" i="4"/>
  <c r="H33" i="4"/>
  <c r="I33" i="4"/>
  <c r="J33" i="4"/>
  <c r="K33" i="4"/>
  <c r="L33" i="4"/>
  <c r="N33" i="4"/>
  <c r="B34" i="4"/>
  <c r="C34" i="4"/>
  <c r="D34" i="4"/>
  <c r="E34" i="4"/>
  <c r="F34" i="4"/>
  <c r="G34" i="4"/>
  <c r="H34" i="4"/>
  <c r="I34" i="4"/>
  <c r="J34" i="4"/>
  <c r="K34" i="4"/>
  <c r="L34" i="4"/>
  <c r="N34" i="4"/>
  <c r="A34" i="4"/>
  <c r="A33" i="4"/>
  <c r="N7" i="5" l="1"/>
  <c r="N11" i="5"/>
  <c r="N12" i="5"/>
  <c r="N40" i="5"/>
  <c r="N41" i="5"/>
  <c r="N51" i="5"/>
  <c r="N52" i="5"/>
  <c r="N7" i="4"/>
  <c r="N8" i="4"/>
  <c r="N10" i="4"/>
  <c r="N11" i="4"/>
  <c r="N12" i="4"/>
  <c r="N13" i="4"/>
  <c r="N14" i="4"/>
  <c r="N18" i="4"/>
  <c r="N19" i="4"/>
  <c r="N20" i="4"/>
  <c r="N21" i="4"/>
  <c r="N22" i="4"/>
  <c r="N23" i="4"/>
  <c r="N24" i="4"/>
  <c r="N25" i="4"/>
  <c r="N26" i="4"/>
  <c r="N9" i="4"/>
  <c r="N6" i="7"/>
  <c r="N7" i="7"/>
  <c r="N8" i="7"/>
  <c r="N9" i="7"/>
  <c r="N10" i="7"/>
  <c r="N11" i="7"/>
  <c r="N12" i="7"/>
  <c r="N16" i="7"/>
  <c r="N17" i="7"/>
  <c r="N22" i="7"/>
  <c r="N25" i="7"/>
  <c r="N26" i="7"/>
  <c r="N32" i="7"/>
  <c r="N34" i="7"/>
  <c r="N37" i="7"/>
  <c r="N39" i="7"/>
  <c r="N5" i="7"/>
  <c r="A6" i="7"/>
  <c r="B6" i="7"/>
  <c r="C6" i="7"/>
  <c r="D6" i="7"/>
  <c r="E6" i="7"/>
  <c r="F6" i="7"/>
  <c r="G6" i="7"/>
  <c r="H6" i="7"/>
  <c r="I6" i="7"/>
  <c r="J6" i="7"/>
  <c r="K6" i="7"/>
  <c r="L6" i="7"/>
  <c r="A7" i="7"/>
  <c r="B7" i="7"/>
  <c r="C7" i="7"/>
  <c r="D7" i="7"/>
  <c r="E7" i="7"/>
  <c r="F7" i="7"/>
  <c r="G7" i="7"/>
  <c r="H7" i="7"/>
  <c r="I7" i="7"/>
  <c r="J7" i="7"/>
  <c r="K7" i="7"/>
  <c r="L7" i="7"/>
  <c r="A8" i="7"/>
  <c r="B8" i="7"/>
  <c r="C8" i="7"/>
  <c r="D8" i="7"/>
  <c r="E8" i="7"/>
  <c r="F8" i="7"/>
  <c r="G8" i="7"/>
  <c r="H8" i="7"/>
  <c r="I8" i="7"/>
  <c r="J8" i="7"/>
  <c r="K8" i="7"/>
  <c r="L8" i="7"/>
  <c r="A9" i="7"/>
  <c r="B9" i="7"/>
  <c r="C9" i="7"/>
  <c r="D9" i="7"/>
  <c r="E9" i="7"/>
  <c r="F9" i="7"/>
  <c r="G9" i="7"/>
  <c r="H9" i="7"/>
  <c r="I9" i="7"/>
  <c r="J9" i="7"/>
  <c r="K9" i="7"/>
  <c r="L9" i="7"/>
  <c r="A10" i="7"/>
  <c r="B10" i="7"/>
  <c r="C10" i="7"/>
  <c r="D10" i="7"/>
  <c r="E10" i="7"/>
  <c r="F10" i="7"/>
  <c r="G10" i="7"/>
  <c r="H10" i="7"/>
  <c r="I10" i="7"/>
  <c r="J10" i="7"/>
  <c r="K10" i="7"/>
  <c r="L10" i="7"/>
  <c r="A11" i="7"/>
  <c r="B11" i="7"/>
  <c r="C11" i="7"/>
  <c r="D11" i="7"/>
  <c r="E11" i="7"/>
  <c r="F11" i="7"/>
  <c r="G11" i="7"/>
  <c r="H11" i="7"/>
  <c r="I11" i="7"/>
  <c r="J11" i="7"/>
  <c r="K11" i="7"/>
  <c r="L11" i="7"/>
  <c r="A12" i="7"/>
  <c r="B12" i="7"/>
  <c r="C12" i="7"/>
  <c r="D12" i="7"/>
  <c r="E12" i="7"/>
  <c r="F12" i="7"/>
  <c r="G12" i="7"/>
  <c r="H12" i="7"/>
  <c r="I12" i="7"/>
  <c r="J12" i="7"/>
  <c r="K12" i="7"/>
  <c r="L12" i="7"/>
  <c r="F11" i="1"/>
  <c r="F9" i="1"/>
  <c r="E11" i="1"/>
  <c r="E9" i="1"/>
  <c r="H11" i="1"/>
  <c r="G11" i="1"/>
  <c r="H9" i="1"/>
  <c r="G9" i="1"/>
  <c r="G9" i="4" s="1"/>
  <c r="J11" i="1"/>
  <c r="I11" i="1"/>
  <c r="J9" i="1"/>
  <c r="I9" i="1"/>
  <c r="A44" i="5"/>
  <c r="B44" i="5"/>
  <c r="C44" i="5"/>
  <c r="D44" i="5"/>
  <c r="E44" i="5"/>
  <c r="F44" i="5"/>
  <c r="G44" i="5"/>
  <c r="H44" i="5"/>
  <c r="I44" i="5"/>
  <c r="J44" i="5"/>
  <c r="K44" i="5"/>
  <c r="L44" i="5"/>
  <c r="N44" i="5" s="1"/>
  <c r="A20" i="4"/>
  <c r="B20" i="4"/>
  <c r="C20" i="4"/>
  <c r="D20" i="4"/>
  <c r="K20" i="4"/>
  <c r="L20" i="4"/>
  <c r="A21" i="4"/>
  <c r="B21" i="4"/>
  <c r="C21" i="4"/>
  <c r="D21" i="4"/>
  <c r="K21" i="4"/>
  <c r="L21" i="4"/>
  <c r="A8" i="4"/>
  <c r="B8" i="4"/>
  <c r="C8" i="4"/>
  <c r="D8" i="4"/>
  <c r="E8" i="4"/>
  <c r="F8" i="4"/>
  <c r="G8" i="4"/>
  <c r="H8" i="4"/>
  <c r="I8" i="4"/>
  <c r="J8" i="4"/>
  <c r="K8" i="4"/>
  <c r="L8" i="4"/>
  <c r="A9" i="4"/>
  <c r="B9" i="4"/>
  <c r="C9" i="4"/>
  <c r="D9" i="4"/>
  <c r="E9" i="4"/>
  <c r="F9" i="4"/>
  <c r="H9" i="4"/>
  <c r="I9" i="4"/>
  <c r="J9" i="4"/>
  <c r="K9" i="4"/>
  <c r="L9" i="4"/>
  <c r="C46" i="2"/>
  <c r="D46" i="2"/>
  <c r="E46" i="2"/>
  <c r="F46" i="2"/>
  <c r="G46" i="2"/>
  <c r="H46" i="2"/>
  <c r="I46" i="2"/>
  <c r="J46" i="2"/>
  <c r="K46" i="2"/>
  <c r="L46" i="2"/>
  <c r="D10" i="1"/>
  <c r="I10" i="1"/>
  <c r="K10" i="1"/>
  <c r="L10" i="1"/>
  <c r="D6" i="1"/>
  <c r="E6" i="1"/>
  <c r="E10" i="1" s="1"/>
  <c r="F6" i="1"/>
  <c r="F10" i="1" s="1"/>
  <c r="G6" i="1"/>
  <c r="H6" i="1"/>
  <c r="H10" i="1" s="1"/>
  <c r="I6" i="1"/>
  <c r="J6" i="1"/>
  <c r="J10" i="1" s="1"/>
  <c r="K6" i="1"/>
  <c r="L6" i="1"/>
  <c r="L9" i="1"/>
  <c r="L11" i="1"/>
  <c r="K11" i="1"/>
  <c r="K9" i="1"/>
  <c r="D9" i="1"/>
  <c r="C9" i="1"/>
  <c r="C10" i="1" s="1"/>
  <c r="A49" i="5"/>
  <c r="B49" i="5"/>
  <c r="C49" i="5"/>
  <c r="D49" i="5"/>
  <c r="E49" i="5"/>
  <c r="F49" i="5"/>
  <c r="G49" i="5"/>
  <c r="H49" i="5"/>
  <c r="I49" i="5"/>
  <c r="J49" i="5"/>
  <c r="K49" i="5"/>
  <c r="L49" i="5"/>
  <c r="N49" i="5" s="1"/>
  <c r="A50" i="5"/>
  <c r="B50" i="5"/>
  <c r="C50" i="5"/>
  <c r="D50" i="5"/>
  <c r="E50" i="5"/>
  <c r="F50" i="5"/>
  <c r="G50" i="5"/>
  <c r="H50" i="5"/>
  <c r="I50" i="5"/>
  <c r="J50" i="5"/>
  <c r="K50" i="5"/>
  <c r="L50" i="5"/>
  <c r="N50" i="5" s="1"/>
  <c r="A51" i="5"/>
  <c r="B51" i="5"/>
  <c r="C51" i="5"/>
  <c r="D51" i="5"/>
  <c r="E51" i="5"/>
  <c r="F51" i="5"/>
  <c r="G51" i="5"/>
  <c r="H51" i="5"/>
  <c r="I51" i="5"/>
  <c r="J51" i="5"/>
  <c r="K51" i="5"/>
  <c r="L51" i="5"/>
  <c r="A52" i="5"/>
  <c r="B52" i="5"/>
  <c r="C52" i="5"/>
  <c r="D52" i="5"/>
  <c r="E52" i="5"/>
  <c r="F52" i="5"/>
  <c r="G52" i="5"/>
  <c r="H52" i="5"/>
  <c r="I52" i="5"/>
  <c r="J52" i="5"/>
  <c r="K52" i="5"/>
  <c r="L52" i="5"/>
  <c r="A53" i="5"/>
  <c r="B53" i="5"/>
  <c r="C53" i="5"/>
  <c r="D53" i="5"/>
  <c r="E53" i="5"/>
  <c r="F53" i="5"/>
  <c r="G53" i="5"/>
  <c r="H53" i="5"/>
  <c r="I53" i="5"/>
  <c r="J53" i="5"/>
  <c r="K53" i="5"/>
  <c r="L53" i="5"/>
  <c r="N53" i="5" s="1"/>
  <c r="A54" i="5"/>
  <c r="B54" i="5"/>
  <c r="C54" i="5"/>
  <c r="D54" i="5"/>
  <c r="E54" i="5"/>
  <c r="F54" i="5"/>
  <c r="N54" i="5" s="1"/>
  <c r="G54" i="5"/>
  <c r="H54" i="5"/>
  <c r="I54" i="5"/>
  <c r="J54" i="5"/>
  <c r="K54" i="5"/>
  <c r="L54" i="5"/>
  <c r="A40" i="5"/>
  <c r="B40" i="5"/>
  <c r="C40" i="5"/>
  <c r="D40" i="5"/>
  <c r="E40" i="5"/>
  <c r="F40" i="5"/>
  <c r="G40" i="5"/>
  <c r="H40" i="5"/>
  <c r="I40" i="5"/>
  <c r="J40" i="5"/>
  <c r="K40" i="5"/>
  <c r="L40" i="5"/>
  <c r="A41" i="5"/>
  <c r="B41" i="5"/>
  <c r="C41" i="5"/>
  <c r="D41" i="5"/>
  <c r="E41" i="5"/>
  <c r="F41" i="5"/>
  <c r="G41" i="5"/>
  <c r="H41" i="5"/>
  <c r="I41" i="5"/>
  <c r="J41" i="5"/>
  <c r="K41" i="5"/>
  <c r="L41" i="5"/>
  <c r="A42" i="5"/>
  <c r="B42" i="5"/>
  <c r="C42" i="5"/>
  <c r="D42" i="5"/>
  <c r="E42" i="5"/>
  <c r="F42" i="5"/>
  <c r="G42" i="5"/>
  <c r="H42" i="5"/>
  <c r="I42" i="5"/>
  <c r="J42" i="5"/>
  <c r="K42" i="5"/>
  <c r="L42" i="5"/>
  <c r="N42" i="5" s="1"/>
  <c r="A43" i="5"/>
  <c r="B43" i="5"/>
  <c r="C43" i="5"/>
  <c r="D43" i="5"/>
  <c r="E43" i="5"/>
  <c r="F43" i="5"/>
  <c r="G43" i="5"/>
  <c r="H43" i="5"/>
  <c r="I43" i="5"/>
  <c r="J43" i="5"/>
  <c r="K43" i="5"/>
  <c r="L43" i="5"/>
  <c r="N43" i="5" s="1"/>
  <c r="A7" i="5"/>
  <c r="B7" i="5"/>
  <c r="C7" i="5"/>
  <c r="D7" i="5"/>
  <c r="E7" i="5"/>
  <c r="F7" i="5"/>
  <c r="G7" i="5"/>
  <c r="H7" i="5"/>
  <c r="I7" i="5"/>
  <c r="J7" i="5"/>
  <c r="K7" i="5"/>
  <c r="L7" i="5"/>
  <c r="A8" i="5"/>
  <c r="B8" i="5"/>
  <c r="C8" i="5"/>
  <c r="D8" i="5"/>
  <c r="E8" i="5"/>
  <c r="F8" i="5"/>
  <c r="G8" i="5"/>
  <c r="H8" i="5"/>
  <c r="I8" i="5"/>
  <c r="J8" i="5"/>
  <c r="K8" i="5"/>
  <c r="L8" i="5"/>
  <c r="N8" i="5" s="1"/>
  <c r="A9" i="5"/>
  <c r="B9" i="5"/>
  <c r="C9" i="5"/>
  <c r="D9" i="5"/>
  <c r="E9" i="5"/>
  <c r="F9" i="5"/>
  <c r="G9" i="5"/>
  <c r="H9" i="5"/>
  <c r="I9" i="5"/>
  <c r="J9" i="5"/>
  <c r="K9" i="5"/>
  <c r="L9" i="5"/>
  <c r="A10" i="5"/>
  <c r="B10" i="5"/>
  <c r="C10" i="5"/>
  <c r="D10" i="5"/>
  <c r="E10" i="5"/>
  <c r="F10" i="5"/>
  <c r="G10" i="5"/>
  <c r="H10" i="5"/>
  <c r="I10" i="5"/>
  <c r="J10" i="5"/>
  <c r="K10" i="5"/>
  <c r="L10" i="5"/>
  <c r="N10" i="5" s="1"/>
  <c r="A11" i="5"/>
  <c r="B11" i="5"/>
  <c r="C11" i="5"/>
  <c r="D11" i="5"/>
  <c r="E11" i="5"/>
  <c r="F11" i="5"/>
  <c r="G11" i="5"/>
  <c r="H11" i="5"/>
  <c r="I11" i="5"/>
  <c r="J11" i="5"/>
  <c r="K11" i="5"/>
  <c r="L11" i="5"/>
  <c r="A12" i="5"/>
  <c r="B12" i="5"/>
  <c r="C12" i="5"/>
  <c r="D12" i="5"/>
  <c r="E12" i="5"/>
  <c r="F12" i="5"/>
  <c r="G12" i="5"/>
  <c r="H12" i="5"/>
  <c r="I12" i="5"/>
  <c r="J12" i="5"/>
  <c r="K12" i="5"/>
  <c r="L12" i="5"/>
  <c r="A13" i="5"/>
  <c r="B13" i="5"/>
  <c r="C13" i="5"/>
  <c r="D13" i="5"/>
  <c r="E13" i="5"/>
  <c r="F13" i="5"/>
  <c r="G13" i="5"/>
  <c r="H13" i="5"/>
  <c r="I13" i="5"/>
  <c r="J13" i="5"/>
  <c r="K13" i="5"/>
  <c r="L13" i="5"/>
  <c r="N13" i="5" s="1"/>
  <c r="D11" i="1"/>
  <c r="C11" i="1"/>
  <c r="G10" i="1" l="1"/>
  <c r="A30" i="4"/>
  <c r="B30" i="4"/>
  <c r="C30" i="4"/>
  <c r="D30" i="4"/>
  <c r="E30" i="4"/>
  <c r="F30" i="4"/>
  <c r="G30" i="4"/>
  <c r="H30" i="4"/>
  <c r="I30" i="4"/>
  <c r="J30" i="4"/>
  <c r="K30" i="4"/>
  <c r="L30" i="4"/>
  <c r="B29" i="4"/>
  <c r="C29" i="4"/>
  <c r="D29" i="4"/>
  <c r="E29" i="4"/>
  <c r="F29" i="4"/>
  <c r="G29" i="4"/>
  <c r="H29" i="4"/>
  <c r="I29" i="4"/>
  <c r="J29" i="4"/>
  <c r="K29" i="4"/>
  <c r="L29" i="4"/>
  <c r="A29" i="4"/>
  <c r="A5" i="7"/>
  <c r="B5" i="7"/>
  <c r="C5" i="7"/>
  <c r="D5" i="7"/>
  <c r="E5" i="7"/>
  <c r="F5" i="7"/>
  <c r="G5" i="7"/>
  <c r="H5" i="7"/>
  <c r="I5" i="7"/>
  <c r="J5" i="7"/>
  <c r="K5" i="7"/>
  <c r="L5" i="7"/>
  <c r="A13" i="7"/>
  <c r="B13" i="7"/>
  <c r="A15" i="7"/>
  <c r="A16" i="7"/>
  <c r="B16" i="7"/>
  <c r="C16" i="7"/>
  <c r="D16" i="7"/>
  <c r="E16" i="7"/>
  <c r="F16" i="7"/>
  <c r="G16" i="7"/>
  <c r="H16" i="7"/>
  <c r="I16" i="7"/>
  <c r="J16" i="7"/>
  <c r="K16" i="7"/>
  <c r="L16" i="7"/>
  <c r="A17" i="7"/>
  <c r="B17" i="7"/>
  <c r="C17" i="7"/>
  <c r="D17" i="7"/>
  <c r="E17" i="7"/>
  <c r="F17" i="7"/>
  <c r="G17" i="7"/>
  <c r="H17" i="7"/>
  <c r="I17" i="7"/>
  <c r="J17" i="7"/>
  <c r="K17" i="7"/>
  <c r="L17" i="7"/>
  <c r="A22" i="7"/>
  <c r="B22" i="7"/>
  <c r="A24" i="7"/>
  <c r="A25" i="7"/>
  <c r="B25" i="7"/>
  <c r="C25" i="7"/>
  <c r="D25" i="7"/>
  <c r="E25" i="7"/>
  <c r="F25" i="7"/>
  <c r="G25" i="7"/>
  <c r="H25" i="7"/>
  <c r="I25" i="7"/>
  <c r="J25" i="7"/>
  <c r="K25" i="7"/>
  <c r="L25" i="7"/>
  <c r="A26" i="7"/>
  <c r="B26" i="7"/>
  <c r="C26" i="7"/>
  <c r="D26" i="7"/>
  <c r="E26" i="7"/>
  <c r="F26" i="7"/>
  <c r="G26" i="7"/>
  <c r="H26" i="7"/>
  <c r="I26" i="7"/>
  <c r="J26" i="7"/>
  <c r="K26" i="7"/>
  <c r="L26" i="7"/>
  <c r="A32" i="7"/>
  <c r="B32" i="7"/>
  <c r="A34" i="7"/>
  <c r="B34" i="7"/>
  <c r="A37" i="7"/>
  <c r="B37" i="7"/>
  <c r="C37" i="7"/>
  <c r="D37" i="7"/>
  <c r="E37" i="7"/>
  <c r="F37" i="7"/>
  <c r="G37" i="7"/>
  <c r="H37" i="7"/>
  <c r="I37" i="7"/>
  <c r="J37" i="7"/>
  <c r="K37" i="7"/>
  <c r="L37" i="7"/>
  <c r="A39" i="7"/>
  <c r="B39" i="7"/>
  <c r="N29" i="4" l="1"/>
  <c r="N30" i="4"/>
  <c r="A30" i="5"/>
  <c r="A31" i="5"/>
  <c r="A32" i="5"/>
  <c r="A5" i="5"/>
  <c r="A6" i="5"/>
  <c r="B6" i="5"/>
  <c r="C6" i="5"/>
  <c r="D6" i="5"/>
  <c r="E6" i="5"/>
  <c r="F6" i="5"/>
  <c r="G6" i="5"/>
  <c r="H6" i="5"/>
  <c r="I6" i="5"/>
  <c r="J6" i="5"/>
  <c r="K6" i="5"/>
  <c r="L6" i="5"/>
  <c r="N6" i="5" s="1"/>
  <c r="A14" i="5"/>
  <c r="A16" i="5"/>
  <c r="B16" i="5"/>
  <c r="A17" i="5"/>
  <c r="B17" i="5"/>
  <c r="C17" i="5"/>
  <c r="D17" i="5"/>
  <c r="E17" i="5"/>
  <c r="F17" i="5"/>
  <c r="G17" i="5"/>
  <c r="H17" i="5"/>
  <c r="I17" i="5"/>
  <c r="J17" i="5"/>
  <c r="K17" i="5"/>
  <c r="L17" i="5"/>
  <c r="A18" i="5"/>
  <c r="B18" i="5"/>
  <c r="C18" i="5"/>
  <c r="D18" i="5"/>
  <c r="E18" i="5"/>
  <c r="F18" i="5"/>
  <c r="G18" i="5"/>
  <c r="H18" i="5"/>
  <c r="I18" i="5"/>
  <c r="J18" i="5"/>
  <c r="K18" i="5"/>
  <c r="L18" i="5"/>
  <c r="A19" i="5"/>
  <c r="B19" i="5"/>
  <c r="C19" i="5"/>
  <c r="D19" i="5"/>
  <c r="E19" i="5"/>
  <c r="F19" i="5"/>
  <c r="G19" i="5"/>
  <c r="H19" i="5"/>
  <c r="I19" i="5"/>
  <c r="J19" i="5"/>
  <c r="K19" i="5"/>
  <c r="L19" i="5"/>
  <c r="A20" i="5"/>
  <c r="B20" i="5"/>
  <c r="C20" i="5"/>
  <c r="D20" i="5"/>
  <c r="E20" i="5"/>
  <c r="F20" i="5"/>
  <c r="G20" i="5"/>
  <c r="H20" i="5"/>
  <c r="I20" i="5"/>
  <c r="J20" i="5"/>
  <c r="K20" i="5"/>
  <c r="L20" i="5"/>
  <c r="A21" i="5"/>
  <c r="B21" i="5"/>
  <c r="C21" i="5"/>
  <c r="D21" i="5"/>
  <c r="E21" i="5"/>
  <c r="F21" i="5"/>
  <c r="G21" i="5"/>
  <c r="H21" i="5"/>
  <c r="I21" i="5"/>
  <c r="J21" i="5"/>
  <c r="K21" i="5"/>
  <c r="L21" i="5"/>
  <c r="A23" i="5"/>
  <c r="B23" i="5"/>
  <c r="C23" i="5"/>
  <c r="D23" i="5"/>
  <c r="E23" i="5"/>
  <c r="F23" i="5"/>
  <c r="G23" i="5"/>
  <c r="H23" i="5"/>
  <c r="I23" i="5"/>
  <c r="J23" i="5"/>
  <c r="K23" i="5"/>
  <c r="L23" i="5"/>
  <c r="A24" i="5"/>
  <c r="A26" i="5"/>
  <c r="A63" i="5" s="1"/>
  <c r="A28" i="5"/>
  <c r="B28" i="5"/>
  <c r="B30" i="5"/>
  <c r="B31" i="5"/>
  <c r="C31" i="5"/>
  <c r="D31" i="5"/>
  <c r="E31" i="5"/>
  <c r="F31" i="5"/>
  <c r="G31" i="5"/>
  <c r="H31" i="5"/>
  <c r="I31" i="5"/>
  <c r="J31" i="5"/>
  <c r="K31" i="5"/>
  <c r="L31" i="5"/>
  <c r="B32" i="5"/>
  <c r="C32" i="5"/>
  <c r="D32" i="5"/>
  <c r="E32" i="5"/>
  <c r="F32" i="5"/>
  <c r="G32" i="5"/>
  <c r="H32" i="5"/>
  <c r="I32" i="5"/>
  <c r="J32" i="5"/>
  <c r="K32" i="5"/>
  <c r="L32" i="5"/>
  <c r="N32" i="5" s="1"/>
  <c r="A36" i="5"/>
  <c r="A64" i="5" s="1"/>
  <c r="A38" i="5"/>
  <c r="A39" i="5"/>
  <c r="B39" i="5"/>
  <c r="C39" i="5"/>
  <c r="D39" i="5"/>
  <c r="E39" i="5"/>
  <c r="F39" i="5"/>
  <c r="G39" i="5"/>
  <c r="H39" i="5"/>
  <c r="I39" i="5"/>
  <c r="J39" i="5"/>
  <c r="K39" i="5"/>
  <c r="L39" i="5"/>
  <c r="N39" i="5" s="1"/>
  <c r="A45" i="5"/>
  <c r="E45" i="5"/>
  <c r="F45" i="5"/>
  <c r="G45" i="5"/>
  <c r="H45" i="5"/>
  <c r="I45" i="5"/>
  <c r="J45" i="5"/>
  <c r="A47" i="5"/>
  <c r="A48" i="5"/>
  <c r="B48" i="5"/>
  <c r="C48" i="5"/>
  <c r="D48" i="5"/>
  <c r="E48" i="5"/>
  <c r="F48" i="5"/>
  <c r="G48" i="5"/>
  <c r="H48" i="5"/>
  <c r="I48" i="5"/>
  <c r="J48" i="5"/>
  <c r="K48" i="5"/>
  <c r="L48" i="5"/>
  <c r="N48" i="5" s="1"/>
  <c r="A55" i="5"/>
  <c r="B55" i="5"/>
  <c r="A57" i="5"/>
  <c r="A65" i="5" s="1"/>
  <c r="A59" i="5"/>
  <c r="L45" i="5"/>
  <c r="N45" i="5" s="1"/>
  <c r="C56" i="2"/>
  <c r="C55" i="5" s="1"/>
  <c r="D56" i="2"/>
  <c r="D55" i="5" s="1"/>
  <c r="E56" i="2"/>
  <c r="E55" i="5" s="1"/>
  <c r="F56" i="2"/>
  <c r="F55" i="5" s="1"/>
  <c r="G56" i="2"/>
  <c r="G55" i="5" s="1"/>
  <c r="H56" i="2"/>
  <c r="H55" i="5" s="1"/>
  <c r="I56" i="2"/>
  <c r="I55" i="5" s="1"/>
  <c r="J56" i="2"/>
  <c r="J58" i="2" s="1"/>
  <c r="J57" i="5" s="1"/>
  <c r="J65" i="5" s="1"/>
  <c r="B56" i="2"/>
  <c r="B46" i="2"/>
  <c r="B45" i="5" s="1"/>
  <c r="C45" i="5"/>
  <c r="D45" i="5"/>
  <c r="C37" i="2"/>
  <c r="C36" i="5" s="1"/>
  <c r="C64" i="5" s="1"/>
  <c r="D37" i="2"/>
  <c r="D36" i="5" s="1"/>
  <c r="D64" i="5" s="1"/>
  <c r="E37" i="2"/>
  <c r="E36" i="5" s="1"/>
  <c r="E64" i="5" s="1"/>
  <c r="F37" i="2"/>
  <c r="F36" i="5" s="1"/>
  <c r="F64" i="5" s="1"/>
  <c r="G37" i="2"/>
  <c r="G36" i="5" s="1"/>
  <c r="G64" i="5" s="1"/>
  <c r="H37" i="2"/>
  <c r="H36" i="5" s="1"/>
  <c r="H64" i="5" s="1"/>
  <c r="I37" i="2"/>
  <c r="I36" i="5" s="1"/>
  <c r="I64" i="5" s="1"/>
  <c r="J37" i="2"/>
  <c r="J36" i="5" s="1"/>
  <c r="J64" i="5" s="1"/>
  <c r="L56" i="2"/>
  <c r="L55" i="5" s="1"/>
  <c r="N55" i="5" s="1"/>
  <c r="L37" i="2"/>
  <c r="L36" i="5" s="1"/>
  <c r="K56" i="2"/>
  <c r="K55" i="5" s="1"/>
  <c r="K37" i="2"/>
  <c r="K36" i="5" s="1"/>
  <c r="K64" i="5" s="1"/>
  <c r="L25" i="2"/>
  <c r="L24" i="5" s="1"/>
  <c r="L14" i="2"/>
  <c r="L27" i="2" s="1"/>
  <c r="L26" i="5" s="1"/>
  <c r="B39" i="3"/>
  <c r="B34" i="3"/>
  <c r="B22" i="3"/>
  <c r="C22" i="3"/>
  <c r="C22" i="7" s="1"/>
  <c r="D22" i="3"/>
  <c r="D22" i="7" s="1"/>
  <c r="E22" i="3"/>
  <c r="E22" i="7" s="1"/>
  <c r="F22" i="3"/>
  <c r="F22" i="7" s="1"/>
  <c r="G22" i="3"/>
  <c r="G22" i="7" s="1"/>
  <c r="H22" i="3"/>
  <c r="H22" i="7" s="1"/>
  <c r="I22" i="3"/>
  <c r="I22" i="7" s="1"/>
  <c r="J22" i="3"/>
  <c r="J22" i="7" s="1"/>
  <c r="K22" i="3"/>
  <c r="K22" i="7" s="1"/>
  <c r="L22" i="3"/>
  <c r="L22" i="7" s="1"/>
  <c r="K12" i="1"/>
  <c r="K14" i="1" s="1"/>
  <c r="L63" i="5" l="1"/>
  <c r="L64" i="5"/>
  <c r="N64" i="5" s="1"/>
  <c r="N36" i="5"/>
  <c r="N31" i="5"/>
  <c r="N23" i="5"/>
  <c r="N21" i="5"/>
  <c r="N20" i="5"/>
  <c r="N19" i="5"/>
  <c r="N18" i="5"/>
  <c r="N17" i="5"/>
  <c r="J55" i="5"/>
  <c r="K58" i="2"/>
  <c r="K57" i="5" s="1"/>
  <c r="K65" i="5" s="1"/>
  <c r="K45" i="5"/>
  <c r="L14" i="5"/>
  <c r="L58" i="2"/>
  <c r="J60" i="2"/>
  <c r="J59" i="5" s="1"/>
  <c r="N51" i="9"/>
  <c r="R46" i="9"/>
  <c r="N46" i="9"/>
  <c r="P41" i="9"/>
  <c r="N41" i="9"/>
  <c r="N36" i="9"/>
  <c r="N26" i="9"/>
  <c r="N21" i="9"/>
  <c r="N16" i="9"/>
  <c r="N11" i="9"/>
  <c r="N6" i="9"/>
  <c r="L5" i="9"/>
  <c r="L7" i="9"/>
  <c r="L8" i="9"/>
  <c r="L9" i="9"/>
  <c r="L12" i="9"/>
  <c r="L13" i="9"/>
  <c r="L15" i="9"/>
  <c r="G5" i="9"/>
  <c r="H5" i="9"/>
  <c r="I5" i="9"/>
  <c r="J5" i="9"/>
  <c r="K5" i="9"/>
  <c r="G13" i="9"/>
  <c r="H13" i="9"/>
  <c r="I13" i="9"/>
  <c r="J13" i="9"/>
  <c r="K13" i="9"/>
  <c r="C41" i="23"/>
  <c r="C42" i="23"/>
  <c r="C44" i="23"/>
  <c r="C45" i="23"/>
  <c r="L3" i="4"/>
  <c r="L4" i="4"/>
  <c r="L5" i="4"/>
  <c r="L7" i="4"/>
  <c r="L11" i="4"/>
  <c r="L23" i="4" s="1"/>
  <c r="L13" i="4"/>
  <c r="L25" i="4" s="1"/>
  <c r="G3" i="4"/>
  <c r="H3" i="4"/>
  <c r="I3" i="4"/>
  <c r="J3" i="4"/>
  <c r="K3" i="4"/>
  <c r="G4" i="4"/>
  <c r="H4" i="4"/>
  <c r="I4" i="4"/>
  <c r="J4" i="4"/>
  <c r="K4" i="4"/>
  <c r="G7" i="4"/>
  <c r="H7" i="4"/>
  <c r="I7" i="4"/>
  <c r="I19" i="4" s="1"/>
  <c r="J7" i="4"/>
  <c r="K7" i="4"/>
  <c r="G11" i="4"/>
  <c r="H11" i="4"/>
  <c r="I11" i="4"/>
  <c r="J11" i="4"/>
  <c r="K11" i="4"/>
  <c r="G13" i="4"/>
  <c r="H13" i="4"/>
  <c r="I13" i="4"/>
  <c r="J13" i="4"/>
  <c r="K13" i="4"/>
  <c r="G32" i="3"/>
  <c r="G32" i="7" s="1"/>
  <c r="H32" i="3"/>
  <c r="H32" i="7" s="1"/>
  <c r="I32" i="3"/>
  <c r="I32" i="7" s="1"/>
  <c r="J32" i="3"/>
  <c r="J32" i="7" s="1"/>
  <c r="K32" i="3"/>
  <c r="K32" i="7" s="1"/>
  <c r="L32" i="3"/>
  <c r="L32" i="7" s="1"/>
  <c r="G13" i="3"/>
  <c r="H13" i="3"/>
  <c r="I13" i="3"/>
  <c r="J13" i="3"/>
  <c r="K13" i="3"/>
  <c r="K13" i="7" s="1"/>
  <c r="L13" i="3"/>
  <c r="L13" i="7" s="1"/>
  <c r="L3" i="3"/>
  <c r="L3" i="7" s="1"/>
  <c r="G3" i="3"/>
  <c r="G3" i="7" s="1"/>
  <c r="H3" i="3"/>
  <c r="H3" i="7" s="1"/>
  <c r="I3" i="3"/>
  <c r="I3" i="7" s="1"/>
  <c r="J3" i="3"/>
  <c r="J3" i="7" s="1"/>
  <c r="K3" i="3"/>
  <c r="K3" i="7" s="1"/>
  <c r="I58" i="2"/>
  <c r="I57" i="5" s="1"/>
  <c r="I65" i="5" s="1"/>
  <c r="G58" i="2"/>
  <c r="G57" i="5" s="1"/>
  <c r="G65" i="5" s="1"/>
  <c r="H58" i="2"/>
  <c r="H57" i="5" s="1"/>
  <c r="H65" i="5" s="1"/>
  <c r="P51" i="9"/>
  <c r="G25" i="2"/>
  <c r="G24" i="5" s="1"/>
  <c r="H25" i="2"/>
  <c r="H24" i="5" s="1"/>
  <c r="I25" i="2"/>
  <c r="I24" i="5" s="1"/>
  <c r="J25" i="2"/>
  <c r="J8" i="9" s="1"/>
  <c r="K25" i="2"/>
  <c r="K24" i="5" s="1"/>
  <c r="G14" i="2"/>
  <c r="G14" i="5" s="1"/>
  <c r="H14" i="2"/>
  <c r="H14" i="5" s="1"/>
  <c r="I14" i="2"/>
  <c r="I14" i="5" s="1"/>
  <c r="J14" i="2"/>
  <c r="J14" i="5" s="1"/>
  <c r="K14" i="2"/>
  <c r="K14" i="5" s="1"/>
  <c r="L3" i="2"/>
  <c r="L3" i="5" s="1"/>
  <c r="L62" i="5" s="1"/>
  <c r="G3" i="2"/>
  <c r="G3" i="5" s="1"/>
  <c r="G62" i="5" s="1"/>
  <c r="H3" i="2"/>
  <c r="H3" i="5" s="1"/>
  <c r="H62" i="5" s="1"/>
  <c r="I3" i="2"/>
  <c r="I3" i="5" s="1"/>
  <c r="I62" i="5" s="1"/>
  <c r="J3" i="2"/>
  <c r="J3" i="5" s="1"/>
  <c r="J62" i="5" s="1"/>
  <c r="K3" i="2"/>
  <c r="K3" i="5" s="1"/>
  <c r="K62" i="5" s="1"/>
  <c r="L23" i="9"/>
  <c r="H13" i="7" l="1"/>
  <c r="H34" i="3"/>
  <c r="G13" i="7"/>
  <c r="G34" i="3"/>
  <c r="G8" i="9"/>
  <c r="G9" i="9"/>
  <c r="G27" i="2"/>
  <c r="G26" i="5" s="1"/>
  <c r="G63" i="5" s="1"/>
  <c r="H20" i="4"/>
  <c r="H21" i="4"/>
  <c r="H23" i="4"/>
  <c r="G20" i="4"/>
  <c r="G21" i="4"/>
  <c r="J13" i="7"/>
  <c r="J34" i="3"/>
  <c r="I13" i="7"/>
  <c r="I34" i="3"/>
  <c r="J9" i="9"/>
  <c r="J20" i="4"/>
  <c r="J21" i="4"/>
  <c r="I20" i="4"/>
  <c r="I21" i="4"/>
  <c r="I23" i="4"/>
  <c r="J23" i="4"/>
  <c r="K23" i="4"/>
  <c r="G23" i="4"/>
  <c r="J19" i="4"/>
  <c r="I27" i="2"/>
  <c r="I18" i="9" s="1"/>
  <c r="J27" i="2"/>
  <c r="J24" i="5"/>
  <c r="I9" i="9"/>
  <c r="I8" i="9"/>
  <c r="H27" i="2"/>
  <c r="H9" i="9"/>
  <c r="H8" i="9"/>
  <c r="K60" i="2"/>
  <c r="K59" i="5" s="1"/>
  <c r="H25" i="4"/>
  <c r="H19" i="4"/>
  <c r="L19" i="4"/>
  <c r="L60" i="2"/>
  <c r="L59" i="5" s="1"/>
  <c r="L57" i="5"/>
  <c r="K34" i="3"/>
  <c r="K34" i="7" s="1"/>
  <c r="L34" i="3"/>
  <c r="K25" i="4"/>
  <c r="G25" i="4"/>
  <c r="L14" i="9"/>
  <c r="L17" i="4"/>
  <c r="J25" i="4"/>
  <c r="I25" i="4"/>
  <c r="K19" i="4"/>
  <c r="G19" i="4"/>
  <c r="L18" i="9"/>
  <c r="P46" i="9"/>
  <c r="G60" i="2"/>
  <c r="G59" i="5" s="1"/>
  <c r="I60" i="2"/>
  <c r="I59" i="5" s="1"/>
  <c r="H60" i="2"/>
  <c r="H59" i="5" s="1"/>
  <c r="K9" i="9"/>
  <c r="K8" i="9"/>
  <c r="K27" i="2"/>
  <c r="K26" i="5" s="1"/>
  <c r="K63" i="5" s="1"/>
  <c r="L19" i="9"/>
  <c r="L22" i="9"/>
  <c r="L12" i="1"/>
  <c r="L10" i="4"/>
  <c r="L22" i="4" s="1"/>
  <c r="L6" i="4"/>
  <c r="L18" i="4" s="1"/>
  <c r="N3" i="7"/>
  <c r="N3" i="5"/>
  <c r="N62" i="5" s="1"/>
  <c r="L65" i="5" l="1"/>
  <c r="H34" i="7"/>
  <c r="H39" i="3"/>
  <c r="H39" i="7" s="1"/>
  <c r="G34" i="7"/>
  <c r="G39" i="3"/>
  <c r="G39" i="7" s="1"/>
  <c r="G7" i="9"/>
  <c r="G18" i="9"/>
  <c r="G15" i="9"/>
  <c r="J34" i="7"/>
  <c r="J39" i="3"/>
  <c r="J39" i="7" s="1"/>
  <c r="I34" i="7"/>
  <c r="I39" i="3"/>
  <c r="I39" i="7" s="1"/>
  <c r="K39" i="3"/>
  <c r="K39" i="7" s="1"/>
  <c r="J26" i="5"/>
  <c r="J63" i="5" s="1"/>
  <c r="J18" i="9"/>
  <c r="J7" i="9"/>
  <c r="J15" i="9"/>
  <c r="H26" i="5"/>
  <c r="H63" i="5" s="1"/>
  <c r="H7" i="9"/>
  <c r="H15" i="9"/>
  <c r="H18" i="9"/>
  <c r="I26" i="5"/>
  <c r="I63" i="5" s="1"/>
  <c r="I7" i="9"/>
  <c r="I15" i="9"/>
  <c r="L34" i="7"/>
  <c r="L39" i="3"/>
  <c r="L39" i="7" s="1"/>
  <c r="K7" i="9"/>
  <c r="K15" i="9"/>
  <c r="K18" i="9"/>
  <c r="L14" i="1"/>
  <c r="L12" i="4"/>
  <c r="L24" i="4" s="1"/>
  <c r="C4" i="8"/>
  <c r="C6" i="8" s="1"/>
  <c r="C17" i="8" s="1"/>
  <c r="D4" i="8"/>
  <c r="E4" i="8"/>
  <c r="E6" i="8" s="1"/>
  <c r="E16" i="8" s="1"/>
  <c r="F4" i="8"/>
  <c r="F6" i="8" s="1"/>
  <c r="F11" i="8" s="1"/>
  <c r="F12" i="8" s="1"/>
  <c r="B4" i="8"/>
  <c r="B6" i="8" s="1"/>
  <c r="B10" i="8"/>
  <c r="C10" i="8"/>
  <c r="D10" i="8"/>
  <c r="E10" i="8"/>
  <c r="F10" i="8"/>
  <c r="D6" i="8"/>
  <c r="D17" i="8" s="1"/>
  <c r="F3" i="8"/>
  <c r="E3" i="8"/>
  <c r="D3" i="8"/>
  <c r="C3" i="8"/>
  <c r="B3" i="8"/>
  <c r="L14" i="4" l="1"/>
  <c r="L26" i="9"/>
  <c r="L24" i="9"/>
  <c r="D16" i="8"/>
  <c r="E17" i="8"/>
  <c r="D15" i="8"/>
  <c r="B17" i="8"/>
  <c r="B16" i="8"/>
  <c r="B15" i="8"/>
  <c r="F15" i="8"/>
  <c r="F16" i="8"/>
  <c r="C15" i="8"/>
  <c r="C16" i="8"/>
  <c r="E15" i="8"/>
  <c r="F17" i="8"/>
  <c r="C11" i="8"/>
  <c r="C12" i="8" s="1"/>
  <c r="E11" i="8"/>
  <c r="E12" i="8" s="1"/>
  <c r="D11" i="8"/>
  <c r="D12" i="8" s="1"/>
  <c r="B11" i="8"/>
  <c r="B12" i="8" s="1"/>
  <c r="C13" i="9"/>
  <c r="D13" i="9"/>
  <c r="E13" i="9"/>
  <c r="F13" i="9"/>
  <c r="B13" i="9"/>
  <c r="C5" i="9"/>
  <c r="D5" i="9"/>
  <c r="E5" i="9"/>
  <c r="F5" i="9"/>
  <c r="B5" i="9"/>
  <c r="P16" i="9"/>
  <c r="R48" i="9"/>
  <c r="P35" i="9"/>
  <c r="T32" i="9"/>
  <c r="P15" i="9"/>
  <c r="L26" i="4" l="1"/>
  <c r="L25" i="9"/>
  <c r="P11" i="9"/>
  <c r="L27" i="9"/>
  <c r="P36" i="9"/>
  <c r="C3" i="2"/>
  <c r="D3" i="2"/>
  <c r="E3" i="2"/>
  <c r="F3" i="2"/>
  <c r="C3" i="3"/>
  <c r="D3" i="3"/>
  <c r="E3" i="3"/>
  <c r="F3" i="3"/>
  <c r="B3" i="3"/>
  <c r="B3" i="2"/>
  <c r="B32" i="3"/>
  <c r="C32" i="3"/>
  <c r="C32" i="7" s="1"/>
  <c r="D32" i="3"/>
  <c r="D32" i="7" s="1"/>
  <c r="E32" i="3"/>
  <c r="E32" i="7" s="1"/>
  <c r="F32" i="3"/>
  <c r="F32" i="7" s="1"/>
  <c r="B37" i="2"/>
  <c r="B36" i="5" s="1"/>
  <c r="B64" i="5" s="1"/>
  <c r="R52" i="9"/>
  <c r="C25" i="2"/>
  <c r="C24" i="5" s="1"/>
  <c r="N24" i="5" s="1"/>
  <c r="D25" i="2"/>
  <c r="D24" i="5" s="1"/>
  <c r="E25" i="2"/>
  <c r="E24" i="5" s="1"/>
  <c r="F25" i="2"/>
  <c r="F24" i="5" s="1"/>
  <c r="B14" i="2"/>
  <c r="B14" i="5" s="1"/>
  <c r="C14" i="2"/>
  <c r="C14" i="5" s="1"/>
  <c r="N14" i="5" s="1"/>
  <c r="D14" i="2"/>
  <c r="D14" i="5" s="1"/>
  <c r="E14" i="2"/>
  <c r="E14" i="5" s="1"/>
  <c r="F14" i="2"/>
  <c r="F14" i="5" s="1"/>
  <c r="D8" i="9" l="1"/>
  <c r="D9" i="9"/>
  <c r="C9" i="9"/>
  <c r="C8" i="9"/>
  <c r="D58" i="2"/>
  <c r="F8" i="9"/>
  <c r="F9" i="9"/>
  <c r="E9" i="9"/>
  <c r="E8" i="9"/>
  <c r="F58" i="2"/>
  <c r="F57" i="5" s="1"/>
  <c r="F65" i="5" s="1"/>
  <c r="E58" i="2"/>
  <c r="E57" i="5" s="1"/>
  <c r="E65" i="5" s="1"/>
  <c r="C58" i="2"/>
  <c r="C57" i="5" s="1"/>
  <c r="B58" i="2"/>
  <c r="F60" i="2"/>
  <c r="D27" i="2"/>
  <c r="D26" i="5" s="1"/>
  <c r="D63" i="5" s="1"/>
  <c r="F27" i="2"/>
  <c r="F26" i="5" s="1"/>
  <c r="F63" i="5" s="1"/>
  <c r="E27" i="2"/>
  <c r="E26" i="5" s="1"/>
  <c r="E63" i="5" s="1"/>
  <c r="C27" i="2"/>
  <c r="C26" i="5" s="1"/>
  <c r="A4" i="7"/>
  <c r="B3" i="7"/>
  <c r="C3" i="7"/>
  <c r="D3" i="7"/>
  <c r="E3" i="7"/>
  <c r="F3" i="7"/>
  <c r="A4" i="5"/>
  <c r="F3" i="5"/>
  <c r="F62" i="5" s="1"/>
  <c r="B3" i="5"/>
  <c r="B62" i="5" s="1"/>
  <c r="C3" i="5"/>
  <c r="C62" i="5" s="1"/>
  <c r="D3" i="5"/>
  <c r="D62" i="5" s="1"/>
  <c r="E3" i="5"/>
  <c r="E62" i="5" s="1"/>
  <c r="B3" i="4"/>
  <c r="C3" i="4"/>
  <c r="D3" i="4"/>
  <c r="E3" i="4"/>
  <c r="F3" i="4"/>
  <c r="B4" i="4"/>
  <c r="C4" i="4"/>
  <c r="D4" i="4"/>
  <c r="E4" i="4"/>
  <c r="F4" i="4"/>
  <c r="B7" i="4"/>
  <c r="C7" i="4"/>
  <c r="D7" i="4"/>
  <c r="E7" i="4"/>
  <c r="F7" i="4"/>
  <c r="B11" i="4"/>
  <c r="C11" i="4"/>
  <c r="C23" i="4" s="1"/>
  <c r="D11" i="4"/>
  <c r="D23" i="4" s="1"/>
  <c r="E11" i="4"/>
  <c r="F11" i="4"/>
  <c r="A4" i="4"/>
  <c r="A5" i="4"/>
  <c r="A17" i="4" s="1"/>
  <c r="A6" i="4"/>
  <c r="A18" i="4" s="1"/>
  <c r="A7" i="4"/>
  <c r="A19" i="4" s="1"/>
  <c r="A10" i="4"/>
  <c r="A22" i="4" s="1"/>
  <c r="A11" i="4"/>
  <c r="A23" i="4" s="1"/>
  <c r="A12" i="4"/>
  <c r="A24" i="4" s="1"/>
  <c r="A13" i="4"/>
  <c r="A25" i="4" s="1"/>
  <c r="A14" i="4"/>
  <c r="C65" i="5" l="1"/>
  <c r="N57" i="5"/>
  <c r="C63" i="5"/>
  <c r="N63" i="5" s="1"/>
  <c r="N26" i="5"/>
  <c r="A26" i="4"/>
  <c r="A37" i="4"/>
  <c r="E21" i="4"/>
  <c r="E20" i="4"/>
  <c r="F20" i="4"/>
  <c r="F21" i="4"/>
  <c r="E23" i="4"/>
  <c r="F23" i="4"/>
  <c r="B23" i="4"/>
  <c r="B60" i="2"/>
  <c r="B59" i="5" s="1"/>
  <c r="B57" i="5"/>
  <c r="B65" i="5" s="1"/>
  <c r="T48" i="9"/>
  <c r="F59" i="5"/>
  <c r="D60" i="2"/>
  <c r="D59" i="5" s="1"/>
  <c r="D57" i="5"/>
  <c r="D65" i="5" s="1"/>
  <c r="B19" i="4"/>
  <c r="E60" i="2"/>
  <c r="E59" i="5" s="1"/>
  <c r="D18" i="9"/>
  <c r="E7" i="9"/>
  <c r="E15" i="9"/>
  <c r="C60" i="2"/>
  <c r="C59" i="5" s="1"/>
  <c r="N59" i="5" s="1"/>
  <c r="C18" i="9"/>
  <c r="F15" i="9"/>
  <c r="R38" i="9"/>
  <c r="F7" i="9"/>
  <c r="E18" i="9"/>
  <c r="D15" i="9"/>
  <c r="D7" i="9"/>
  <c r="C7" i="9"/>
  <c r="C15" i="9"/>
  <c r="F18" i="9"/>
  <c r="D19" i="4"/>
  <c r="C19" i="4"/>
  <c r="F19" i="4"/>
  <c r="E19" i="4"/>
  <c r="B25" i="2"/>
  <c r="B24" i="5" s="1"/>
  <c r="B9" i="9" l="1"/>
  <c r="B8" i="9"/>
  <c r="B27" i="2"/>
  <c r="B26" i="5" s="1"/>
  <c r="B63" i="5" s="1"/>
  <c r="B15" i="9" l="1"/>
  <c r="B7" i="9"/>
  <c r="B18" i="9"/>
  <c r="R13" i="9" l="1"/>
  <c r="T26" i="9" s="1"/>
  <c r="V33" i="9" s="1"/>
  <c r="C12" i="9"/>
  <c r="H12" i="9"/>
  <c r="F12" i="9"/>
  <c r="D12" i="9"/>
  <c r="C5" i="4"/>
  <c r="K12" i="9"/>
  <c r="B5" i="4"/>
  <c r="B12" i="9"/>
  <c r="F5" i="4"/>
  <c r="F17" i="4" s="1"/>
  <c r="G12" i="9"/>
  <c r="D5" i="4"/>
  <c r="D14" i="9" s="1"/>
  <c r="E12" i="9"/>
  <c r="E5" i="4"/>
  <c r="E14" i="9" s="1"/>
  <c r="J12" i="9"/>
  <c r="J5" i="4"/>
  <c r="J17" i="4" s="1"/>
  <c r="K5" i="4"/>
  <c r="H5" i="4"/>
  <c r="H17" i="4" s="1"/>
  <c r="G5" i="4"/>
  <c r="G17" i="4" s="1"/>
  <c r="I12" i="9"/>
  <c r="I5" i="4"/>
  <c r="I17" i="4" s="1"/>
  <c r="H22" i="9"/>
  <c r="D6" i="4"/>
  <c r="D18" i="4" s="1"/>
  <c r="D19" i="9"/>
  <c r="I6" i="4"/>
  <c r="I18" i="4" s="1"/>
  <c r="F22" i="9"/>
  <c r="E22" i="9"/>
  <c r="E6" i="4"/>
  <c r="E18" i="4" s="1"/>
  <c r="C6" i="1"/>
  <c r="C22" i="9" s="1"/>
  <c r="B6" i="1"/>
  <c r="B6" i="4" s="1"/>
  <c r="B18" i="4" s="1"/>
  <c r="K22" i="9"/>
  <c r="G14" i="9" l="1"/>
  <c r="C17" i="4"/>
  <c r="F6" i="4"/>
  <c r="F18" i="4" s="1"/>
  <c r="D23" i="9"/>
  <c r="B17" i="4"/>
  <c r="B14" i="9"/>
  <c r="C14" i="9"/>
  <c r="K14" i="9"/>
  <c r="K17" i="4"/>
  <c r="C6" i="4"/>
  <c r="F14" i="9"/>
  <c r="I22" i="9"/>
  <c r="E19" i="9"/>
  <c r="F23" i="9"/>
  <c r="B22" i="9"/>
  <c r="G22" i="9"/>
  <c r="G6" i="4"/>
  <c r="G18" i="4" s="1"/>
  <c r="J22" i="9"/>
  <c r="J6" i="4"/>
  <c r="J18" i="4" s="1"/>
  <c r="K23" i="9"/>
  <c r="K19" i="9"/>
  <c r="K10" i="4"/>
  <c r="K22" i="4" s="1"/>
  <c r="E23" i="9"/>
  <c r="B10" i="1"/>
  <c r="D10" i="4"/>
  <c r="D22" i="4" s="1"/>
  <c r="D12" i="1"/>
  <c r="D13" i="4" s="1"/>
  <c r="D25" i="4" s="1"/>
  <c r="H14" i="9"/>
  <c r="H6" i="4"/>
  <c r="H18" i="4" s="1"/>
  <c r="D17" i="4"/>
  <c r="D22" i="9"/>
  <c r="K6" i="4"/>
  <c r="K18" i="4" s="1"/>
  <c r="E17" i="4"/>
  <c r="I14" i="9"/>
  <c r="J14" i="9"/>
  <c r="F12" i="1" l="1"/>
  <c r="F13" i="4" s="1"/>
  <c r="F25" i="4" s="1"/>
  <c r="F19" i="9"/>
  <c r="E12" i="1"/>
  <c r="E13" i="4" s="1"/>
  <c r="E25" i="4" s="1"/>
  <c r="E10" i="4"/>
  <c r="E22" i="4" s="1"/>
  <c r="C18" i="4"/>
  <c r="N6" i="4"/>
  <c r="F10" i="4"/>
  <c r="F22" i="4" s="1"/>
  <c r="I23" i="9"/>
  <c r="I10" i="4"/>
  <c r="I22" i="4" s="1"/>
  <c r="I19" i="9"/>
  <c r="I12" i="1"/>
  <c r="J12" i="1"/>
  <c r="J10" i="4"/>
  <c r="J22" i="4" s="1"/>
  <c r="J23" i="9"/>
  <c r="J19" i="9"/>
  <c r="D14" i="1"/>
  <c r="D12" i="4"/>
  <c r="D24" i="4" s="1"/>
  <c r="C10" i="4"/>
  <c r="C22" i="4" s="1"/>
  <c r="C23" i="9"/>
  <c r="C19" i="9"/>
  <c r="C12" i="1"/>
  <c r="C13" i="4" s="1"/>
  <c r="K12" i="4"/>
  <c r="K24" i="4" s="1"/>
  <c r="G19" i="9"/>
  <c r="G12" i="1"/>
  <c r="G10" i="4"/>
  <c r="G22" i="4" s="1"/>
  <c r="G23" i="9"/>
  <c r="H23" i="9"/>
  <c r="H10" i="4"/>
  <c r="H22" i="4" s="1"/>
  <c r="H12" i="1"/>
  <c r="H19" i="9"/>
  <c r="B10" i="4"/>
  <c r="B22" i="4" s="1"/>
  <c r="B19" i="9"/>
  <c r="B23" i="9"/>
  <c r="B12" i="1"/>
  <c r="B13" i="4" s="1"/>
  <c r="B25" i="4" s="1"/>
  <c r="F14" i="1" l="1"/>
  <c r="F14" i="4" s="1"/>
  <c r="F12" i="4"/>
  <c r="F24" i="4" s="1"/>
  <c r="E12" i="4"/>
  <c r="E24" i="4" s="1"/>
  <c r="E14" i="1"/>
  <c r="E14" i="4" s="1"/>
  <c r="C25" i="4"/>
  <c r="G12" i="4"/>
  <c r="G24" i="4" s="1"/>
  <c r="G14" i="1"/>
  <c r="D14" i="4"/>
  <c r="D26" i="9"/>
  <c r="D24" i="9"/>
  <c r="J12" i="4"/>
  <c r="J24" i="4" s="1"/>
  <c r="J14" i="1"/>
  <c r="K24" i="9"/>
  <c r="K26" i="9"/>
  <c r="K14" i="4"/>
  <c r="I12" i="4"/>
  <c r="I24" i="4" s="1"/>
  <c r="I14" i="1"/>
  <c r="C14" i="1"/>
  <c r="C12" i="4"/>
  <c r="B12" i="4"/>
  <c r="B24" i="4" s="1"/>
  <c r="B14" i="1"/>
  <c r="H14" i="1"/>
  <c r="H12" i="4"/>
  <c r="H24" i="4" s="1"/>
  <c r="F26" i="9" l="1"/>
  <c r="F24" i="9"/>
  <c r="E26" i="9"/>
  <c r="E24" i="9"/>
  <c r="C24" i="4"/>
  <c r="K26" i="4"/>
  <c r="E13" i="3"/>
  <c r="B14" i="4"/>
  <c r="B26" i="9"/>
  <c r="B24" i="9"/>
  <c r="I24" i="9"/>
  <c r="I26" i="9"/>
  <c r="I14" i="4"/>
  <c r="F27" i="9"/>
  <c r="F25" i="9"/>
  <c r="F26" i="4"/>
  <c r="H24" i="9"/>
  <c r="H26" i="9"/>
  <c r="H14" i="4"/>
  <c r="J24" i="9"/>
  <c r="J26" i="9"/>
  <c r="J14" i="4"/>
  <c r="D13" i="3"/>
  <c r="F13" i="3"/>
  <c r="G26" i="9"/>
  <c r="G24" i="9"/>
  <c r="G14" i="4"/>
  <c r="C24" i="9"/>
  <c r="C26" i="9"/>
  <c r="C14" i="4"/>
  <c r="E26" i="4"/>
  <c r="E25" i="9"/>
  <c r="E27" i="9"/>
  <c r="K27" i="9"/>
  <c r="K25" i="9"/>
  <c r="D26" i="4"/>
  <c r="D25" i="9"/>
  <c r="D27" i="9"/>
  <c r="E13" i="7" l="1"/>
  <c r="E34" i="3"/>
  <c r="F13" i="7"/>
  <c r="F34" i="3"/>
  <c r="D13" i="7"/>
  <c r="D34" i="3"/>
  <c r="H26" i="4"/>
  <c r="J26" i="4"/>
  <c r="B26" i="4"/>
  <c r="G26" i="4"/>
  <c r="I26" i="4"/>
  <c r="B13" i="3"/>
  <c r="C13" i="3"/>
  <c r="H25" i="9"/>
  <c r="H27" i="9"/>
  <c r="B25" i="9"/>
  <c r="B27" i="9"/>
  <c r="J25" i="9"/>
  <c r="J27" i="9"/>
  <c r="C27" i="9"/>
  <c r="C26" i="4"/>
  <c r="C25" i="9"/>
  <c r="G25" i="9"/>
  <c r="G27" i="9"/>
  <c r="I27" i="9"/>
  <c r="I25" i="9"/>
  <c r="E34" i="7" l="1"/>
  <c r="E39" i="3"/>
  <c r="E39" i="7" s="1"/>
  <c r="F34" i="7"/>
  <c r="F39" i="3"/>
  <c r="F39" i="7" s="1"/>
  <c r="D34" i="7"/>
  <c r="D39" i="3"/>
  <c r="D39" i="7" s="1"/>
  <c r="C13" i="7"/>
  <c r="N13" i="7" s="1"/>
  <c r="C34" i="3"/>
  <c r="C34" i="7" l="1"/>
  <c r="C39" i="3"/>
  <c r="C39" i="7" s="1"/>
</calcChain>
</file>

<file path=xl/comments1.xml><?xml version="1.0" encoding="utf-8"?>
<comments xmlns="http://schemas.openxmlformats.org/spreadsheetml/2006/main">
  <authors>
    <author>Palesa Ramashala</author>
  </authors>
  <commentList>
    <comment ref="A1" authorId="0" shapeId="0">
      <text>
        <r>
          <rPr>
            <b/>
            <sz val="9"/>
            <color indexed="81"/>
            <rFont val="Tahoma"/>
            <family val="2"/>
          </rPr>
          <t>Palesa Ramashala:</t>
        </r>
        <r>
          <rPr>
            <sz val="9"/>
            <color indexed="81"/>
            <rFont val="Tahoma"/>
            <family val="2"/>
          </rPr>
          <t xml:space="preserve">
Information obtained from the latest IR for relevance.</t>
        </r>
      </text>
    </comment>
  </commentList>
</comments>
</file>

<file path=xl/comments2.xml><?xml version="1.0" encoding="utf-8"?>
<comments xmlns="http://schemas.openxmlformats.org/spreadsheetml/2006/main">
  <authors>
    <author>Palesa Ramashala</author>
  </authors>
  <commentList>
    <comment ref="C26" authorId="0" shapeId="0">
      <text>
        <r>
          <rPr>
            <b/>
            <sz val="9"/>
            <color indexed="81"/>
            <rFont val="Tahoma"/>
            <family val="2"/>
          </rPr>
          <t>Palesa Ramashala:</t>
        </r>
        <r>
          <rPr>
            <sz val="9"/>
            <color indexed="81"/>
            <rFont val="Tahoma"/>
            <family val="2"/>
          </rPr>
          <t xml:space="preserve">
Not reported on or indicated expecitely but derived from the AR.</t>
        </r>
      </text>
    </comment>
  </commentList>
</comments>
</file>

<file path=xl/sharedStrings.xml><?xml version="1.0" encoding="utf-8"?>
<sst xmlns="http://schemas.openxmlformats.org/spreadsheetml/2006/main" count="372" uniqueCount="292">
  <si>
    <t>Cashflow Statement</t>
  </si>
  <si>
    <t>Balance Sheet</t>
  </si>
  <si>
    <t>Income Statement</t>
  </si>
  <si>
    <t>Revenue</t>
  </si>
  <si>
    <t>Cost of sales</t>
  </si>
  <si>
    <t xml:space="preserve">    Operating expenses</t>
  </si>
  <si>
    <t>Profits before tax</t>
  </si>
  <si>
    <t>Finance cost (Interest)</t>
  </si>
  <si>
    <t>Income tax expense</t>
  </si>
  <si>
    <t>Operating profit (EBIT)</t>
  </si>
  <si>
    <t>Non-current assets</t>
  </si>
  <si>
    <t>ASSETS</t>
  </si>
  <si>
    <t>Total non-current assets</t>
  </si>
  <si>
    <t>Current assets</t>
  </si>
  <si>
    <t>Total current assets</t>
  </si>
  <si>
    <t>TOTAL ASSETS</t>
  </si>
  <si>
    <t>EQUITY AND LIABILITIES</t>
  </si>
  <si>
    <t>Equity attributable to owners</t>
  </si>
  <si>
    <t>Total equity</t>
  </si>
  <si>
    <t>Non-current liabilities</t>
  </si>
  <si>
    <t>Total non-current liabilities</t>
  </si>
  <si>
    <t>Current Liabilities</t>
  </si>
  <si>
    <t>Total current liabilities</t>
  </si>
  <si>
    <t>TOTAL LIABILITIES</t>
  </si>
  <si>
    <t>TOTAL EQUITY AND LIABILITIES</t>
  </si>
  <si>
    <t>Cashflow from operating activities</t>
  </si>
  <si>
    <t>Cash provided by operating activities</t>
  </si>
  <si>
    <t>Cashflow from investment activities</t>
  </si>
  <si>
    <t>Cash provided by investment activities</t>
  </si>
  <si>
    <t>Cashflow from financing activities</t>
  </si>
  <si>
    <t>Cash provided by financing activities</t>
  </si>
  <si>
    <t>Du-Pont Analysis</t>
  </si>
  <si>
    <t>Income Statement Analysis</t>
  </si>
  <si>
    <t>Balance Sheet Analysis</t>
  </si>
  <si>
    <t>Cashflow Analysis</t>
  </si>
  <si>
    <t>Operational Analysis</t>
  </si>
  <si>
    <t>Gross profit</t>
  </si>
  <si>
    <t>Gross profit margin</t>
  </si>
  <si>
    <t>Operating profit margin</t>
  </si>
  <si>
    <t xml:space="preserve">Sales </t>
  </si>
  <si>
    <t>minus</t>
  </si>
  <si>
    <t>Earnings available for ordianary shareholders</t>
  </si>
  <si>
    <t>Cost of Goods Sold</t>
  </si>
  <si>
    <t>Net profit margin</t>
  </si>
  <si>
    <t>Operating Expenses</t>
  </si>
  <si>
    <t>Interest Expenses</t>
  </si>
  <si>
    <t>Return on total assets (ROA)</t>
  </si>
  <si>
    <t>Taxes</t>
  </si>
  <si>
    <t>multiplied by</t>
  </si>
  <si>
    <t>Preference share Dividend</t>
  </si>
  <si>
    <t>Return on ordinary shareholder's equity (ROE)</t>
  </si>
  <si>
    <t>Current Assest</t>
  </si>
  <si>
    <t>Total asset turnover</t>
  </si>
  <si>
    <t>plus</t>
  </si>
  <si>
    <t>divided by</t>
  </si>
  <si>
    <t>Non current assets</t>
  </si>
  <si>
    <t>Total assets</t>
  </si>
  <si>
    <t>Total liabilities and shareholder's equity = Total assets</t>
  </si>
  <si>
    <t>Current liabilities</t>
  </si>
  <si>
    <t>Total liabilities</t>
  </si>
  <si>
    <t>Financial leverage multiplyer (FLM)</t>
  </si>
  <si>
    <t>Non current liabilities</t>
  </si>
  <si>
    <t>Shareholder's equity</t>
  </si>
  <si>
    <t>Ordinary shareholder's equity</t>
  </si>
  <si>
    <t>Current ratio</t>
  </si>
  <si>
    <t>Liquidity</t>
  </si>
  <si>
    <t>Quick ratio</t>
  </si>
  <si>
    <t>Activity</t>
  </si>
  <si>
    <t>Inventory turnover</t>
  </si>
  <si>
    <t>Total assets turnover</t>
  </si>
  <si>
    <t>Debt</t>
  </si>
  <si>
    <t>Debt ratio</t>
  </si>
  <si>
    <t>Times interest earned ratio</t>
  </si>
  <si>
    <t>Profitability</t>
  </si>
  <si>
    <t>Earnings per share (EPS)</t>
  </si>
  <si>
    <t>Return on common equity (ROE)</t>
  </si>
  <si>
    <t>Working capital</t>
  </si>
  <si>
    <t>Average collection period (days)</t>
  </si>
  <si>
    <t>Average payment period (days)</t>
  </si>
  <si>
    <t>Scoring and Ranking</t>
  </si>
  <si>
    <t>Rate card</t>
  </si>
  <si>
    <t>Description</t>
  </si>
  <si>
    <t>Fully in place</t>
  </si>
  <si>
    <t>Some evidence</t>
  </si>
  <si>
    <t>No evidence</t>
  </si>
  <si>
    <t>Indication</t>
  </si>
  <si>
    <t>Partially in place</t>
  </si>
  <si>
    <t>Sales</t>
  </si>
  <si>
    <t>Returns</t>
  </si>
  <si>
    <t>Labour cost</t>
  </si>
  <si>
    <t>Salaries</t>
  </si>
  <si>
    <t>Cost of material</t>
  </si>
  <si>
    <t>Labour as % of sales</t>
  </si>
  <si>
    <t>Salaries  as % of sales</t>
  </si>
  <si>
    <t>Material  as % of sales</t>
  </si>
  <si>
    <t>Financial Analysis</t>
  </si>
  <si>
    <t>Cover</t>
  </si>
  <si>
    <t>CAGR</t>
  </si>
  <si>
    <t>Learning performance</t>
  </si>
  <si>
    <t>Internal processes performance</t>
  </si>
  <si>
    <t>Customer performance</t>
  </si>
  <si>
    <t>Actual</t>
  </si>
  <si>
    <t>Target</t>
  </si>
  <si>
    <t>Net Profit %</t>
  </si>
  <si>
    <t>Comments</t>
  </si>
  <si>
    <t>Gross Margin %</t>
  </si>
  <si>
    <t>Net Profit</t>
  </si>
  <si>
    <t>Gross Margin</t>
  </si>
  <si>
    <t>Revenues</t>
  </si>
  <si>
    <t>Financial performance</t>
  </si>
  <si>
    <t>Balance Scorecard</t>
  </si>
  <si>
    <t>Overall objective:</t>
  </si>
  <si>
    <t>Strategy and Strategic Intent</t>
  </si>
  <si>
    <t>Case Organisation:</t>
  </si>
  <si>
    <t>Desktop Review</t>
  </si>
  <si>
    <t>Growth Strategy</t>
  </si>
  <si>
    <t>Projects</t>
  </si>
  <si>
    <t>Vision</t>
  </si>
  <si>
    <t>Mission</t>
  </si>
  <si>
    <t>Values</t>
  </si>
  <si>
    <t>Geographical coverage</t>
  </si>
  <si>
    <t>CEO</t>
  </si>
  <si>
    <t>CFO</t>
  </si>
  <si>
    <t>Chairperson</t>
  </si>
  <si>
    <t>Financial Year</t>
  </si>
  <si>
    <t>Products and Services</t>
  </si>
  <si>
    <t>R'm</t>
  </si>
  <si>
    <t>Direct Expenses</t>
  </si>
  <si>
    <t>Rm</t>
  </si>
  <si>
    <t>Property, plant and equipment</t>
  </si>
  <si>
    <t>Intangible assets</t>
  </si>
  <si>
    <t>Trade and other receivables</t>
  </si>
  <si>
    <t>Bank overdrafts</t>
  </si>
  <si>
    <t>Cash generated from operations</t>
  </si>
  <si>
    <t>Cash and cash equivalents at the biggining of the year</t>
  </si>
  <si>
    <t>Cash and cash equivalents at the end of the year</t>
  </si>
  <si>
    <t>Basic EPS</t>
  </si>
  <si>
    <t>Diluted EPS</t>
  </si>
  <si>
    <t>To meet customer demand for reliable freight transport and handling services by: 
Fully integrating and maximising the use of our unique set of assets; 
Continuously driving efficiency improvements; and 
Demonstrating concern for sustainability in everything we do.</t>
  </si>
  <si>
    <t>To enable the competitiveness, growth and development of the South African economy by delivering reliable freight transport and handling services that satisfy customer demand.</t>
  </si>
  <si>
    <t>We have a safety mind set.
We have good communication.
We treat each other with dignity and respect.
We are empowered to perform our jobs.
We are business focused.
We recognise and reward good work.
We deliver on our promises.</t>
  </si>
  <si>
    <t>*   Freight rail 
*   Rail engineering 
*   National ports authority 
*   Port terminals 
*   Pipelines</t>
  </si>
  <si>
    <t>Investment properties</t>
  </si>
  <si>
    <t>Investments in subsidiearies</t>
  </si>
  <si>
    <t>Investments in associates and joint ventures</t>
  </si>
  <si>
    <t>Derivative financial assets</t>
  </si>
  <si>
    <t>Other investments and long term financial assets</t>
  </si>
  <si>
    <t>Long term loans and advances</t>
  </si>
  <si>
    <t>Inventories</t>
  </si>
  <si>
    <t>Other short term investments</t>
  </si>
  <si>
    <t>Cash and cash equivalents</t>
  </si>
  <si>
    <t>Assets classified as held for sale</t>
  </si>
  <si>
    <t xml:space="preserve">Issued capital </t>
  </si>
  <si>
    <t>Reserves</t>
  </si>
  <si>
    <t>Post retirement benefit obligations</t>
  </si>
  <si>
    <t>Long term borrowings</t>
  </si>
  <si>
    <t>Derivative financial liabilities</t>
  </si>
  <si>
    <t>Deferred tax liabilities</t>
  </si>
  <si>
    <t>Long term provisions</t>
  </si>
  <si>
    <t>Trade payables and accruals</t>
  </si>
  <si>
    <t>Short term borrowings</t>
  </si>
  <si>
    <t>Current taxation liability</t>
  </si>
  <si>
    <t>Short term provisions</t>
  </si>
  <si>
    <t>Liabilities directly associated with assets classified as held for sale</t>
  </si>
  <si>
    <t>Changes in working capital</t>
  </si>
  <si>
    <t>Finance costs</t>
  </si>
  <si>
    <t>Fianance income</t>
  </si>
  <si>
    <t>Taxation paid</t>
  </si>
  <si>
    <t>Settlement of post retirement benefit obligations</t>
  </si>
  <si>
    <t>Derivatives raised and settled</t>
  </si>
  <si>
    <t>Investment to maintain operations</t>
  </si>
  <si>
    <t>Investment to expand operations</t>
  </si>
  <si>
    <t>Borrowings raised</t>
  </si>
  <si>
    <t>Borrowings repaid</t>
  </si>
  <si>
    <t>Net increase/(decrease) in cash and cash equivalents</t>
  </si>
  <si>
    <t xml:space="preserve">    Depreciation and armotisation</t>
  </si>
  <si>
    <t xml:space="preserve">    Other</t>
  </si>
  <si>
    <t>Other non-current liabilities</t>
  </si>
  <si>
    <t>Current taxation assets</t>
  </si>
  <si>
    <t>Security of supply petroleum levy</t>
  </si>
  <si>
    <t>Chris Wells</t>
  </si>
  <si>
    <t>Anoj Singh</t>
  </si>
  <si>
    <t>Observed leading practices</t>
  </si>
  <si>
    <t>Business performance</t>
  </si>
  <si>
    <t>*   First year reporting on the new strategy that replaced the four (4) pillars of strategy. 
*   To roll out the strategy, the CEO visited 10 cities in SA, Tanzania, Lesotho and Mozabique.
*   The business is groiwng and achieving its strategic goals. Financial performance continue to grow and exceeds previous years.
*   First financial report since acquisition by Vodafone.
*   First integrated report for Vodacom.
*   Need access to additional spectrum.
*   Planning issues holding the expansion of their network.
*   Growing the business in Africa through acquisition strategies via the Vodafone Group.
*   Building enablers for the realisation of the strategy.
*   Has an extensive governance structure across the organisation comprising of Oversight and Govervance Structure and Management Structure, which cascades down to project level (Strategic&gt;Tactical&gt;Operational&gt;Process&gt;Project).</t>
  </si>
  <si>
    <t>Drivers of Growth</t>
  </si>
  <si>
    <t>*   Data revenue grew by 35.5%.
*   Customer numbers increased by 9% to 43.5mn.
*   More than 60% growth in dividends.
*   Low penetration rates in data bodes well for increased revenues.
*   Termination rates dropped and this affected the financial performance from this revenue stream
*   Low fixed to mobile due to switching from fixed to mobile.
*   Poor performance from their international business.</t>
  </si>
  <si>
    <t>Measures of Value</t>
  </si>
  <si>
    <t>*   Growth in revenue
*   Growth in customer number
*   Growth in capex
*   Improvement in opex
*   Growth in Headline EPS
*   Growth in dividends payout</t>
  </si>
  <si>
    <t xml:space="preserve">*   
*   
*   
*   
*   
*   
*   
*   
*   
*   
*   </t>
  </si>
  <si>
    <t xml:space="preserve">*   The economic downturn has resulted in certain freight volumes, particularly the general freight business at Freight Rail and containers at ports, being well below levels of a year ago.
*   The past financial year has been a defining year for Transnet, one which has demonstrated very clearly the robustness of Transnet’s turnaround initiatives. 
*   The vast improvements in both the financial health of the Company and the efficiency and productivity of operations have seen Transnet weather some of the most challenging economic storms in recent history while still delivering growth, strong financial results and continuing to invest record amounts on capital investment.
*   The ongoing implementation of the Growth Strategy has transformed Transnet in significant ways. The benefits of greater integration have been felt in every area of the business, particularly in commercial offerings and operations.
*   The restructuring of customer processes has ensured that Transnet is far more sensitive to the needs of our customers and is able to respond rapidly to these changing needs. This new capability has stood us in good stead over the past year and is especially relevant in these trying times.
*   Global output and trade plummeted in the final months of 2008 and remain at low levels. 
*   The continuation of the financial crisis has caused asset values to fall sharply across advanced and emerging economies, decreasing household wealth and thereby putting downward pressure on consumer demand.
*   From Transnet’s perspective, the past year was characterised by two very different halves. Even in the face of slowing global activity, commodity prices and freight volumes continued to grow during the first half of the year before abruptly declining as the global financial crisis intensified in September 2008 and spilled over into the real economy. Many of Transnet’s customers have had to confront sharp reductions in both prices and demand for their goods.
*   </t>
  </si>
  <si>
    <t>FTM Phaswana</t>
  </si>
  <si>
    <t>Prof GK Everingham</t>
  </si>
  <si>
    <t>Turnaround Strategy - Remaking Transnet</t>
  </si>
  <si>
    <t>Growth Strategy - Quantum Leap</t>
  </si>
  <si>
    <t>*   Clear vision statement
*   Governance structures to provide oversight and management
*   Change management for competitiveness
*   Communication with stakeholders
*   Management of value for stakeholders
*   Effective strategy execution - focused on value for shareholders</t>
  </si>
  <si>
    <t>*   Clear vision statement
*   The use of 'strategy maps' to communicate the strategy
*   Governance structures to provide oversight and management
*   Change management for competitiveness
*   Communication with stakeholders
*   Management of value for stakeholders
*   Effective strategy execution - focused on value for shareholders</t>
  </si>
  <si>
    <t>*   Clear vision statement
*   Change management for competitiveness
*   Communication with stakeholders
*   Management of value for stakeholders
*   Effective strategy execution - focused on value for shareholders</t>
  </si>
  <si>
    <t>Brian Molefe</t>
  </si>
  <si>
    <t>Mafika E Mkhwanazi</t>
  </si>
  <si>
    <t>*   The objective of the funding plan is to ensure that Transnet has adequate liquidity to meet all its operational and capital investment funding requirements. The choice of the funding instrument to fund any capital investment project will be subject to a thorough cost and risk assessment, including smoothing the maturity profile to avoid undue market risk, refinancing risk and other risks.
*   The results for the year, as reflected in our first Integrated Annual Report, show laudable operational and financial achievements. 
*   We have seen encouraging performances from our ports and pipelines operations against their targets. 
*   We have made significant progress in boosting capacity through our record-breaking capital investment programme.
*   However, Freight Rail, our largest Operating division, has underperformed on key elements of our Quantum Leap strategy. 
*   This Operating division requires urgent management interventions to ensure that it is refocused on customer service as well as operational efficiencies to increase volumes, especially on the General Freight business. 
*   Crucially, the safety of our employees, our assets and those of our customers requires increased focus.
*   The Quantum Leap initiatives delivered meaningful improvements in the port and pipeline operations. This included volume growth and productivity improvements that, together with cost-reduction initiatives, contributed to improved profitability.  
*   The rollout of the capital investment programme continues to create capacity ahead of demand to enable economic growth. 
*   However, rail operations have underperformed on key elements of the Quantum Leap strategy, particularly volume growth, safety and operational efficiency that negatively impacted the achievement of financial targets.
*   Transnet’s funding strategy aims to ensure sufficient liquidity to meet all its operational and capital investment funding requirements by raising the required funding ahead of demand, and cost effectively.</t>
  </si>
  <si>
    <t>*   Regrettably, our successes were marred by a series of safety incidents, which resulted in the deaths of 12 of our colleagues. Any employee fatality in the course of duty is unacceptable to us.
*   Revenue for the year increased by 6,6% to  R38,0 billion (2010: R35,6 billion) despite the negative impact of the industrial strike action in May 2010. 
*   Although volumes for the general freight business and at the ports were negatively affected by the strike, overall general freight and container volumes increased by 2,2% to 73,7mt (2010: 72,1mt) and 12,5% to 4 080 832 TEUs  (2010: 3 628 895 TEUs) respectively.
*   Numerous cost-reduction initiatives were implemented throughout the Company during the year. This resulted in cost savings of R2,1 billion, despite significant increases in input costs, such as electricity costs of 25,4%. Accordingly, operating expenses increased marginally by 4,7% to  R22,2 billion (2010: R21,2 billion). 
*   Consequently, earnings before interest, taxation, depreciation and amortisation (EBITDA) increased by 9,4% to R15,8 billion (2010: R14,4 billion) resulting in an EBITDA margin of 41,5% (2010: 40,5%).
*   Accordingly, net profit from operations before net finance costs of R8,6 billion (2010: R7,3 billion) reflects an increase of 16,6% when compared to the prior year.
*   Cash generated from operations amounted to R16,2 billion (2010: R14,2 billion), an increase of 13,5% compared to the prior year, demonstrating the ability of the Group to generate strong sustainable cash flows.
*   Significant focus and better working capital management has resulted in an inflow of R792 million. Cash generated from operations after working capital changes increased by 13,5% to R18,3 billion (2010: R16,1 billion).
*   R11,4 billion was invested in expanding the current infrastructure and equipment, while R10,1 billion was invested in maintaining the existing capacity. Over the past five years, the Group has invested, and successfully implemented, capital projects to the value of R86,8 billion.</t>
  </si>
  <si>
    <t>Market Demand Strategy (MDS)</t>
  </si>
  <si>
    <t>*   Transnet posted an impressive 20,9% increase in revenue to R45,9 billion. This was driven by growth in volumes, and more importantly, an 18,0% improvement in operational efficiencies and productivity – a key element of the Company’s strategy. 
*   Consequently, the Company’s key measure of profitability, earnings before interest, taxation, depreciation and amortisation (EBITDA) or profit from operations increased by 19,8% to R18,9 billion.
*   This performance was underpinned by strong growth in volumes from all Operating divisions, led by Freight Rail, which surpassed 201 million tons (mt) of freight moved in a single year, a first in the history of the Company and its predecessors.
*   Our record breaking capital investment programme, a key element in our drive to boast efficiency and create capacity was R22,3 billion for the year.
*   Significant progress has been made in improving the Company’s safety performance during the year. Notwithstanding this improvement, 2012 saw fatalities of seven employees on duty.
*   Revenue for the year increased by 20,9% to R45,9 billion (2011: R38,0 billion), mainly due to a growth in volumes.  
*   Significant productivity and efficiency improvements of 18,0% as well as volume growth were realised across all Operating divisions.  This demonstrates the positive impact of the new operations philosophy of the Company as well as the benefits of the increased capacity created by the capital expenditure programme.
*   General freight volumes increased by 9,9% to 81,0mt (2011: 73,7mt) including an increase in containers on rail of 21,5% to 762 760 TEUs (2011: 627 825 TEUs), evidencing a market share growth. On-time departures and arrivals for the general freight business improved by 18,9% and 17,7% respectively compared to prior years as a result of the 'Yard Countdown Tool' introduced during the year. 
*   Operating costs increased by 21,8% to R27,0 billion (2011: R22,2 billion) mainly due to an increase in material costs of 46,4%, an increase in personnel costs of 18,8% as well as increased energy costs of 31,4%. Material costs increased in response to the higher levels of maintenance incurred to support volume growth and to facilitate further improvements in safety.
*   Accordingly, net profit from operations before net finance costs of R10,0 billion (2011: R8,6 billion) reflected an increase of 16,8% when compared to the prior year.
*   Profit for the year from continuing operations amounted to R4,1 billion (2011: R4,2 billion), a decrease of 1,6%.</t>
  </si>
  <si>
    <t>*   Transnet’s greatest sadness this year, is that despite the Company’s efforts to improve safety, nine colleagues lost their lives on duty and also  deeply  regret  that  125  members  of  the  public  were  killed  when  walking  on  or driving onto active railway lines.
*   Revenue for the year increased by 9,4% to R50,2 billion (2012: R45,9 billion), mainly as a result of a 3,3% increase in total volumes railed to 207,7mt (2012: 201,0mt), which is higher than the GDP growth rate of 2,5%.
*   Numerous cost-reduction initiatives were implemented by the Company during the year in response to the uncertain economic environment. This response resulted in cost savings of R2,2 billion, mainly through procurement and lean six sigma activities, a moratorium on the filling of noncritical vacancies and a reduction in discretionary spend, which offset increases in input costs. 
*   Operating costs increased by 7,9% to R29,1 billion (2012: R27,0 billion) mainly due  to  an  increase  in  material  costs  of  12,4%,  an  increase  in personnel costs of 3,2% as well as increased energy costs of 23,0%. Material costs increased due to higher steel prices as well as due to the increased levels of maintenance incurred to support the growth in rail volumes.
*   Consequently, earnings before interest, taxation, depreciation, De-recognition and amortisation (EBITDA) increased by a credible 11,5% to R21,1 billion (2012: R18,9 billion), resulting in an EBITDA margin of 41,9%. This represents real growth in EBITDA as it exceeds inflation and is almost five times domestic GDP growth.
*   Profit from operations after depreciation and amortisation increased by 11,8% to R11,8 billion (2012: R10,5 billion).
*   Accordingly, profit from operations before net finance costs increased by 14,5% to R11,5 billion (2012: R10,0 billion).
*   Profit for the year amounted to R4,3 billion (2012: R4,1 billion), an increase of 5,4% compared to the prior year.
*   Cash generated from operations amounted to R22,6 billion (2012: R20,6 billion), an increase of 9,6% from the prior year, evidencing the ability of the Group to generate strong sustainable cash flows.
*   The Group’s capital investment for the year ended 31 March 2013 amounted to R27,5 billion (excluding capitalised borrowing costs), a 23,4% increase from the prior year’s investment of R22,3 billion.</t>
  </si>
  <si>
    <t xml:space="preserve">Enabling economic growth </t>
  </si>
  <si>
    <t>Strategic Objectives / Priorities / Thrusts</t>
  </si>
  <si>
    <t>*   Becoming a key supplier for thermal coal and manganese exports as well as maintaining position as a credible supplier of iron ore locally and abroad.
*   Position South Africa as the leading logistics hub in the region.
*   Become the regional container trans-shipment hub for sub-Saharan Africa.
*   Improved infrastructure can lower supply chain costs of businesses in South Africa.</t>
  </si>
  <si>
    <t>*   R312,2bn investment programme, over the next seven years.
*   Sustaining capital investment makes up 51% of total planned capital expenditure.
*   Expanding technological know-how and grow product offering.
*   Capacity ahead of demand.</t>
  </si>
  <si>
    <t>*   12% per annum growth in revenue over the next seven years.
*   Maintain investment grade credit rating over the next seven years.
*   Hybrid capital to minimise impact on key ﬁnancial ratios.
*   Unlock private sector investment.
*   To maintain gearing &lt;50% and cash interest cover &gt;3,0 times.</t>
  </si>
  <si>
    <t>Capital investment programme</t>
  </si>
  <si>
    <t>Continued financial stability and strength</t>
  </si>
  <si>
    <t xml:space="preserve">Significant productivity and operational efficiency improvements </t>
  </si>
  <si>
    <t>Shift from road to rail via volume growth</t>
  </si>
  <si>
    <t>*   Technology and innovation.
*   Greater efficiency and safety.
*   Ensuring operational excellence across the business. Upgrades and expansions will improve efficiency.</t>
  </si>
  <si>
    <t>*   Rail volumes will increase from around 210,4 million tons to 343,9 million tons per annum by 2021.
*   A switch from road to rail will reduce costs, congestion and carbon emissions.
*   Mitigate against further deterioration of the secondary road network.</t>
  </si>
  <si>
    <t>Creating regulatory certainty and compliance with policy</t>
  </si>
  <si>
    <t>Prioritising safety and security</t>
  </si>
  <si>
    <t>Active participation in regional integration initiatives and structures</t>
  </si>
  <si>
    <t>Job creation, skills development, localisation, empowerment and transformation opportunities</t>
  </si>
  <si>
    <t>*   Hundreds of thousands. The total number of jobs we will create within the South African economy.
*   65 785 permanent employees by 2021.
*   20,3% increase in permanent employees over the seven-year period to support growth of the business.
*   R9 031billion, the amount we will spend on training, skills development bursaries and grants by 2021.
*   By 2021, Transnet’s total procurement spend (tmps) with black women-owned companies should account for 5% of the budget.
*   5 735 Artisans are to be trained from the period 2015 to 2021.
*   B-BBEE Level 1 by 2018.</t>
  </si>
  <si>
    <t>*   Position Transnet Engineering to become the preferred supplier of rolling stock in 
Africa.
*   Provide integrated fuel solution via pipe and rail to Botswana and Zimbabwe.
*   Increase over-border volumes in our rail business from 7,2mt to 18,6mt by 2021.</t>
  </si>
  <si>
    <t>*   Safety is a vital element of Transnet’s operations and is managed through the Transnet Safety, Health, Environment and Quality Management system. The Transnet seven Golden Safety Actions, communicated to all company employees, set the benchmark for safe behaviour within Transnet.
*   Zero tolerance for fatalities.
*   DIFR consistently below 0,8.</t>
  </si>
  <si>
    <t>*   Transnet will continue to support government in driving transformation.
*   Review pricing in order to comply with economic regulations.</t>
  </si>
  <si>
    <r>
      <t>*   The MDS implementation plan is encapsulated through six pillars and two foundational enablers as follows:
   1. Capital Planning and execution
   2. Volumes and customer satisfaction
   3. Operational efficiencies and productivity
   4. Finance and funding
   5. Regulatory and key stakeholder engagement
   6. Safety, risk and sustainability
*   The MDS remains the epicentre of Transnet’s strategic direction, but requires ongoing attention to bring aspirations closer to economic reality.
*   Key performance areas</t>
    </r>
    <r>
      <rPr>
        <b/>
        <i/>
        <sz val="11"/>
        <color theme="1"/>
        <rFont val="Arial"/>
        <family val="2"/>
      </rPr>
      <t xml:space="preserve"> (See objectives in AR)</t>
    </r>
    <r>
      <rPr>
        <sz val="11"/>
        <color theme="1"/>
        <rFont val="Arial"/>
        <family val="2"/>
      </rPr>
      <t>:
   1. The expansion and maintenance of economic infrastructure
   2. Growing volumes and improving market share
   3. Enabling regional integration
   4. Improving performance, productivity and operational efficiencies
   5. Promoting sustainable growth
   6. Prioritising safety, skills development and procurement
   7. Creating regulatory certainty and compliance with policy including optimising the social and economic impact of all interventions
   8. Driving research and the deployment of new and cutting-edge technologies</t>
    </r>
  </si>
  <si>
    <t>*   Revenue for the year increased by 12,8% to R56,6 billion (2013: R50,2 billion), mainly as a result of mineral and chrome volumes increasing by 14,2% as well as strong growth in the containers on rail and automotive sectors of 25,2%, which performed well in excess of GDP growth of 3,8%, reflecting market share gains. Port container volumes increased by 6,3% and petroleum volumes increased by 4,4%. 
*   Operating costs increased by 13,1% to R33,0 billion (2013: R29,1 billion) mainly due to an increase in energy costs of 10,3% as well as an increase in personnel costs of 14,6%. Energy costs increased mainly due to the higher electricity tariffs as well as fuel price increases impacted by foreign exchange volatility.
*   The operating cost increase was limited primarily as a result of numerous cost-reduction initiatives implemented throughout the Company, which resulted in a R2,1 billion saving in planned costs.
*   Consequently, earnings before interest, taxation, depreciation and amortisation (EBITDA) increased by 12,3% to R23,6 billion (2013: R21,1 billion), while the EBITDA margin decreased slightly to 41,8% (2013: 41,9%).
*   Profit from operations after depreciation and amortisation increased by 9,6% to R12,9 billion (2013: R11,8 billion).
*   Accordingly, net profit from operations before net finance costs increased by 13,5% to R12,7 billion (2013: R11,2 billion).
*   Profit for the year amounted to R5,2 billion (2013: R4,1 billion), an increase of 24,9% compared to the prior year
*   Cash generated from operations amounted to R24,0 billion (2013: R22,6 billion), an increase of 6,4% from the prior year, evidencing the Group’s ability to generate strong sustainable cash flows.
*   The Group’s capital investment for the year amounted to R31,8 billion (2013: R27,5 billion) – excluding capitalised borrowing costs – representing a 15,6% increase from the prior year’s investment. The increase is due mainly to capital expenditure of R4,9 billion being expended earlier than expected on the 1 064 locomotive contract before year-end.</t>
  </si>
  <si>
    <t>Linda Mabaso</t>
  </si>
  <si>
    <t>Financial Sustainability</t>
  </si>
  <si>
    <t>*   Financial stability and Strength 
     • 12% p.a. growth in revenue over seven years.
*   Cost-effective funding
     • Maintain gearing of &lt;50% and cash interest cover of &gt;3,0 times.
     • Maintain investment-grade credit rating.
*   Private-sector participation
     • Unlock private sector investment.</t>
  </si>
  <si>
    <t>*   Capacity ahead of demand
     • R336,6 billion capital investment over seven years.
*   Optimised capital portfolio and asset utilisation
     • 51% of total planned capital expenditure allocated to sustaining capital investment.
*   Critical logistics infrastructure
     • R97,6 billion on acquisition and maintenance of general freight locomotives and wagons over seven years.
     •R43,5 billion to expand and upgrade port facilities.
     •R12,6 billion to expand container terminals throughout the port system</t>
  </si>
  <si>
    <t>Capacity Creation and Maintenance</t>
  </si>
  <si>
    <t>Operational Excellence</t>
  </si>
  <si>
    <t>Market Segment Competitiveness</t>
  </si>
  <si>
    <t>*   World-class operations in rail, ports and pipelines
     • Adhere to global operational standards and leading practice norms.
*   Infrastructure reliability
     • 6 136 million TEUs handled at the ports by 2021.
*   Capital projects on time and within budget
     • Prioritise projects and programmes to meet MDS objectives.
     • Achieve platinum standard capital management and execution.
     • Business continuity.</t>
  </si>
  <si>
    <t>*   Customer satisfaction
     • Become key logistics provider for thermal coal and manganese exports.
     • Maintain position as credible transporter of iron ore locally and abroad.
*   Integrated intermodal system
     • Integrated intermodal freight handling system to enable regional trade.
*   Volume growth
     • Move 18,5 billion litres of petroleum products by 2021.
     • Increase export coal capacity to 97mt, including Waterberg, by 2021.
     • Increase export iron ore capacity to 71mt by 2021.
*   Shift from road to rail
     • Rail volumes to increase to 343,9 mtpa by 2021.</t>
  </si>
  <si>
    <t>The MDS implementation plan is encapsulated through eight pillars comprising four strategic imperatives and four foundational enablers:
*   Capital planning and execution: We will provide critical logistics infrastructure and capacity.
*   Grow volumes, enhance customer satisfaction and improve market share: We will work to ensure customer satisfaction and transform the transport industry, thereby growing volume.
*   Operational efﬁciencies and productivity: We will improve operational efﬁciencies and pursue performance excellence in all we do.
*   Finance and funding: We will pursue ﬁnancial sustainability through responsible ﬁnance and funding and Private Sector Participation.
*   Constructive stakeholder relations: We will engage internal and external stakeholders on critical issues to support the MDS and to promote a collaborative view of the transport sector.
*   Organisational readiness: We will promote a high performance culture that prioritises safety and inclusiveness and creates an integrated organisational structure.
*   Sound governance and ethics: We will ensure ethical leadership, regulatory compliance, social accountability and environmental stewardship; and promote an impeccable governance and risk framework.
*   Human capital: We will build a skilled and representative workforce.</t>
  </si>
  <si>
    <t xml:space="preserve">*   Revenue for the year increased by 8,0% to R61,2 billion (2014: R56,6 billion), mainly as a result of minerals and chrome volumes increasing by 13,5%; and iron ore and manganese volumes increasing by 10,7%. 
*   Port bulk and break-bulk volumes increased by 8,1% and petroleum volumes increased by 3,6%. 
*   Operating costs increased by 7,9% to R35,6 billion (2014: R33,0 billion) mainly due to an increase in energy costs of 5,7% as well as an increase in personnel costs of 10,0%. 
*   Consequently, earnings before interest, taxation, depreciation and amortisation (EBITDA) increased by 8,2% to R25,6 billion (2014: R23,6 billion), while the EBITDA margin remained at 41,8% (2014: 41,8%).
*   Accordingly, net profit from operations before net finance costs increased by 7,7% to R13,7 billion (2014: R12,7 billion).
*   Profit for the year amounted to R5,3 billion (2014: R5,2 billion), an increase of 2,5% compared to the prior year.
*   Cash generated from operations amounted to R27,3 billion (2014: R24,0 billion), an increase of 13,5% from the prior year, evidencing the ability of the Group to generate strong sustainable cash flows. 
*   Cash generated from operations after working capital changes have increased by 21,1% to R30,6 billion (2014: R25,3 billion) as a result of an active programme on improving working capital management.
</t>
  </si>
  <si>
    <t>Siyabonga Gama</t>
  </si>
  <si>
    <t>Garry Pita</t>
  </si>
  <si>
    <t>Commercial Drivers
Financial sustainability
*   Maintain a ﬁnancially stable and sustainable business
*   Diversify revenue sources
*   Maintain key ﬁnancial ratios
*   Maintain investment grade credit rating
*   Manage liquidity and raise cost-effective funding
*   Expand funding options
Capacity creation and maintenance
*   Capital optimisation and value engineering 
*   Investment prioritisation of strategic projects
*   Achieve platinum standard capital management    and execution
*   Increase capacity and capability to deliver the Capital Investment Plan
*   Mitigation of risks in the creation of capacity 
*   Alignment of the Capital Investment Plan with the Long-term Planning Framework
*   Operational readiness for projects and programmes
Operational excellence
*   Operational readiness and infrastructure reliability
*   A commitment to delivering freight reliably
*   Achieve world-class operations in rail, ports and pipelines
*   Improved levels of productivity and reliability against benchmark performance
*   Increased asset utilisation
*   Grow volumes and improve market share
*   Improve customer satisfaction levels and enhance customer experience
*   Instil a customer-centric culture and mind-set
Market segment competitiveness
*   Promote an integrated and aligned regional infrastructure network that allows for value chain optimisation at network and industry level
*   Reduce total cost of logistics as a percentage of transportable GDP
*   Promote end-to-end visibility along the value chain</t>
  </si>
  <si>
    <t>AGILE - Fit and focused in a volatile world</t>
  </si>
  <si>
    <t>*   Drive efficiency in all we do; with 25% less operational expenditure.
*   Drive Road-to-Rail strategy to get our volumes on track and to increase our weekly tempo.
*   Fully implement the capital platinum standard across the project lifecycle stages.
*   Adjust risk and optimise our capital portfolio.
*   Diversify revenues outside the core.</t>
  </si>
  <si>
    <t>ADMIRED - Trusted, innovative South African brand</t>
  </si>
  <si>
    <t>*   Design and implement innovative customer value propositions to capture market share.
*   Build Africa’s largest advanced manufacturing business.
*   Be a preferred choice for investors and talent.</t>
  </si>
  <si>
    <t>DIGITAL - Evolve</t>
  </si>
  <si>
    <t xml:space="preserve">*   Make our service and assets reliable by using advanced analytics and leading edge applications.
*   Digitally enable customer value propositions.
*   Maximise return on assets by deploying tools to drive asset productivity in yards and networks.
*   Improve our governance by providing click-of-a-button transparency on our performance.
</t>
  </si>
  <si>
    <t>UNITED - Together we succeed.</t>
  </si>
  <si>
    <t>With a geographical footprint that covers our entire country, Transnet is inextricably involved in all aspects of life in South Africa. As such, we ensure that that we play a pivotal role in enhancing the quality of life in all areas we operate. Assists in creating valuable business opportunities that extend far beyond the shorelines and borders of the country. Transnet's geographical coverage spans:
*   Five Operating Divisions spread throughout South Africa
*   Four satellite offices in Lesotho, Tanzania, Namibia and Swaziland
*   Three joint operating centres in Mozambique, Botswana and Zimbabwe</t>
  </si>
  <si>
    <t>Transnet's Operating Divisions</t>
  </si>
  <si>
    <t>Customer Profile</t>
  </si>
  <si>
    <t>*   Large mining, shipping, manufacturing, agricultural, industrial, retail and energy contributors to the South African economy</t>
  </si>
  <si>
    <t>Commodities Transported</t>
  </si>
  <si>
    <t>Pipelines</t>
  </si>
  <si>
    <t>*   Refined petroleum products
*   Crude oil
*   Aviation turbine fuel 
*   Methane-rich gas</t>
  </si>
  <si>
    <t>*   Coal 
*   Iron ore
*   Manganese
*   Chrome
*   Steel
*   Cement
*   Agricultural products
*   Forestry products
*   Aggregate automotive
*   Fast-moving consumer goods
*   Containerised cargo
*   Crude oil</t>
  </si>
  <si>
    <t> 1. Macroeconomic environment
 2. Energy supply
 3. Capital execution
 4. People management
 5. Pricing
 6. ICT infrastructure
 7. Productivity and efficiency
 8. Operational readiness
 9. Regulatory
10. Volume growth</t>
  </si>
  <si>
    <t>Market Demand Strategy</t>
  </si>
  <si>
    <t xml:space="preserve">*   Continue to grow the modal shift from road to rail – increase weekly railed tempos.
*   Fully implement Group-wide Capital Platinum Standard.
*   Optimise the capital portfolio and eliminate negative-return projects.
*   Identify cost-saving opportunities in procurement and eliminate unnecessary overhead and administrative expenditure.
*   Implement a capital and income statement planning system – ensure every Rand spent is justified and tied to growth. </t>
  </si>
  <si>
    <t xml:space="preserve">*   Promote ethical leadership at all levels of the organisation.
*   Develop and deploy innovative customer value propositions by harnessing the knowledge, experience and strengths across Operating Divisions and functional departments.
*   Meet efficiency-improvement targets through a high performance ethos, supported by the right skills at the right time.
*   Provide reliable and predictable services and exceed customer expectations. 
*   Build trust through an ethical and governance-led organisation.
*   Maintain industry ‘legitimacy’ by practising care in the way we impact the six capitals through all our activities. </t>
  </si>
  <si>
    <t>*   Embrace the benefits of technology to achieve interoperability, information transparency and integrated technical support systems.
*   Implement real-time customer feedback systems, thereby enabling stakeholders to make informed assessments of our performance.
*   Introduce ‘click-of-a-button’ transparency on the state Of Transnet’s capital portfolio.
*   Implement digital dashboards that show a ‘single version of the truth’ – focus problem-solving and decision-making accordingly to shift performance.
*   Create new mobile applications to display operational activities and progress in real time.
*   Introduce appropriate ICT governance controls.</t>
  </si>
  <si>
    <t>*   Promote an ethical culture in all we do by recognising our connectivity to – and impacts on – each other and all our stakeholders.
*   Engage the broader stakeholder base in proactive and responsive ways.
*   Build enthusiasm and motivation by actively engaging people in the field.
*   Know Transnet through its people – an ‘employer of choice’ and a work environment in which to grow and prosper personally and professionally.</t>
  </si>
  <si>
    <t>AGILE - Driven, Efficient, Adaptable</t>
  </si>
  <si>
    <t>ADMIRED - Impeccable, Innovative, Motivated by excellence</t>
  </si>
  <si>
    <t>DIGITAL - Inventive, Customer-centric, Advanced</t>
  </si>
  <si>
    <t>UNITED - Single-minded, United, Tolerant of others’ ideas, Understand our impact</t>
  </si>
  <si>
    <t>*   Revenue for the year increased by 5,3% to R65,5 billion (2016: R62,2 billion), driven by a 4,9% increase in general freight and a 2,4% increase in export coal railed volumes. 
*   Container volumes increased marginally by 0,7%, while manganese volumes increased by an impressive 17,5% to 12,1 mt (2016: 10,3 mt). 
*   We continued to mitigate the impact of slow economic growth through stringent cost-containment measures and working-capital management, containing operating costs at R37,9 billion (2016: R35,9 billion), a 5,6% increase. This resulted in a R2,4 billion saving in planned costs. 
*   As a result, earnings before interest, taxation, depreciation and amortisation (EBITDA) – Transnet’s key measure of profitability – increased by 5,0% to R27,6 billion (2016: R26,3 billion). The EBITDA margin decreased by 0,2% to 42,1% (2016: 42,2%).
*   We maintained financial stability and agility by optimising capital expenditure based on validated demand, with our capital investment for the year amounting to R21,4 billion (excluding capitalised borrowing costs), representing a 27,5% decrease from the prior year (2015: R29,6 billion).
*   Overall, our operational efficiency ratio exceeded the 2017 target by 14,9%.</t>
  </si>
  <si>
    <t>Transnet SOC Limited</t>
  </si>
  <si>
    <r>
      <rPr>
        <b/>
        <sz val="10"/>
        <color theme="1"/>
        <rFont val="Arial"/>
        <family val="2"/>
        <scheme val="minor"/>
      </rPr>
      <t>Transnet Services</t>
    </r>
    <r>
      <rPr>
        <sz val="10"/>
        <color theme="1"/>
        <rFont val="Arial"/>
        <family val="2"/>
        <scheme val="minor"/>
      </rPr>
      <t xml:space="preserve">
Transnet’s services are both outbound (South African businesses moving products to international markets) and inbound (bringing products to South African markets).
*   Commodities transported include mining exports, general freight and petroleum products. 
*   General freight includes: containerised cargo, local manganese, minerals, local coal, local iron ore, chrome and ferrochrome, agricultural products, iron and steel, fertilisers, cement, fast-moving consumer goods, bulk liquids, wood and wood products, industrial chemicals, intermediate products and automotive products.
*   Petroleum products include: crude oil, refined petroleum products, aviation turbine fuel and methane-rich gas products.
</t>
    </r>
    <r>
      <rPr>
        <b/>
        <sz val="10"/>
        <color theme="1"/>
        <rFont val="Arial"/>
        <family val="2"/>
        <scheme val="minor"/>
      </rPr>
      <t>Transnet Support Services</t>
    </r>
    <r>
      <rPr>
        <sz val="10"/>
        <color theme="1"/>
        <rFont val="Arial"/>
        <family val="2"/>
        <scheme val="minor"/>
      </rPr>
      <t xml:space="preserve">
The Corporate Centre’s main objective is to set strategic direction and to maintain and review policy development through the following support processes:
*   Office of the Group Chief Executive
*   Office of the Group Chief Financial Officer, including: 
      •  Treasury
      •  Financial management and control
      </t>
    </r>
    <r>
      <rPr>
        <sz val="10"/>
        <color rgb="FFFF0000"/>
        <rFont val="Arial"/>
        <family val="2"/>
        <scheme val="minor"/>
      </rPr>
      <t>•  Capital integration and assurance</t>
    </r>
    <r>
      <rPr>
        <sz val="10"/>
        <color theme="1"/>
        <rFont val="Arial"/>
        <family val="2"/>
        <scheme val="minor"/>
      </rPr>
      <t xml:space="preserve">
      •  Integrated supply chain management
      •  Governance and risk
      •  Reporting and taxation
*   Other support functions
     </t>
    </r>
    <r>
      <rPr>
        <sz val="10"/>
        <color rgb="FFFF0000"/>
        <rFont val="Arial"/>
        <family val="2"/>
        <scheme val="minor"/>
      </rPr>
      <t>•  Strategy, planning and sustainability</t>
    </r>
    <r>
      <rPr>
        <sz val="10"/>
        <color theme="1"/>
        <rFont val="Arial"/>
        <family val="2"/>
        <scheme val="minor"/>
      </rPr>
      <t xml:space="preserve">
     •  Commercial, economic regulation and private sector participation
     •  Human resources
     •  Risk management
     •  Legal and compliance
     </t>
    </r>
    <r>
      <rPr>
        <sz val="10"/>
        <color rgb="FFFF0000"/>
        <rFont val="Arial"/>
        <family val="2"/>
        <scheme val="minor"/>
      </rPr>
      <t>•  Results monitoring</t>
    </r>
    <r>
      <rPr>
        <sz val="10"/>
        <color theme="1"/>
        <rFont val="Arial"/>
        <family val="2"/>
        <scheme val="minor"/>
      </rPr>
      <t xml:space="preserve">
     •  Enterprise information management
     •  Security
     •  Internal audit</t>
    </r>
  </si>
  <si>
    <t>Transnet's Business Model</t>
  </si>
  <si>
    <t>Transnet SOC Ltd is a large South African rail, port and pipeline company. It was formed as a limited company on 1 April 1990. Transnet SOC Ltd is a public company with the South African government running as its sole shareholder. Transnet’s key role is to assist in lowering the cost of doing business in South Africa and enabling economic growth by providing appropriate ports, rail and pipeline infrastructure and operations in a cost-effective and efficient manner and within acceptable benchmark standards. Both operating and controlling South Africa’s major transport infrastructures, Transnet is also responsible for ensuring that the country’s transport industries operate according to world-class standards and that they form an integral part of the overall economy. Each year, the Board negotiates and agrees a range of performance targets with the Department of Public Enterprises (DPE) through a Shareholder Compact, setting out its strategic intention and objectives to fulfil the Shareholder’s mandate. These targets include: volume and revenue growth, capital and financial efficiency, operational efficiency, infrastructure investments, developmental goals, and safety, health and environment. As the custodian of ports, rail and pipelines, Transnet’s objective is to ensure a globally competitive freight system that enables sustained growth and diversification of the country’s economy. Transnet is currently transitioning from its Market Demand Strategy, characterised by accelerated capital investment, towards the Transnet 4.0 Strategy, which is focused on repositioning Transnet, and the country’s freight system, for competitiveness within the fast changing, technology- driven context of the 4th industrial revolution. The strategy’s main growth thrusts includes; geographic expansion, product and service innovation and diversification and expansion of the scope of Transnet’s manufacturing business.</t>
  </si>
  <si>
    <t>Transnet is a public enterprise which generates an income through bulk freight logistics and services directed towards increasing the connectivity, density and capacity of the integrated port, rail and pipeline network.</t>
  </si>
  <si>
    <t>Top business and strategic risks</t>
  </si>
  <si>
    <t>Traditional Ratio Analysis</t>
  </si>
  <si>
    <t>Profit for the year (PAT)</t>
  </si>
  <si>
    <t>Capital Expenditure</t>
  </si>
  <si>
    <t>*   Transnet has adopted the Quantum Leap Strategy to enhance customer service and improve operational efficiency.  
*   The primary focus for the 2011 year is to achieve a significant growth in revenue and volumes; improvement in customer service by enhancing operational efficiencies; ensuring reliability of services, improved productivity and optimum safety and environmental compliance; and achieving further cost reductions.
*   During the year, Transnet achieved significant milestones, including the completion and commissioning of the green fields deep-water Port of Ngqura outside Port Elizabeth; taking delivery of and deploying new and “like-new” locomotives as well as significant port equipment; and completing the reengineering of the Port of Durban, Africa’s busiest port. These accomplishments relied on record levels of spending on our Shareholder’s public policy goals.
*   Significant productivity improvements were realised for key commodities on the four priority corridors: namely, Richards Bay Corridor, Natal Corridor (Natcor), Cape Corridor and the Sishen-Saldanha Corridor, underscoring the effectiveness of the corridor strategy in improving customer service through better operational interface management, improved monitoring of corridor performance, managing operational risk, identifying improvement opportunities and managing strategic projects for targeted commodity flows on these corridors.
*   Since 2004, Transnet has been implementing its four-point turnaround strategy. In essence, this strategy, the fruits of which are still evident, transformed an industrial conglomerate into a focused freight transport and logistics business.</t>
  </si>
  <si>
    <r>
      <t xml:space="preserve">*   Revenue for the current year increased by 6,0% to R35,6 billion (2009: R33,6 billion). 
*   General freight tons decreased to 72,1mt (2009: 78,4mt) when compared to the prior year. However, significantly, the market share for containers on rail increased by 5,7% during the year.  
</t>
    </r>
    <r>
      <rPr>
        <sz val="11"/>
        <color rgb="FFFF0000"/>
        <rFont val="Arial"/>
        <family val="2"/>
      </rPr>
      <t xml:space="preserve">*   A robust cost-cutting exercise implemented at the onset of the economic crisis resulted in a reduction of approximately R1,9 billion of costs compared to planned expenditure, notwithstanding high increases in input costs such as electricity and fuel. </t>
    </r>
    <r>
      <rPr>
        <sz val="11"/>
        <color theme="1"/>
        <rFont val="Arial"/>
        <family val="2"/>
      </rPr>
      <t xml:space="preserve">
*   Consequently, net operating costs increased by only 4,0%  to R21,2 billion (2009: R20,4 billion) reflecting significant operational efficiency gains.
*   Accordingly, earnings before interest, taxation, depreciation and amortisation (EBITDA) increased by 9,2% to R14,4 billion (2009: R13,2 billion) resulting in an improvement in the EBITDA margin to 40,5% (2009: 39,3%). It is anticipated that margins will be maintained over the medium term.
*   Accordingly, profit from operations before net finance costs of R7,3 billion (2009: R8,7 billion) reflected a decrease of 15,4% when compared to the prior year.
*   Cash generated from operations amounted to R16,4 billion (2009: R13,5 billion), an increase of 21,7% when compared to the prior year, evidencing the ability of the Group  to generate strong, predictable, sustainable cash flows.
*   Investing R18.4 billion during the year in infrastructure replacement and capacity expansion, bringing this investment total in the last five years to R81.7 billion.
</t>
    </r>
    <r>
      <rPr>
        <sz val="11"/>
        <color rgb="FFFF0000"/>
        <rFont val="Arial"/>
        <family val="2"/>
      </rPr>
      <t xml:space="preserve">*   Despite steady gains in key areas of the business over the past six years, Transnet’s operational performance has generally fallen short of world-class levels. </t>
    </r>
    <r>
      <rPr>
        <sz val="11"/>
        <color theme="1"/>
        <rFont val="Arial"/>
        <family val="2"/>
      </rPr>
      <t xml:space="preserve">
</t>
    </r>
    <r>
      <rPr>
        <sz val="11"/>
        <color rgb="FFFF0000"/>
        <rFont val="Arial"/>
        <family val="2"/>
      </rPr>
      <t>*   This lethargy in performance has impeded the successful realisation of the Growth Strategy, as first envisaged five years ago. Therefore, the Quantum Leap initiatives aim to change the trajectory of performance improvements to a significantly higher level.</t>
    </r>
    <r>
      <rPr>
        <sz val="11"/>
        <color theme="1"/>
        <rFont val="Arial"/>
        <family val="2"/>
      </rPr>
      <t xml:space="preserve">
*   Capital investment will also increase in the short to medium term. </t>
    </r>
    <r>
      <rPr>
        <sz val="11"/>
        <color rgb="FFFF0000"/>
        <rFont val="Arial"/>
        <family val="2"/>
      </rPr>
      <t>Transnet plans to invest R93,4 billion over the next five years and will seek to leverage additional investment opportunities through private sector partnerships.</t>
    </r>
    <r>
      <rPr>
        <sz val="11"/>
        <color theme="1"/>
        <rFont val="Arial"/>
        <family val="2"/>
      </rPr>
      <t xml:space="preserve"> 
*   A recent study conducted by the Department of Public Enterprises (DPE) found that Transnet’s 2010 plan to invest approximately R80 billion in infrastructure over five years would create over 550 000 employment opportunities and contribute R113 billion to South Africa’s GDP.
*   The successful execution of the strategy will result in a revenue cumulative average growth rate of more than 13% per annum over the next five years and a cumulative average growth rate in top-line profits of approximately 19% over the next five years.</t>
    </r>
  </si>
  <si>
    <r>
      <t xml:space="preserve">*   The economic outlook at the beginning of the year was characterised by significant economic uncertainty. Fortunately, the worst fears of the global economic crisis did not materialise and by the third quarter of 2009,  the economic recovery had become more evident and continues to gain momentum. Global economic activity is estimated to have contracted by 1,8% in 2009 following a 3% growth in 2008.
*   Transnet’s commitment to the continued implementation of its Growth Strategy, initiated during 2008, has enabled the Company to sustain a strong financial performance during the most challenging crisis in recent economic history. 
</t>
    </r>
    <r>
      <rPr>
        <sz val="11"/>
        <color rgb="FFFF0000"/>
        <rFont val="Arial"/>
        <family val="2"/>
      </rPr>
      <t xml:space="preserve">*   Transnet has emerged from the recession in a strong position and is poised to harness and the benefit from the emerging upswing in the economy.
*   Poor conditions in the domestic economy impacted Transnet negatively across most segments of the General freight business (GFB) with total general freight volumes declining by 8% year-on-year. </t>
    </r>
    <r>
      <rPr>
        <sz val="11"/>
        <color theme="1"/>
        <rFont val="Arial"/>
        <family val="2"/>
      </rPr>
      <t xml:space="preserve">
*   General freight performance was, however, better than expected as a result of the increased focus on a limited number of strategic commodities on key freight corridors. 
*   The volumes of commodities transported, which included manganese, magnetite, ferrochrome and intermodal containers, were higher than the target.
*   The financial strength of the Company was enhanced during the review period through the implementation of a range of measures, particularly the move to contain variable costs without negatively impacting employment
*   The ongoing efficiency and productivity improvements have been evident in the volume performances of many parts of the business, except for the Export coal line.</t>
    </r>
  </si>
  <si>
    <t>Quantam Leap</t>
  </si>
  <si>
    <r>
      <t xml:space="preserve">*   The Quantum Leap strategy has been aligned to incorporate the requirements of the NGP and the SSI. The Quantum Leap strategy is informed by the policy context of the developmental state and the NGP, and acknowledges the critical role of state-owned companies (SOCs) as drivers of the developmental state.
</t>
    </r>
    <r>
      <rPr>
        <sz val="11"/>
        <color rgb="FFFF0000"/>
        <rFont val="Arial"/>
        <family val="2"/>
      </rPr>
      <t>*   The underlying urgency on volume growth, increased productivity and efficiency, capital investment, financial sustainability and safety, are the core elements of the Quantum Leap strategy and continue to inform efforts to improve customer service.</t>
    </r>
    <r>
      <rPr>
        <sz val="11"/>
        <color theme="1"/>
        <rFont val="Arial"/>
        <family val="2"/>
      </rPr>
      <t xml:space="preserve">
*   Since 2009, Transnet has been implementing its Quantum Leap strategy. The Quantum Leap strategy is aimed at rapidly improving the pace of volume and revenue as well as, significant safety, productivity and efficiency improvements. By adopting the Quantum Leap strategy, Transnet has sought to refocus the business on what matters the most; the provision of improved services to its customers.
*   During the year, the Quantum Leap initiatives delivered meaningful improvements in the port and pipeline operations, including volume growth and productivity improvements that, together with cost-reduction initiatives, contributed to improved profitability.
*   We raised R18,4 billion without any Government guarantees, an indication of the progress we have made in managing and strengthening our financial position.
*   As a result our gearing ratio, a key consideration for funders, increased to 41,1% from 39,8% in the prior year. This is comfortably within our ceiling of 50% and signals sufficient room for further funding. 
*   However, the cash interest cover ratio decreased marginally to 3,9 times compared to 4,1 times in the prior year. This was due to an increase in net finance costs, as a consequence of our capital investment programme.
*   It is imperative that Transnet’s capital investments be timed appropriately to create the capacity required to meet the South African economy’s overall growth objectives. As a provider of national infrastructure, Transnet endeavours to provide capacity ahead of demand and it is pleasing to report that Transnet’s capital investment for the year (excluding capitalised borrowing costs) amounted to R21,5 billion as at 31 March 2011, compared to R18,4 billion in the prior year.
*   Our R110,6 billion capital investment programme to rejuvenate our rail, ports, pipelines and infrastructure continues to gather momentum in line with our commitment to create capacity ahead of demand.</t>
    </r>
  </si>
  <si>
    <r>
      <t xml:space="preserve">*   Transnet’s Quantum Leap Strategy was informed by the policy context of South Africa’s NGP and the Shareholder expectations and acknowledges the critical role of SOCs as drivers of the developmental State’s objectives.
</t>
    </r>
    <r>
      <rPr>
        <sz val="11"/>
        <color rgb="FFFF0000"/>
        <rFont val="Arial"/>
        <family val="2"/>
      </rPr>
      <t>*   The strategic focus areas address productivity and efficiency improvements, volume growth, financial sustainability, skills development, job creation, infrastructure development, safety, preferential procurement and enterprise development as well as regional integration and regulatory certainty.</t>
    </r>
    <r>
      <rPr>
        <sz val="11"/>
        <color theme="1"/>
        <rFont val="Arial"/>
        <family val="2"/>
      </rPr>
      <t xml:space="preserve">
*   Most of the 2012 Group KPIs incorporated into the Shareholder‘s Compact have been met.
*   The Company is cognisant of the need to grow the economy in a sustainable manner, ensuring that natural resources are protected and that South Africa becomes exemplary in renewable forms of energy, water conservation and waste recycling.
*   Through the MDS, Transnet will satisfy validated demand by accelerating investment in freight logistics capacity and will support the reliable, efficient and cost-effective movement of bulk and manufactured goods.
*   This, in turn, will stimulate a significant increase in freight volumes and encourage a considerable modal shift from road-to-rail, reducing costs and carbon emissions. This will increase Transnet’s energy demand, providing an incentive to improve efficiency and explore innovation.
*   The successful implementation of the MDS will radically alter Transnet’s organisational make-up. With its headcount set to increase by 25% over the next seven years, the Company will, in present day terms, become one of the largest employers in South Africa. Transnet will also become one of the top five global freight railways and one of the top five companies in South Africa in terms of revenue.
</t>
    </r>
    <r>
      <rPr>
        <sz val="11"/>
        <color rgb="FFFF0000"/>
        <rFont val="Arial"/>
        <family val="2"/>
      </rPr>
      <t xml:space="preserve">*   The MDS has been subdivided into the following eight focus areas based on the Company’s commercial needs and South Africa’s broad macro-economic and developmental objectives:
   1. Optimising capital investments and growing the asset base;
   2. Growing volumes and market share;
   3. Improving operational efficiencies;
   4. Secure funding and continued financial strength;
   5. Prioritising SHEQ, sustainability and risk;
   6. Meeting complementary objectives of the NGP through job creation and skills development; 
   7. Creating regulatory certainty; and
   8. Promoting strategic enablers, governance and creating a high performance culture.
</t>
    </r>
  </si>
  <si>
    <r>
      <t xml:space="preserve">*   The year ended 31 March 2013, marks the first year of executing the seven-year MDS to enable economic growth in South Africa. 
*   It has been a year in which the Company’s resilience has helped it weather the effects of challenging economic and operating conditions while still delivering volume growth of 3,3%, driven by a revised operating philosophy at Freight Rail, strong financial results with revenue of R50,2 billion, and a record level of R27,5 billion capital investment.
</t>
    </r>
    <r>
      <rPr>
        <sz val="11"/>
        <color rgb="FFFF0000"/>
        <rFont val="Arial"/>
        <family val="2"/>
      </rPr>
      <t>*   These adverse market conditions together with operating challenges which included lower than anticipated volumes, customer cancellations, rolling stock inefficiencies and infrastructure failures, meant that we could not achieve 49% of the demanding productivity and efficiency targets that we set for ourselves this year.</t>
    </r>
    <r>
      <rPr>
        <sz val="11"/>
        <color theme="1"/>
        <rFont val="Arial"/>
        <family val="2"/>
      </rPr>
      <t xml:space="preserve">
*   Despite these difficulties, there are notable areas of operating performance excellence in every part of Transnet with productivity improvements in key port container terminals, iron ore rail services, pockets of GFB rail services and in pipeline deliveries which has enabled Transnet to achieve 91,8% of the ambitious MDS volume targets for the year
*   Financial  stability,  measured  by  cash  interest  cover  and gearing, has enabled the Company to successfully raise the funding required for its capital investment programme for the year, notwithstanding the rating downgrade from Standards and Poor’s and Moody’s in line with the downgrade of the sovereign of the Republic of South Africa. 
</t>
    </r>
    <r>
      <rPr>
        <sz val="11"/>
        <color rgb="FFFF0000"/>
        <rFont val="Arial"/>
        <family val="2"/>
      </rPr>
      <t>*   Both rating agencies nevertheless confirmed Transnet’s strong standalone credit profile, with Moody’s holding Transnet’s rating a notch above the sovereign.</t>
    </r>
  </si>
  <si>
    <r>
      <rPr>
        <sz val="11"/>
        <color rgb="FFFF0000"/>
        <rFont val="Arial"/>
        <family val="2"/>
      </rPr>
      <t xml:space="preserve">*   The current economic and market environment is characterised by significant uncertainty and change, particularly in the short term. </t>
    </r>
    <r>
      <rPr>
        <sz val="11"/>
        <color theme="1"/>
        <rFont val="Arial"/>
        <family val="2"/>
      </rPr>
      <t xml:space="preserve">
</t>
    </r>
    <r>
      <rPr>
        <sz val="11"/>
        <color rgb="FFFF0000"/>
        <rFont val="Arial"/>
        <family val="2"/>
      </rPr>
      <t xml:space="preserve">*   Europe’s ongoing financial crisis has left the global economy at risk of a deep and prolonged recession. </t>
    </r>
    <r>
      <rPr>
        <sz val="11"/>
        <color theme="1"/>
        <rFont val="Arial"/>
        <family val="2"/>
      </rPr>
      <t xml:space="preserve">
*   Growth has slowed in several major developing countries, including Brazil and India. Despite renewed activity in the United States and Japan, global growth and world trade have slowed sharply. 
</t>
    </r>
    <r>
      <rPr>
        <sz val="11"/>
        <color rgb="FFFF0000"/>
        <rFont val="Arial"/>
        <family val="2"/>
      </rPr>
      <t xml:space="preserve">*   The longer-term outlook remains positive for South Africa and the region, with continued growth in emerging economies driving increased commodity demand. </t>
    </r>
    <r>
      <rPr>
        <sz val="11"/>
        <color theme="1"/>
        <rFont val="Arial"/>
        <family val="2"/>
      </rPr>
      <t xml:space="preserve">
</t>
    </r>
    <r>
      <rPr>
        <sz val="11"/>
        <color rgb="FFFF0000"/>
        <rFont val="Arial"/>
        <family val="2"/>
      </rPr>
      <t xml:space="preserve">*   Changing global and regional trade patterns will also benefit the region as increased trade volumes and connectivity make it easier for regional firms to participate in global manufacturing supply chains. </t>
    </r>
    <r>
      <rPr>
        <sz val="11"/>
        <color theme="1"/>
        <rFont val="Arial"/>
        <family val="2"/>
      </rPr>
      <t xml:space="preserve">
</t>
    </r>
    <r>
      <rPr>
        <sz val="11"/>
        <color rgb="FFFF0000"/>
        <rFont val="Arial"/>
        <family val="2"/>
      </rPr>
      <t>*   Growth forecasts have been significantly downgraded with the World Bank forecasting growth of 2,5% and 3,1% in 2012 and 2013 versus the 3,6% projected in June 2011 for both years.</t>
    </r>
    <r>
      <rPr>
        <sz val="11"/>
        <color theme="1"/>
        <rFont val="Arial"/>
        <family val="2"/>
      </rPr>
      <t xml:space="preserve">
*   Positive signals for an improved outlook include benign inflation in China over the last quarter and the oversubscribed auction of Spanish and French bonds during January 2012.
*   Although the forecast risks have increased owing to weakening global conditions and the heightened probability of a break-up of the Euro Zone, the outlook for the region remains fairly positive. Sub-Saharan Africa’s regional growth in 2012 and 2013 is estimated at 5,3% and 5,6% respectively.
*   In spite of the challenging economic environment, the outlook for Transnet’s key commodities remains positive. The aggressive investment that underpins the MDS is targeted primarily at satisfying demand that has been validated with customers.
</t>
    </r>
  </si>
  <si>
    <r>
      <t xml:space="preserve">*   Transnet remains a major investor in the South African economy and has committed to expansion and replacement capital expenditure of R336,6 billion over the next seven years. R146,6 billion is reserved for expansion projects.
*   In the 2015 financial year, Transnet entered the third year of its implementation of the MDS. The main difference between the 2014 and 2015 performance landscape has been the prolonged impact of the slower-than-anticipated economic recovery. 
*   Whereas, in 2014 Transnet pursued more aggressive demand growth in line with the predicted world economic recovery, in the current year, some of the capacity developments were deferred in line with the expected slower economic recovery. 
*   The third year of MDS implementation was, therefore, chiefly a year of planning in which volume targets were realistically adjusted based on validated demand and capital was appropriately allocated and aligned to capacity requirements to maximise value.
*   During the year, the Company continued to drive its strategy of increasing rail capacity to satisfy latent demand; switching freight from road to rail; ensuring that port and pipeline capacity remains ahead of demand, as well as targeting aggressive growth in investment, volumes, revenue and profit. 
*   In the process, </t>
    </r>
    <r>
      <rPr>
        <sz val="11"/>
        <color rgb="FFFF0000"/>
        <rFont val="Arial"/>
        <family val="2"/>
      </rPr>
      <t>the MDS made important contributions to economic transformation, industrial capability building, skills development, regional integration, energy efficiency and job creation</t>
    </r>
    <r>
      <rPr>
        <sz val="11"/>
        <color theme="1"/>
        <rFont val="Arial"/>
        <family val="2"/>
      </rPr>
      <t>.
*   Overall, the year proved to be a watershed year in terms of Transnet’s MDS implementation, placing the Company in a strong position to achieve its strategic objectives in the year ahead.</t>
    </r>
  </si>
  <si>
    <r>
      <t xml:space="preserve">*   This year has been another eventful year for us at Transnet, marking the third year of the successful execution of the MDS. 
*   We continue to unleash and create value for all our stakeholders by lowering the cost of doing business in South Africa; and enabling economic growth and security of supply through our ports, rail and pipelines infrastructure in a cost-effective manner. 
*   We achieved all this despite bearing the full brunt of the ebb and flow of the global economy. 
</t>
    </r>
    <r>
      <rPr>
        <sz val="11"/>
        <color rgb="FFFF0000"/>
        <rFont val="Arial"/>
        <family val="2"/>
      </rPr>
      <t>*   The year was characterised by lower than anticipated economic growth, depressed commodity prices and sporadic labour unrest in some sectors of the economy. This was exacerbated by power supply challenges and rising electricity and fuel costs, the impact of which was felt throughout the business.</t>
    </r>
    <r>
      <rPr>
        <sz val="11"/>
        <color theme="1"/>
        <rFont val="Arial"/>
        <family val="2"/>
      </rPr>
      <t xml:space="preserve">
*   Despite these challenges, our operational performance continues to grow at higher rates than average economic growth.
*   Freight Rail continued to lead our volumes drive. Rail volumes increased 7,7% to 226,6 million tons for the year. The biggest contributors were coal which grew 8,8% to 90,4 million tons, while iron ore and manganese recorded a 10,7% increase to 69,6 million tons. 
*   The growth confirms the success of our efficiency drive, especially in the context of low economic growth locally and globally.  
*   Operational efficiency grew by a remarkable 16,6%.
*   Encouragingly, our focus on shifting rail-friendly cargo off our roads continued to bear fruit as container and automotive volumes grew 6,7% to 14,3 million tons.
*   Our ports and pipelines divisions continued to record gains in both volumes and productivity.
*   The strong financial and operational performance enabled us to continue with our record-breaking and counter-cyclical rolling seven-year investment programme which now stands at R336,6 billion. For the year we spent R33,6 billion, taking the total spend over the past three years to R92,8 billion.
*   We continued our capacity expansion programme for manganese to 16 million tons, coal to 81 million tons and iron ore to 71 million tons.
*   The financial, operational and capital expenditure performance in the third year of the MDS continues to build a solid foundation for Transnet to continue delivering on its commitments supported by investment strategy.</t>
    </r>
  </si>
  <si>
    <r>
      <rPr>
        <sz val="11"/>
        <color rgb="FFFF0000"/>
        <rFont val="Arial"/>
        <family val="2"/>
      </rPr>
      <t xml:space="preserve">*   Oil and other non-energy commodities were the world’s worst performing sectors for the second year running in the 2016 financial year. As a result, projections of future growth from key commodity customers indicate a lower trajectory growth path, which in turn requires a slower pace of capacity creation from Transnet, aligned with validated demand. </t>
    </r>
    <r>
      <rPr>
        <sz val="11"/>
        <color theme="1"/>
        <rFont val="Arial"/>
        <family val="2"/>
      </rPr>
      <t xml:space="preserve">
</t>
    </r>
    <r>
      <rPr>
        <sz val="11"/>
        <color rgb="FFFF0000"/>
        <rFont val="Arial"/>
        <family val="2"/>
      </rPr>
      <t xml:space="preserve">*   During the year, continued economic uncertainty and muted growth, characterised by weak demand for commodities and manufactured products, and low commodity prices triggered severe turbulence in markets. </t>
    </r>
    <r>
      <rPr>
        <sz val="11"/>
        <color theme="1"/>
        <rFont val="Arial"/>
        <family val="2"/>
      </rPr>
      <t xml:space="preserve">
*   These conditions impelled our key customers into severe economic cutbacks. We had to be resilient and agile, implementing various initiatives, including the strict management of costs to preserve our financial performance.
*   Global economic growth slowed to 3,1% from 3,4% in 2014, a prevailing trend since 2011. Commodity prices slid by 40% since 2010, while growth in emerging economies slowed from 7,4% in 2010 to 4,3% in 2015. 
</t>
    </r>
    <r>
      <rPr>
        <sz val="11"/>
        <color rgb="FFFF0000"/>
        <rFont val="Arial"/>
        <family val="2"/>
      </rPr>
      <t xml:space="preserve">*   The decline in commodity prices was driven by weak demand from China and a strong US dollar for commodity-importing emerging economies. This decline in commodity prices led to the lowest demand in key commodities, such as steel, iron ore, coal, chrome and manganese, to levels previously experienced during the recession of 2008. </t>
    </r>
    <r>
      <rPr>
        <sz val="11"/>
        <color theme="1"/>
        <rFont val="Arial"/>
        <family val="2"/>
      </rPr>
      <t xml:space="preserve">
</t>
    </r>
    <r>
      <rPr>
        <sz val="11"/>
        <color rgb="FFFF0000"/>
        <rFont val="Arial"/>
        <family val="2"/>
      </rPr>
      <t xml:space="preserve">*   This has resulted in a new ‘mediocre normal’ in the demand for commodities and has created a recession in the logistics sector. </t>
    </r>
    <r>
      <rPr>
        <sz val="11"/>
        <color theme="1"/>
        <rFont val="Arial"/>
        <family val="2"/>
      </rPr>
      <t xml:space="preserve">
</t>
    </r>
    <r>
      <rPr>
        <sz val="11"/>
        <color rgb="FFFF0000"/>
        <rFont val="Arial"/>
        <family val="2"/>
      </rPr>
      <t>*   In addition to impacting the primary sectors of mining and agricultural commodities, the effect was felt across the board, hampering the secondary (manufacturing) and tertiary (consumption) sectors of the economy.</t>
    </r>
    <r>
      <rPr>
        <sz val="11"/>
        <color theme="1"/>
        <rFont val="Arial"/>
        <family val="2"/>
      </rPr>
      <t xml:space="preserve">
*   These trends had a severe impact on our efforts to grow volumes, especially at Freight Rail, placing significant pressure on our revenue growth aspirations.
*   Despite the harsh economic environment, we continue to grow parts of our business owing to performance of petroleum volumes as well as rail containers and automotive volumes, which maintained an upward trajectory, demonstrating the strides we are making in shifting rail-friendly cargo from road-to-rail.
</t>
    </r>
    <r>
      <rPr>
        <sz val="11"/>
        <color rgb="FFFF0000"/>
        <rFont val="Arial"/>
        <family val="2"/>
      </rPr>
      <t xml:space="preserve">*   However, the global and domestic macroeconomic strain on our customers, especially our commodity customers, pressured total rail volumes to fall to 214,2mt, from 226,6mt in the previous year. </t>
    </r>
    <r>
      <rPr>
        <sz val="11"/>
        <color theme="1"/>
        <rFont val="Arial"/>
        <family val="2"/>
      </rPr>
      <t xml:space="preserve">
</t>
    </r>
    <r>
      <rPr>
        <sz val="11"/>
        <color rgb="FFFF0000"/>
        <rFont val="Arial"/>
        <family val="2"/>
      </rPr>
      <t>*   To mitigate the impact of the slow growth, we implemented various cost-containment measures throughout the Company.</t>
    </r>
  </si>
  <si>
    <r>
      <t xml:space="preserve">*   Over the past four years, Transnet has invested R124 billion in key projects in the freight system across the rail, port and pipeline networks. A key outcome of these investments has been a significantly reduced supply-demand gap, particularly for Transnet’s existing markets.
*   This lower trajectory growth path in Transnet’s key commodity markets points to a need to secure existing market share and to seek revenue growth from faster-growing markets, and this represents an essential shift in the MDS as it enters its fifth year of implementation.
*   This shift translates as Transnet capturing greater market share in the domestic transport market and extending its footprint across the border into the rest of Africa. 
*   While this dual strategic focus has informed the MDS since inception – through Transnet’s domestic Road-to-Rail strategy and its Regional Integration strategy – global economic pressures provide greater impetus to Transnet’s acceleration of these focus areas. 
*   This effort is well supported by the injection of new locomotive capacity for the General Freight business, which is largely focused on the domestic freight market and over-border transport flows. 
</t>
    </r>
    <r>
      <rPr>
        <sz val="11"/>
        <color rgb="FFFF0000"/>
        <rFont val="Arial"/>
        <family val="2"/>
      </rPr>
      <t xml:space="preserve">*   However, internationally, weak demand, combined with a rapid expansion in global supply, has had a particularly adverse impact on commodity markets, with steep price declines witnessed across most commodities. </t>
    </r>
    <r>
      <rPr>
        <sz val="11"/>
        <color theme="1"/>
        <rFont val="Arial"/>
        <family val="2"/>
      </rPr>
      <t xml:space="preserve">
*   Over-boarder freight volumes are expected to increase at 10,5% year-on-year to 7,8mt in 2017 and at an annual average rate of 6,8% to 11,2mt over the seven years of the MDS to 2023. 
*   Accordingly, revenue from over-border activities is projected to grow to an estimated R4,5 billion in 2017, with further growth expected to more than double to R9,3 billion in 2023, ultimately generating 6,9% of Transnet’s total revenue.</t>
    </r>
  </si>
  <si>
    <r>
      <t xml:space="preserve">*   Revenue for the year increased by 1,7% to R62,2 billion (2015: R61,2 billion), driven by a 4,2% increase in rail containers and automotive, while petroleum volumes increased by 1,4%. 
*   Commendably, we contained operating costs to a modest increase of 1,0% to R35,9 billion (2015: R35,6 billion). 
*   As a result, earnings before interest, taxation, depreciation and amortisation (EBITDA) – Transnet’s key measure of profitability – increased by 2,6% to R26,3 billion (2015: R25,6 billion), while the EBITDA margin increased to 42,2% (2015: 41,8%). 
*   Profit from operations, after depreciation and amortisation, decreased by 25,0% to R11,0 billion. This is largely due to an increase in current year depreciation as a result of the significant revaluation of rail infrastructure in the prior year.
*   Encouragingly, and in line with our ground-breaking MDS, we maintained our commitment to the modernisation and renewal of South Africa’s transport and logistics infrastructure, spending R29,6 billion during the year. This increases our total spend since the launch of the MDS to an unprecedented R124 billion.
</t>
    </r>
    <r>
      <rPr>
        <sz val="11"/>
        <color rgb="FFFF0000"/>
        <rFont val="Arial"/>
        <family val="2"/>
      </rPr>
      <t xml:space="preserve">*   To remain agile and resilient in the face of projected declining demand and lower volumes performance from our major customers, the Company continuously modulated its spend to ensure that capacity is created ahead of validated demand. </t>
    </r>
    <r>
      <rPr>
        <sz val="11"/>
        <color theme="1"/>
        <rFont val="Arial"/>
        <family val="2"/>
      </rPr>
      <t xml:space="preserve">
*   Subsequently, spend for the year was 11,9% lower than the original budget of R33,6 billion, which reflects identified deferred capital investment and cost savings as part of our capital scrubbing efforts.
*   Our locomotive acquisition programme – including our historic 1 064 locomotive contracts – which resulted in the purchase of 1 319 new locomotives for the General Freight business and Coal business, remains on track. By year-end (31 March 2016), we had spent R8,8 billion, taking overall spend to R26,3 billion. 
*   The Company invested R1,3 billion in the New Multi-Product Pipeline (NMPP), our state-of-the-art petroleum pipeline. The project is on course to provide a multi-product solution by November 2016.
</t>
    </r>
  </si>
  <si>
    <r>
      <t xml:space="preserve">*   We continue to drive growth through the expansion and modernisation of the country’s ports, rail and pipelines infrastructure, having invested R145 billion over the past five years. 
</t>
    </r>
    <r>
      <rPr>
        <sz val="11"/>
        <color rgb="FFFF0000"/>
        <rFont val="Arial"/>
        <family val="2"/>
      </rPr>
      <t>*   Whereas we have historically based both our commercial success and the success of our Sustainable Developmental Outcomes squarely on the inherent value created by Transnet’s infrastructure expansion and logistics activities, we now need to acknowledge the exciting – yet daunting – prospects inherent in the fast- emerging digital paradigm of the 4th Industrial Revolution</t>
    </r>
    <r>
      <rPr>
        <sz val="11"/>
        <color theme="1"/>
        <rFont val="Arial"/>
        <family val="2"/>
      </rPr>
      <t xml:space="preserve">
</t>
    </r>
    <r>
      <rPr>
        <sz val="11"/>
        <color rgb="FFFF0000"/>
        <rFont val="Arial"/>
        <family val="2"/>
      </rPr>
      <t xml:space="preserve">*   As Transnet, we require resilience, agility and adaptive capacity to transition successfully over the coming decades. </t>
    </r>
    <r>
      <rPr>
        <sz val="11"/>
        <color theme="1"/>
        <rFont val="Arial"/>
        <family val="2"/>
      </rPr>
      <t xml:space="preserve">
</t>
    </r>
    <r>
      <rPr>
        <sz val="11"/>
        <color rgb="FFFF0000"/>
        <rFont val="Arial"/>
        <family val="2"/>
      </rPr>
      <t xml:space="preserve">*   On a continent still widely challenged by social inequalities, food insecurity and persistent job losses, a transition to a futuristic digital paradigm seems remote. 
*   However, this will be exactly the fertile soil from which emerging technologies, entrepreneurial ideas and tenacious digital innovations will grow and thrive, leapfrogging the growing pains experienced by developed economies through technological advancements. </t>
    </r>
    <r>
      <rPr>
        <sz val="11"/>
        <color theme="1"/>
        <rFont val="Arial"/>
        <family val="2"/>
      </rPr>
      <t xml:space="preserve">
*   Regionally networked transport infrastructure too will play a critical part. The recently unveiled TransAfrica Locomotive is a brainchild of our engineering and manufacturing division, Transnet Engineering. It was conceptualised and engineered by a team of experts from within Transnet and assembled at our production facility in Koedoespoort, east of Pretoria, with 60% of its components being locally manufactured.
</t>
    </r>
    <r>
      <rPr>
        <sz val="11"/>
        <color rgb="FFFF0000"/>
        <rFont val="Arial"/>
        <family val="2"/>
      </rPr>
      <t xml:space="preserve">*   Transnet intends to thrive in this new paradigm. To be successful, we must both simplify and ramp up our current operations to meet the one consistent feature of this new landscape – unprecedented change. </t>
    </r>
    <r>
      <rPr>
        <sz val="11"/>
        <color theme="1"/>
        <rFont val="Arial"/>
        <family val="2"/>
      </rPr>
      <t xml:space="preserve">
*   We must also ensure that our performance targets reflect the current economic perspective and market realities; and that our governance capability is fit for purpose to both enable and protect the future value we create, particularly as we diversify revenue streams, adapt to emerging industry trends and technologies, and identify new market opportunities, mainly beyond regional borders and through intra-Africa logistics partnerships.</t>
    </r>
  </si>
  <si>
    <r>
      <t xml:space="preserve">*   The principal objective of the MDS is to close the gap between the market demand for cargo transport and handling services and the capacity to satisfy this demand.
*   Transnet’s future success is underpinned by its culture and behaviours. We must hold a clear vision of a shared and prosperous future in which we pursue excellence in all we do, have an openness to learn and the discipline to deliver consistently high performance outcomes. 
</t>
    </r>
    <r>
      <rPr>
        <sz val="11"/>
        <color rgb="FFFF0000"/>
        <rFont val="Arial"/>
        <family val="2"/>
      </rPr>
      <t xml:space="preserve">*   Transnet has introduced four MDS strategic thrusts to drive an organisational culture that can thrive amid exponential change. </t>
    </r>
    <r>
      <rPr>
        <sz val="11"/>
        <color theme="1"/>
        <rFont val="Arial"/>
        <family val="2"/>
      </rPr>
      <t xml:space="preserve">
*   Transnet invested R145 billion (excluding intangibles) in the past five years, and expects to invest a further R229,2 billion by 2024. 
*   Current capacity remains ahead of demand across much of the freight system. The MDS aims to grow rail volumes to 273 mtpa by 2024. 
*   This increased capacity will be achieved through operational efficiencies, sustaining current infrastructure and rolling stock, and by creating additional capacity for validated demand.
</t>
    </r>
    <r>
      <rPr>
        <sz val="11"/>
        <color rgb="FFFF0000"/>
        <rFont val="Arial"/>
        <family val="2"/>
      </rPr>
      <t xml:space="preserve">*   While still committed to a counter-cyclical investment strategy, our implementation of the MDS in the current economic climate requires more agility. </t>
    </r>
    <r>
      <rPr>
        <sz val="11"/>
        <color theme="1"/>
        <rFont val="Arial"/>
        <family val="2"/>
      </rPr>
      <t xml:space="preserve">
*   Accordingly, we assess and re-phase key programmes and projects in response to changes in global and domestic markets. 
*   Moving into the sixth year of the Market Demand Strategy (MDS), we have so far invested R145 billion in key projects in the freight system across the rail, port and pipeline networks. 
</t>
    </r>
    <r>
      <rPr>
        <sz val="11"/>
        <color rgb="FFFF0000"/>
        <rFont val="Arial"/>
        <family val="2"/>
      </rPr>
      <t>*   The key driver behind the large MDS capital investment programme remains the need to close the gap between the market demand for cargo transport and handling services, and the infrastructural capacity to satisfy this demand.</t>
    </r>
    <r>
      <rPr>
        <sz val="11"/>
        <color theme="1"/>
        <rFont val="Arial"/>
        <family val="2"/>
      </rPr>
      <t xml:space="preserve"> 
*   We expect to invest a further R229,2 billion over the remaining MDS period, which will include an amount of R20 billion set aside expressly for harnessing validated opportunities to diversify revenue streams, so as to accelerate and facilitate growth over the MDS period to 2024.
</t>
    </r>
    <r>
      <rPr>
        <sz val="11"/>
        <color rgb="FFFF0000"/>
        <rFont val="Arial"/>
        <family val="2"/>
      </rPr>
      <t>*   The longer-term vision for Transnet is encapsulated in our new strategic framework, Transnet 4.0,</t>
    </r>
    <r>
      <rPr>
        <sz val="11"/>
        <color theme="1"/>
        <rFont val="Arial"/>
        <family val="2"/>
      </rPr>
      <t xml:space="preserve"> as introduced in our Integrated Report. 
</t>
    </r>
    <r>
      <rPr>
        <sz val="11"/>
        <color rgb="FFFF0000"/>
        <rFont val="Arial"/>
        <family val="2"/>
      </rPr>
      <t>*   The framework sets the scene for our future commercial activities and will, importantly, guide our activities for the remaining MDS period while establishing a firm foundation for our activities post-MDS.</t>
    </r>
  </si>
  <si>
    <r>
      <t xml:space="preserve">*   Transnet remains committed to the roll out of its R80,5 billion five-year infrastructure investment programme. This fulfils one of Transnet’s strategies of creating capacity ahead of demand to enable growth.
*   Transnet remains committed to invest wisely in the creation of appropriate and cost effective capacity for all our customers ahead of demand. This will be done on the strength of the balance sheet.
*   Transnet will also consider mutually beneficial private-public partnerships with all roleplayers, including clients, which create value and make both strategic and commercial sense.
</t>
    </r>
    <r>
      <rPr>
        <sz val="11"/>
        <color rgb="FFFF0000"/>
        <rFont val="Arial"/>
        <family val="2"/>
      </rPr>
      <t>*   To promote better customer service and to increase efficiency, Transnet has focused on reengineering its logistics network. This has resulted in us putting in place multi-disciplinary teams which focus on optimising the movement of freight along the key logistics corridors in South Africa.
*   Transnet’s performance in a difficult environment in 2008 demonstrates the steady improvements that have been, and continue to be, realised in the fundamentals of the business.
*   Since the start of the Capital Investment Programme, 21 projects have been launched, some are currently in progress, and some have been successfully completed. 
*   For the duration of the crisis, Transnet will focus on the pursuit of low cost growth opportunities, private sector partnerships, further cost reductions and enhanced efficiency of the Capital Investment Plan.
*   The bulk of the investment – some R10,9 billion or 56% – was allocated to expanding our operations by providing additional capacity while R8,5 billion or 44% was spent on maintenance of existing infrastructure.
*   The main objective of the funding strategy is to ensure that Transnet has adequate liquidity to meet all its operational and capital expenditure requirements cost effectively. Transnet believes that its self-funding operating model is an important contribution a state-owned enterprise can make to a developmental state like our country.
*   During the 2009 year, the programme for disposing of non-core assets as part of the strategy to focus the Company on freight transport continued and is now, bar the disposal of non-core properties, nearly complete.</t>
    </r>
  </si>
  <si>
    <r>
      <t xml:space="preserve">*   Revenue for the year ended 31 March 2009 increased by 11,6% to R33,6 billion compared to the prior year. The revenue increase was materially impacted by the new coal export tariff which was backdated to July 2008.  
*   Earnings before interest, taxation, depreciation and amortisation (EBITDA) increased by 3,0% to R13,2 billion for the period resulting in an EBITDA margin of 39,3% (2008: 42,6%) driven by a combination of productivity improvements and cost-saving initiatives. 
*   Operating expenses grew by 18,0% to R20,4 billion. The cost increases, which were budgeted for, arose from the higher cost of fuel, electricity tariff increases and higher steel prices which impacted the cost of maintenance materials.
*   Cash generated from operations at R13,5 billion remains strong and is marginally higher than the prior year. The cash interest cover of 4,0 times remains above targeted levels.
*   A focused effort on the container sector over the past year has seen container volumes on rail increase by 9% against an overall market growth rate of 6%, reversing the long running trend of declining market share in this segment.
*   The continued success in the execution of our investment plan is laudable. The Company has once again achieved a new record in its capital expenditure programme.  Excluding borrowing costs of R764 million, spending on capital rose 22,8% to new levels of R19,4 billion, which is both in line with our plans as well as targets agreed with our Shareholder. This is in line with the strategy of creating appropriate capacity ahead of demand.
</t>
    </r>
    <r>
      <rPr>
        <sz val="11"/>
        <color rgb="FFFF0000"/>
        <rFont val="Arial"/>
        <family val="2"/>
      </rPr>
      <t>*   Investment spending for the year reached record levels, with a 22,8% increase in spend compared to the previous year.
*   Despite the successful implementation of the required changes, market conditions, particularly during the second half of the year, meant that not all volume growth targets were realised.</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</si>
</sst>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0.0%"/>
    <numFmt numFmtId="165" formatCode="_-* #,##0_-;\-* #,##0_-;_-* &quot;-&quot;??_-;_-@_-"/>
    <numFmt numFmtId="166" formatCode="&quot;R&quot;#,##0.0"/>
    <numFmt numFmtId="167" formatCode="&quot;R&quot;#,##0"/>
  </numFmts>
  <fonts count="34" x14ac:knownFonts="1">
    <font>
      <sz val="10"/>
      <color theme="1"/>
      <name val="Arial"/>
      <family val="2"/>
      <scheme val="minor"/>
    </font>
    <font>
      <sz val="11"/>
      <color theme="1"/>
      <name val="Arial"/>
      <family val="2"/>
      <scheme val="minor"/>
    </font>
    <font>
      <sz val="11"/>
      <color theme="1"/>
      <name val="Arial"/>
      <family val="2"/>
      <scheme val="minor"/>
    </font>
    <font>
      <sz val="10"/>
      <color rgb="FF9C0006"/>
      <name val="Arial"/>
      <family val="2"/>
      <scheme val="minor"/>
    </font>
    <font>
      <sz val="10"/>
      <color rgb="FF006100"/>
      <name val="Arial"/>
      <family val="2"/>
      <scheme val="minor"/>
    </font>
    <font>
      <sz val="10"/>
      <color rgb="FF9C6500"/>
      <name val="Arial"/>
      <family val="2"/>
      <scheme val="minor"/>
    </font>
    <font>
      <b/>
      <sz val="10"/>
      <color rgb="FFFA7D00"/>
      <name val="Arial"/>
      <family val="2"/>
      <scheme val="minor"/>
    </font>
    <font>
      <b/>
      <sz val="10"/>
      <color theme="0"/>
      <name val="Arial"/>
      <family val="2"/>
      <scheme val="minor"/>
    </font>
    <font>
      <i/>
      <sz val="10"/>
      <color rgb="FF7F7F7F"/>
      <name val="Arial"/>
      <family val="2"/>
      <scheme val="minor"/>
    </font>
    <font>
      <sz val="10"/>
      <color rgb="FF3F3F76"/>
      <name val="Arial"/>
      <family val="2"/>
      <scheme val="minor"/>
    </font>
    <font>
      <sz val="10"/>
      <color rgb="FFFA7D00"/>
      <name val="Arial"/>
      <family val="2"/>
      <scheme val="minor"/>
    </font>
    <font>
      <b/>
      <sz val="10"/>
      <color rgb="FF3F3F3F"/>
      <name val="Arial"/>
      <family val="2"/>
      <scheme val="minor"/>
    </font>
    <font>
      <sz val="10"/>
      <color rgb="FFFF0000"/>
      <name val="Arial"/>
      <family val="2"/>
      <scheme val="minor"/>
    </font>
    <font>
      <b/>
      <sz val="15"/>
      <color theme="3"/>
      <name val="Arial"/>
      <family val="2"/>
      <scheme val="minor"/>
    </font>
    <font>
      <b/>
      <sz val="13"/>
      <color theme="3"/>
      <name val="Arial"/>
      <family val="2"/>
      <scheme val="minor"/>
    </font>
    <font>
      <sz val="10"/>
      <color theme="1"/>
      <name val="Arial"/>
      <family val="2"/>
      <scheme val="minor"/>
    </font>
    <font>
      <b/>
      <sz val="11"/>
      <color theme="3"/>
      <name val="Arial"/>
      <family val="2"/>
      <scheme val="minor"/>
    </font>
    <font>
      <b/>
      <sz val="10"/>
      <color theme="1"/>
      <name val="Arial"/>
      <family val="2"/>
      <scheme val="minor"/>
    </font>
    <font>
      <sz val="10"/>
      <color theme="0"/>
      <name val="Arial"/>
      <family val="2"/>
      <scheme val="minor"/>
    </font>
    <font>
      <sz val="10"/>
      <color theme="1"/>
      <name val="Lucida Bright"/>
      <family val="1"/>
    </font>
    <font>
      <b/>
      <sz val="10"/>
      <color theme="1"/>
      <name val="Lucida Bright"/>
      <family val="1"/>
    </font>
    <font>
      <b/>
      <sz val="10"/>
      <color theme="0"/>
      <name val="Lucida Bright"/>
      <family val="1"/>
    </font>
    <font>
      <b/>
      <u/>
      <sz val="12"/>
      <color theme="1"/>
      <name val="Lucida Bright"/>
      <family val="1"/>
    </font>
    <font>
      <sz val="10"/>
      <name val="Lucida Bright"/>
      <family val="1"/>
    </font>
    <font>
      <sz val="10"/>
      <color theme="0"/>
      <name val="Lucida Bright"/>
      <family val="1"/>
    </font>
    <font>
      <u/>
      <sz val="10"/>
      <color theme="10"/>
      <name val="Arial"/>
      <family val="2"/>
      <scheme val="minor"/>
    </font>
    <font>
      <u/>
      <sz val="10"/>
      <color theme="0" tint="-4.9989318521683403E-2"/>
      <name val="Arial"/>
      <family val="2"/>
      <scheme val="minor"/>
    </font>
    <font>
      <sz val="11"/>
      <color theme="1"/>
      <name val="Arial"/>
      <family val="2"/>
    </font>
    <font>
      <b/>
      <sz val="11"/>
      <color theme="1"/>
      <name val="Arial"/>
      <family val="2"/>
    </font>
    <font>
      <b/>
      <sz val="11"/>
      <color theme="1"/>
      <name val="Arial"/>
      <family val="2"/>
      <scheme val="minor"/>
    </font>
    <font>
      <sz val="9"/>
      <color indexed="81"/>
      <name val="Tahoma"/>
      <family val="2"/>
    </font>
    <font>
      <b/>
      <sz val="9"/>
      <color indexed="81"/>
      <name val="Tahoma"/>
      <family val="2"/>
    </font>
    <font>
      <b/>
      <i/>
      <sz val="11"/>
      <color theme="1"/>
      <name val="Arial"/>
      <family val="2"/>
    </font>
    <font>
      <sz val="11"/>
      <color rgb="FFFF0000"/>
      <name val="Arial"/>
      <family val="2"/>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solid">
        <fgColor rgb="FF00B050"/>
        <bgColor indexed="64"/>
      </patternFill>
    </fill>
    <fill>
      <patternFill patternType="solid">
        <fgColor theme="0" tint="-4.9989318521683403E-2"/>
        <bgColor indexed="64"/>
      </patternFill>
    </fill>
    <fill>
      <patternFill patternType="solid">
        <fgColor rgb="FF92D050"/>
        <bgColor indexed="64"/>
      </patternFill>
    </fill>
    <fill>
      <patternFill patternType="solid">
        <fgColor theme="2" tint="-4.9989318521683403E-2"/>
        <bgColor indexed="64"/>
      </patternFill>
    </fill>
    <fill>
      <patternFill patternType="solid">
        <fgColor theme="0" tint="-0.14999847407452621"/>
        <bgColor indexed="64"/>
      </patternFill>
    </fill>
  </fills>
  <borders count="20">
    <border>
      <left/>
      <right/>
      <top/>
      <bottom/>
      <diagonal/>
    </border>
    <border>
      <left/>
      <right/>
      <top/>
      <bottom style="thick">
        <color theme="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medium">
        <color theme="4" tint="0.39997558519241921"/>
      </bottom>
      <diagonal/>
    </border>
    <border>
      <left/>
      <right/>
      <top style="thin">
        <color theme="4"/>
      </top>
      <bottom style="double">
        <color theme="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46">
    <xf numFmtId="0" fontId="0" fillId="0" borderId="0"/>
    <xf numFmtId="0" fontId="13" fillId="0" borderId="1" applyNumberFormat="0" applyFill="0" applyAlignment="0" applyProtection="0"/>
    <xf numFmtId="0" fontId="14" fillId="0" borderId="2" applyNumberFormat="0" applyFill="0" applyAlignment="0" applyProtection="0"/>
    <xf numFmtId="0" fontId="4" fillId="2" borderId="0" applyNumberFormat="0" applyBorder="0" applyAlignment="0" applyProtection="0"/>
    <xf numFmtId="0" fontId="3" fillId="3" borderId="0" applyNumberFormat="0" applyBorder="0" applyAlignment="0" applyProtection="0"/>
    <xf numFmtId="0" fontId="5" fillId="4" borderId="0" applyNumberFormat="0" applyBorder="0" applyAlignment="0" applyProtection="0"/>
    <xf numFmtId="0" fontId="9" fillId="5" borderId="3" applyNumberFormat="0" applyAlignment="0" applyProtection="0"/>
    <xf numFmtId="0" fontId="11" fillId="6" borderId="4" applyNumberFormat="0" applyAlignment="0" applyProtection="0"/>
    <xf numFmtId="0" fontId="6" fillId="6" borderId="3" applyNumberFormat="0" applyAlignment="0" applyProtection="0"/>
    <xf numFmtId="0" fontId="10" fillId="0" borderId="5" applyNumberFormat="0" applyFill="0" applyAlignment="0" applyProtection="0"/>
    <xf numFmtId="0" fontId="7" fillId="7" borderId="6" applyNumberFormat="0" applyAlignment="0" applyProtection="0"/>
    <xf numFmtId="0" fontId="12" fillId="0" borderId="0" applyNumberFormat="0" applyFill="0" applyBorder="0" applyAlignment="0" applyProtection="0"/>
    <xf numFmtId="0" fontId="8" fillId="0" borderId="0" applyNumberFormat="0" applyFill="0" applyBorder="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0" fontId="18"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5" fillId="21" borderId="0" applyNumberFormat="0" applyBorder="0" applyAlignment="0" applyProtection="0"/>
    <xf numFmtId="0" fontId="15"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5" fillId="25" borderId="0" applyNumberFormat="0" applyBorder="0" applyAlignment="0" applyProtection="0"/>
    <xf numFmtId="0" fontId="15" fillId="26" borderId="0" applyNumberFormat="0" applyBorder="0" applyAlignment="0" applyProtection="0"/>
    <xf numFmtId="0" fontId="18" fillId="27" borderId="0" applyNumberFormat="0" applyBorder="0" applyAlignment="0" applyProtection="0"/>
    <xf numFmtId="0" fontId="18" fillId="28" borderId="0" applyNumberFormat="0" applyBorder="0" applyAlignment="0" applyProtection="0"/>
    <xf numFmtId="0" fontId="15" fillId="29" borderId="0" applyNumberFormat="0" applyBorder="0" applyAlignment="0" applyProtection="0"/>
    <xf numFmtId="0" fontId="15" fillId="30" borderId="0" applyNumberFormat="0" applyBorder="0" applyAlignment="0" applyProtection="0"/>
    <xf numFmtId="0" fontId="18" fillId="31" borderId="0" applyNumberFormat="0" applyBorder="0" applyAlignment="0" applyProtection="0"/>
    <xf numFmtId="9" fontId="15" fillId="0" borderId="0" applyFont="0" applyFill="0" applyBorder="0" applyAlignment="0" applyProtection="0"/>
    <xf numFmtId="0" fontId="25" fillId="0" borderId="0" applyNumberFormat="0" applyFill="0" applyBorder="0" applyAlignment="0" applyProtection="0"/>
    <xf numFmtId="0" fontId="2" fillId="0" borderId="0"/>
    <xf numFmtId="9" fontId="2" fillId="0" borderId="0" applyFont="0" applyFill="0" applyBorder="0" applyAlignment="0" applyProtection="0"/>
    <xf numFmtId="43" fontId="15" fillId="0" borderId="0" applyFont="0" applyFill="0" applyBorder="0" applyAlignment="0" applyProtection="0"/>
    <xf numFmtId="0" fontId="1" fillId="0" borderId="0"/>
  </cellStyleXfs>
  <cellXfs count="138">
    <xf numFmtId="0" fontId="0" fillId="0" borderId="0" xfId="0"/>
    <xf numFmtId="0" fontId="19" fillId="0" borderId="0" xfId="0" applyFont="1"/>
    <xf numFmtId="0" fontId="20" fillId="0" borderId="0" xfId="0" applyFont="1"/>
    <xf numFmtId="0" fontId="22" fillId="0" borderId="0" xfId="0" applyFont="1"/>
    <xf numFmtId="0" fontId="23" fillId="32" borderId="0" xfId="0" applyFont="1" applyFill="1"/>
    <xf numFmtId="2" fontId="19" fillId="0" borderId="0" xfId="0" applyNumberFormat="1" applyFont="1"/>
    <xf numFmtId="0" fontId="23" fillId="0" borderId="0" xfId="0" applyFont="1" applyAlignment="1">
      <alignment horizontal="center"/>
    </xf>
    <xf numFmtId="1" fontId="19" fillId="0" borderId="0" xfId="0" applyNumberFormat="1" applyFont="1"/>
    <xf numFmtId="9" fontId="19" fillId="0" borderId="0" xfId="40" applyFont="1"/>
    <xf numFmtId="0" fontId="23" fillId="0" borderId="0" xfId="0" applyFont="1"/>
    <xf numFmtId="9" fontId="20" fillId="0" borderId="0" xfId="40" applyFont="1"/>
    <xf numFmtId="0" fontId="24" fillId="35" borderId="0" xfId="0" applyFont="1" applyFill="1"/>
    <xf numFmtId="0" fontId="26" fillId="0" borderId="0" xfId="41" applyFont="1" applyAlignment="1">
      <alignment vertical="top" wrapText="1"/>
    </xf>
    <xf numFmtId="3" fontId="24" fillId="35" borderId="0" xfId="0" applyNumberFormat="1" applyFont="1" applyFill="1"/>
    <xf numFmtId="164" fontId="24" fillId="35" borderId="0" xfId="40" applyNumberFormat="1" applyFont="1" applyFill="1"/>
    <xf numFmtId="4" fontId="24" fillId="35" borderId="0" xfId="0" applyNumberFormat="1" applyFont="1" applyFill="1"/>
    <xf numFmtId="0" fontId="21" fillId="33" borderId="0" xfId="0" applyFont="1" applyFill="1"/>
    <xf numFmtId="164" fontId="20" fillId="0" borderId="0" xfId="40" applyNumberFormat="1" applyFont="1"/>
    <xf numFmtId="0" fontId="20" fillId="0" borderId="0" xfId="0" applyFont="1" applyAlignment="1">
      <alignment horizontal="right"/>
    </xf>
    <xf numFmtId="0" fontId="27" fillId="0" borderId="0" xfId="42" applyFont="1" applyAlignment="1">
      <alignment vertical="top"/>
    </xf>
    <xf numFmtId="0" fontId="28" fillId="0" borderId="0" xfId="42" applyFont="1" applyAlignment="1">
      <alignment vertical="top"/>
    </xf>
    <xf numFmtId="0" fontId="27" fillId="0" borderId="12" xfId="42" applyFont="1" applyBorder="1" applyAlignment="1">
      <alignment vertical="top"/>
    </xf>
    <xf numFmtId="0" fontId="27" fillId="0" borderId="0" xfId="42" applyFont="1" applyBorder="1" applyAlignment="1">
      <alignment vertical="top"/>
    </xf>
    <xf numFmtId="0" fontId="27" fillId="0" borderId="13" xfId="42" applyFont="1" applyBorder="1" applyAlignment="1">
      <alignment vertical="top"/>
    </xf>
    <xf numFmtId="9" fontId="27" fillId="0" borderId="12" xfId="43" applyFont="1" applyBorder="1" applyAlignment="1">
      <alignment vertical="top"/>
    </xf>
    <xf numFmtId="0" fontId="27" fillId="0" borderId="14" xfId="42" applyFont="1" applyBorder="1" applyAlignment="1">
      <alignment vertical="top"/>
    </xf>
    <xf numFmtId="0" fontId="27" fillId="0" borderId="15" xfId="42" applyFont="1" applyBorder="1" applyAlignment="1">
      <alignment vertical="top"/>
    </xf>
    <xf numFmtId="0" fontId="27" fillId="0" borderId="16" xfId="42" applyFont="1" applyBorder="1" applyAlignment="1">
      <alignment vertical="top"/>
    </xf>
    <xf numFmtId="0" fontId="28" fillId="0" borderId="9" xfId="42" applyFont="1" applyBorder="1" applyAlignment="1">
      <alignment vertical="top"/>
    </xf>
    <xf numFmtId="0" fontId="28" fillId="0" borderId="11" xfId="42" applyFont="1" applyBorder="1" applyAlignment="1">
      <alignment vertical="top"/>
    </xf>
    <xf numFmtId="0" fontId="28" fillId="0" borderId="12" xfId="42" applyFont="1" applyBorder="1" applyAlignment="1">
      <alignment vertical="top"/>
    </xf>
    <xf numFmtId="0" fontId="28" fillId="0" borderId="13" xfId="42" applyFont="1" applyBorder="1" applyAlignment="1">
      <alignment vertical="top"/>
    </xf>
    <xf numFmtId="0" fontId="28" fillId="0" borderId="14" xfId="42" applyFont="1" applyBorder="1" applyAlignment="1">
      <alignment vertical="top"/>
    </xf>
    <xf numFmtId="0" fontId="28" fillId="0" borderId="16" xfId="42" applyFont="1" applyBorder="1" applyAlignment="1">
      <alignment vertical="top"/>
    </xf>
    <xf numFmtId="0" fontId="27" fillId="0" borderId="9" xfId="42" applyFont="1" applyBorder="1" applyAlignment="1">
      <alignment vertical="top"/>
    </xf>
    <xf numFmtId="0" fontId="27" fillId="0" borderId="10" xfId="42" applyFont="1" applyBorder="1" applyAlignment="1">
      <alignment vertical="top"/>
    </xf>
    <xf numFmtId="0" fontId="27" fillId="0" borderId="11" xfId="42" applyFont="1" applyBorder="1" applyAlignment="1">
      <alignment vertical="top"/>
    </xf>
    <xf numFmtId="0" fontId="28" fillId="36" borderId="14" xfId="42" applyFont="1" applyFill="1" applyBorder="1" applyAlignment="1">
      <alignment vertical="top"/>
    </xf>
    <xf numFmtId="0" fontId="28" fillId="36" borderId="16" xfId="42" applyFont="1" applyFill="1" applyBorder="1" applyAlignment="1">
      <alignment vertical="top"/>
    </xf>
    <xf numFmtId="0" fontId="27" fillId="36" borderId="14" xfId="42" applyFont="1" applyFill="1" applyBorder="1" applyAlignment="1">
      <alignment vertical="top"/>
    </xf>
    <xf numFmtId="0" fontId="27" fillId="36" borderId="15" xfId="42" applyFont="1" applyFill="1" applyBorder="1" applyAlignment="1">
      <alignment vertical="top"/>
    </xf>
    <xf numFmtId="0" fontId="27" fillId="36" borderId="16" xfId="42" applyFont="1" applyFill="1" applyBorder="1" applyAlignment="1">
      <alignment vertical="top"/>
    </xf>
    <xf numFmtId="0" fontId="28" fillId="37" borderId="9" xfId="42" applyFont="1" applyFill="1" applyBorder="1" applyAlignment="1">
      <alignment vertical="top"/>
    </xf>
    <xf numFmtId="0" fontId="28" fillId="37" borderId="11" xfId="42" applyFont="1" applyFill="1" applyBorder="1" applyAlignment="1">
      <alignment vertical="top"/>
    </xf>
    <xf numFmtId="0" fontId="27" fillId="37" borderId="9" xfId="42" applyFont="1" applyFill="1" applyBorder="1" applyAlignment="1">
      <alignment vertical="top"/>
    </xf>
    <xf numFmtId="0" fontId="27" fillId="37" borderId="10" xfId="42" applyFont="1" applyFill="1" applyBorder="1" applyAlignment="1">
      <alignment vertical="top"/>
    </xf>
    <xf numFmtId="0" fontId="27" fillId="37" borderId="11" xfId="42" applyFont="1" applyFill="1" applyBorder="1" applyAlignment="1">
      <alignment vertical="top"/>
    </xf>
    <xf numFmtId="0" fontId="28" fillId="34" borderId="14" xfId="42" applyFont="1" applyFill="1" applyBorder="1" applyAlignment="1">
      <alignment vertical="top"/>
    </xf>
    <xf numFmtId="0" fontId="28" fillId="34" borderId="16" xfId="42" applyFont="1" applyFill="1" applyBorder="1" applyAlignment="1">
      <alignment vertical="top"/>
    </xf>
    <xf numFmtId="0" fontId="27" fillId="34" borderId="14" xfId="42" applyFont="1" applyFill="1" applyBorder="1" applyAlignment="1">
      <alignment vertical="top"/>
    </xf>
    <xf numFmtId="0" fontId="27" fillId="34" borderId="15" xfId="42" applyFont="1" applyFill="1" applyBorder="1" applyAlignment="1">
      <alignment vertical="top"/>
    </xf>
    <xf numFmtId="0" fontId="27" fillId="34" borderId="16" xfId="42" applyFont="1" applyFill="1" applyBorder="1" applyAlignment="1">
      <alignment vertical="top"/>
    </xf>
    <xf numFmtId="165" fontId="19" fillId="0" borderId="0" xfId="44" applyNumberFormat="1" applyFont="1"/>
    <xf numFmtId="165" fontId="20" fillId="0" borderId="0" xfId="44" applyNumberFormat="1" applyFont="1"/>
    <xf numFmtId="0" fontId="19" fillId="0" borderId="0" xfId="0" applyFont="1" applyAlignment="1">
      <alignment wrapText="1"/>
    </xf>
    <xf numFmtId="0" fontId="20" fillId="0" borderId="0" xfId="0" applyFont="1" applyAlignment="1">
      <alignment wrapText="1"/>
    </xf>
    <xf numFmtId="164" fontId="19" fillId="0" borderId="0" xfId="40" applyNumberFormat="1" applyFont="1"/>
    <xf numFmtId="0" fontId="27" fillId="0" borderId="0" xfId="42" applyFont="1" applyBorder="1" applyAlignment="1">
      <alignment horizontal="center" vertical="top"/>
    </xf>
    <xf numFmtId="0" fontId="27" fillId="0" borderId="12" xfId="42" applyFont="1" applyBorder="1" applyAlignment="1">
      <alignment horizontal="center" vertical="top"/>
    </xf>
    <xf numFmtId="0" fontId="27" fillId="0" borderId="13" xfId="42" applyFont="1" applyBorder="1" applyAlignment="1">
      <alignment horizontal="center" vertical="top"/>
    </xf>
    <xf numFmtId="0" fontId="29" fillId="0" borderId="0" xfId="0" applyFont="1" applyFill="1" applyAlignment="1">
      <alignment horizontal="center" vertical="top" wrapText="1"/>
    </xf>
    <xf numFmtId="0" fontId="0" fillId="0" borderId="0" xfId="0" applyAlignment="1">
      <alignment vertical="top"/>
    </xf>
    <xf numFmtId="0" fontId="17" fillId="34" borderId="0" xfId="0" applyFont="1" applyFill="1" applyAlignment="1">
      <alignment vertical="top" wrapText="1"/>
    </xf>
    <xf numFmtId="0" fontId="0" fillId="0" borderId="0" xfId="0" applyAlignment="1">
      <alignment vertical="top" wrapText="1"/>
    </xf>
    <xf numFmtId="1" fontId="24" fillId="0" borderId="0" xfId="0" applyNumberFormat="1" applyFont="1"/>
    <xf numFmtId="0" fontId="27" fillId="0" borderId="0" xfId="42" applyFont="1" applyAlignment="1">
      <alignment horizontal="left" vertical="top"/>
    </xf>
    <xf numFmtId="0" fontId="28" fillId="0" borderId="0" xfId="42" applyFont="1" applyBorder="1" applyAlignment="1">
      <alignment vertical="top"/>
    </xf>
    <xf numFmtId="0" fontId="28" fillId="0" borderId="10" xfId="42" applyFont="1" applyBorder="1" applyAlignment="1">
      <alignment vertical="top"/>
    </xf>
    <xf numFmtId="0" fontId="28" fillId="34" borderId="17" xfId="42" applyFont="1" applyFill="1" applyBorder="1" applyAlignment="1">
      <alignment vertical="top"/>
    </xf>
    <xf numFmtId="0" fontId="28" fillId="34" borderId="18" xfId="42" applyFont="1" applyFill="1" applyBorder="1" applyAlignment="1">
      <alignment vertical="top"/>
    </xf>
    <xf numFmtId="0" fontId="27" fillId="34" borderId="17" xfId="42" applyFont="1" applyFill="1" applyBorder="1" applyAlignment="1">
      <alignment vertical="top"/>
    </xf>
    <xf numFmtId="0" fontId="27" fillId="34" borderId="19" xfId="42" applyFont="1" applyFill="1" applyBorder="1" applyAlignment="1">
      <alignment vertical="top"/>
    </xf>
    <xf numFmtId="0" fontId="27" fillId="34" borderId="18" xfId="42" applyFont="1" applyFill="1" applyBorder="1" applyAlignment="1">
      <alignment vertical="top"/>
    </xf>
    <xf numFmtId="0" fontId="28" fillId="34" borderId="9" xfId="42" applyFont="1" applyFill="1" applyBorder="1" applyAlignment="1">
      <alignment vertical="top"/>
    </xf>
    <xf numFmtId="0" fontId="28" fillId="34" borderId="11" xfId="42" applyFont="1" applyFill="1" applyBorder="1" applyAlignment="1">
      <alignment vertical="top"/>
    </xf>
    <xf numFmtId="0" fontId="27" fillId="0" borderId="12" xfId="42" applyFont="1" applyBorder="1" applyAlignment="1">
      <alignment horizontal="center" vertical="top"/>
    </xf>
    <xf numFmtId="0" fontId="27" fillId="0" borderId="0" xfId="42" applyFont="1" applyBorder="1" applyAlignment="1">
      <alignment horizontal="center" vertical="top"/>
    </xf>
    <xf numFmtId="0" fontId="27" fillId="0" borderId="13" xfId="42" applyFont="1" applyBorder="1" applyAlignment="1">
      <alignment horizontal="center" vertical="top"/>
    </xf>
    <xf numFmtId="0" fontId="28" fillId="0" borderId="12" xfId="42" applyFont="1" applyBorder="1" applyAlignment="1">
      <alignment vertical="top" wrapText="1"/>
    </xf>
    <xf numFmtId="0" fontId="27" fillId="0" borderId="12" xfId="42" applyFont="1" applyBorder="1" applyAlignment="1">
      <alignment vertical="top" wrapText="1"/>
    </xf>
    <xf numFmtId="0" fontId="27" fillId="0" borderId="0" xfId="42" applyFont="1" applyBorder="1" applyAlignment="1">
      <alignment vertical="top" wrapText="1"/>
    </xf>
    <xf numFmtId="0" fontId="27" fillId="0" borderId="13" xfId="42" applyFont="1" applyBorder="1" applyAlignment="1">
      <alignment vertical="top" wrapText="1"/>
    </xf>
    <xf numFmtId="0" fontId="27" fillId="0" borderId="0" xfId="42" applyFont="1" applyAlignment="1">
      <alignment vertical="top" wrapText="1"/>
    </xf>
    <xf numFmtId="0" fontId="28" fillId="0" borderId="17" xfId="42" applyFont="1" applyBorder="1" applyAlignment="1">
      <alignment vertical="top"/>
    </xf>
    <xf numFmtId="0" fontId="28" fillId="0" borderId="18" xfId="42" applyFont="1" applyBorder="1" applyAlignment="1">
      <alignment vertical="top"/>
    </xf>
    <xf numFmtId="164" fontId="19" fillId="0" borderId="0" xfId="0" applyNumberFormat="1" applyFont="1"/>
    <xf numFmtId="0" fontId="17" fillId="34" borderId="0" xfId="0" applyFont="1" applyFill="1" applyAlignment="1">
      <alignment wrapText="1"/>
    </xf>
    <xf numFmtId="0" fontId="19" fillId="0" borderId="0" xfId="0" applyFont="1" applyAlignment="1">
      <alignment horizontal="right"/>
    </xf>
    <xf numFmtId="165" fontId="19" fillId="0" borderId="0" xfId="0" applyNumberFormat="1" applyFont="1"/>
    <xf numFmtId="166" fontId="19" fillId="0" borderId="0" xfId="0" applyNumberFormat="1" applyFont="1"/>
    <xf numFmtId="167" fontId="19" fillId="0" borderId="0" xfId="0" applyNumberFormat="1" applyFont="1"/>
    <xf numFmtId="0" fontId="27" fillId="0" borderId="0" xfId="42" applyFont="1" applyBorder="1" applyAlignment="1">
      <alignment horizontal="center" vertical="top"/>
    </xf>
    <xf numFmtId="0" fontId="27" fillId="0" borderId="13" xfId="42" applyFont="1" applyBorder="1" applyAlignment="1">
      <alignment horizontal="center" vertical="top"/>
    </xf>
    <xf numFmtId="0" fontId="27" fillId="0" borderId="15" xfId="42" applyFont="1" applyBorder="1" applyAlignment="1">
      <alignment horizontal="left" vertical="top"/>
    </xf>
    <xf numFmtId="0" fontId="27" fillId="0" borderId="16" xfId="42" applyFont="1" applyBorder="1" applyAlignment="1">
      <alignment horizontal="left" vertical="top"/>
    </xf>
    <xf numFmtId="0" fontId="27" fillId="0" borderId="12" xfId="42" applyFont="1" applyBorder="1" applyAlignment="1">
      <alignment horizontal="center" vertical="top"/>
    </xf>
    <xf numFmtId="0" fontId="28" fillId="0" borderId="10" xfId="42" applyFont="1" applyBorder="1" applyAlignment="1">
      <alignment horizontal="center" vertical="top"/>
    </xf>
    <xf numFmtId="0" fontId="28" fillId="0" borderId="11" xfId="42" applyFont="1" applyBorder="1" applyAlignment="1">
      <alignment horizontal="center" vertical="top"/>
    </xf>
    <xf numFmtId="0" fontId="27" fillId="0" borderId="10" xfId="42" applyFont="1" applyBorder="1" applyAlignment="1">
      <alignment horizontal="left" vertical="top"/>
    </xf>
    <xf numFmtId="0" fontId="27" fillId="0" borderId="11" xfId="42" applyFont="1" applyBorder="1" applyAlignment="1">
      <alignment horizontal="left" vertical="top"/>
    </xf>
    <xf numFmtId="0" fontId="27" fillId="0" borderId="0" xfId="42" applyFont="1" applyBorder="1" applyAlignment="1">
      <alignment horizontal="left" vertical="top"/>
    </xf>
    <xf numFmtId="0" fontId="27" fillId="0" borderId="13" xfId="42" applyFont="1" applyBorder="1" applyAlignment="1">
      <alignment horizontal="left" vertical="top"/>
    </xf>
    <xf numFmtId="0" fontId="27" fillId="0" borderId="14" xfId="42" applyFont="1" applyBorder="1" applyAlignment="1">
      <alignment horizontal="left" vertical="top"/>
    </xf>
    <xf numFmtId="0" fontId="27" fillId="0" borderId="9" xfId="42" applyFont="1" applyBorder="1" applyAlignment="1">
      <alignment horizontal="left" vertical="top"/>
    </xf>
    <xf numFmtId="0" fontId="28" fillId="0" borderId="9" xfId="42" applyFont="1" applyBorder="1" applyAlignment="1">
      <alignment horizontal="center" vertical="top"/>
    </xf>
    <xf numFmtId="0" fontId="27" fillId="0" borderId="12" xfId="42" applyFont="1" applyBorder="1" applyAlignment="1">
      <alignment horizontal="left" vertical="top"/>
    </xf>
    <xf numFmtId="0" fontId="27" fillId="0" borderId="17" xfId="42" applyFont="1" applyBorder="1" applyAlignment="1">
      <alignment horizontal="left" vertical="top"/>
    </xf>
    <xf numFmtId="0" fontId="27" fillId="0" borderId="19" xfId="42" applyFont="1" applyBorder="1" applyAlignment="1">
      <alignment horizontal="left" vertical="top"/>
    </xf>
    <xf numFmtId="0" fontId="27" fillId="0" borderId="18" xfId="42" applyFont="1" applyBorder="1" applyAlignment="1">
      <alignment horizontal="left" vertical="top"/>
    </xf>
    <xf numFmtId="0" fontId="27" fillId="0" borderId="14" xfId="42" applyFont="1" applyBorder="1" applyAlignment="1">
      <alignment horizontal="left" vertical="top" wrapText="1"/>
    </xf>
    <xf numFmtId="0" fontId="27" fillId="0" borderId="15" xfId="42" applyFont="1" applyBorder="1" applyAlignment="1">
      <alignment horizontal="left" vertical="top" wrapText="1"/>
    </xf>
    <xf numFmtId="0" fontId="27" fillId="0" borderId="16" xfId="42" applyFont="1" applyBorder="1" applyAlignment="1">
      <alignment horizontal="left" vertical="top" wrapText="1"/>
    </xf>
    <xf numFmtId="0" fontId="27" fillId="0" borderId="17" xfId="42" applyFont="1" applyBorder="1" applyAlignment="1">
      <alignment horizontal="left" vertical="top" wrapText="1"/>
    </xf>
    <xf numFmtId="0" fontId="27" fillId="0" borderId="19" xfId="42" applyFont="1" applyBorder="1" applyAlignment="1">
      <alignment horizontal="left" vertical="top" wrapText="1"/>
    </xf>
    <xf numFmtId="0" fontId="27" fillId="0" borderId="18" xfId="42" applyFont="1" applyBorder="1" applyAlignment="1">
      <alignment horizontal="left" vertical="top" wrapText="1"/>
    </xf>
    <xf numFmtId="0" fontId="33" fillId="0" borderId="14" xfId="42" applyFont="1" applyBorder="1" applyAlignment="1">
      <alignment horizontal="left" vertical="top" wrapText="1"/>
    </xf>
    <xf numFmtId="0" fontId="27" fillId="0" borderId="14" xfId="42" applyFont="1" applyBorder="1" applyAlignment="1">
      <alignment horizontal="center" vertical="top"/>
    </xf>
    <xf numFmtId="0" fontId="27" fillId="0" borderId="15" xfId="42" applyFont="1" applyBorder="1" applyAlignment="1">
      <alignment horizontal="center" vertical="top"/>
    </xf>
    <xf numFmtId="0" fontId="27" fillId="0" borderId="16" xfId="42" applyFont="1" applyBorder="1" applyAlignment="1">
      <alignment horizontal="center" vertical="top"/>
    </xf>
    <xf numFmtId="0" fontId="27" fillId="0" borderId="9" xfId="42" applyFont="1" applyBorder="1" applyAlignment="1">
      <alignment horizontal="center" vertical="top"/>
    </xf>
    <xf numFmtId="0" fontId="27" fillId="0" borderId="10" xfId="42" applyFont="1" applyBorder="1" applyAlignment="1">
      <alignment horizontal="center" vertical="top"/>
    </xf>
    <xf numFmtId="0" fontId="27" fillId="0" borderId="11" xfId="42" applyFont="1" applyBorder="1" applyAlignment="1">
      <alignment horizontal="center" vertical="top"/>
    </xf>
    <xf numFmtId="0" fontId="28" fillId="0" borderId="12" xfId="42" applyFont="1" applyBorder="1" applyAlignment="1">
      <alignment horizontal="left" vertical="top"/>
    </xf>
    <xf numFmtId="0" fontId="28" fillId="0" borderId="13" xfId="42" applyFont="1" applyBorder="1" applyAlignment="1">
      <alignment horizontal="left" vertical="top"/>
    </xf>
    <xf numFmtId="0" fontId="27" fillId="0" borderId="12" xfId="42" applyFont="1" applyBorder="1" applyAlignment="1">
      <alignment horizontal="left" vertical="top" wrapText="1"/>
    </xf>
    <xf numFmtId="0" fontId="27" fillId="0" borderId="0" xfId="42" applyFont="1" applyBorder="1" applyAlignment="1">
      <alignment horizontal="left" vertical="top" wrapText="1"/>
    </xf>
    <xf numFmtId="0" fontId="27" fillId="0" borderId="13" xfId="42" applyFont="1" applyBorder="1" applyAlignment="1">
      <alignment horizontal="left" vertical="top" wrapText="1"/>
    </xf>
    <xf numFmtId="0" fontId="28" fillId="0" borderId="9" xfId="42" applyFont="1" applyBorder="1" applyAlignment="1">
      <alignment horizontal="left" vertical="top"/>
    </xf>
    <xf numFmtId="0" fontId="28" fillId="0" borderId="11" xfId="42" applyFont="1" applyBorder="1" applyAlignment="1">
      <alignment horizontal="left" vertical="top"/>
    </xf>
    <xf numFmtId="0" fontId="27" fillId="0" borderId="9" xfId="42" applyFont="1" applyBorder="1" applyAlignment="1">
      <alignment horizontal="left" vertical="top" wrapText="1"/>
    </xf>
    <xf numFmtId="0" fontId="27" fillId="0" borderId="10" xfId="42" applyFont="1" applyBorder="1" applyAlignment="1">
      <alignment horizontal="left" vertical="top" wrapText="1"/>
    </xf>
    <xf numFmtId="0" fontId="27" fillId="0" borderId="11" xfId="42" applyFont="1" applyBorder="1" applyAlignment="1">
      <alignment horizontal="left" vertical="top" wrapText="1"/>
    </xf>
    <xf numFmtId="0" fontId="28" fillId="0" borderId="17" xfId="42" applyFont="1" applyBorder="1" applyAlignment="1">
      <alignment horizontal="left" vertical="top"/>
    </xf>
    <xf numFmtId="0" fontId="28" fillId="0" borderId="18" xfId="42" applyFont="1" applyBorder="1" applyAlignment="1">
      <alignment horizontal="left" vertical="top"/>
    </xf>
    <xf numFmtId="0" fontId="28" fillId="0" borderId="14" xfId="42" applyFont="1" applyBorder="1" applyAlignment="1">
      <alignment horizontal="left" vertical="top"/>
    </xf>
    <xf numFmtId="0" fontId="28" fillId="0" borderId="16" xfId="42" applyFont="1" applyBorder="1" applyAlignment="1">
      <alignment horizontal="left" vertical="top"/>
    </xf>
    <xf numFmtId="0" fontId="22" fillId="0" borderId="0" xfId="0" applyFont="1" applyAlignment="1">
      <alignment horizontal="center"/>
    </xf>
    <xf numFmtId="0" fontId="23" fillId="32" borderId="0" xfId="0" applyFont="1" applyFill="1" applyAlignment="1">
      <alignment horizontal="center" wrapText="1"/>
    </xf>
  </cellXfs>
  <cellStyles count="46">
    <cellStyle name="20% - Accent1" xfId="17" builtinId="30" customBuiltin="1"/>
    <cellStyle name="20% - Accent2" xfId="21" builtinId="34" customBuiltin="1"/>
    <cellStyle name="20% - Accent3" xfId="25" builtinId="38" customBuiltin="1"/>
    <cellStyle name="20% - Accent4" xfId="29" builtinId="42" customBuiltin="1"/>
    <cellStyle name="20% - Accent5" xfId="33" builtinId="46" customBuiltin="1"/>
    <cellStyle name="20% - Accent6" xfId="37" builtinId="50" customBuiltin="1"/>
    <cellStyle name="40% - Accent1" xfId="18" builtinId="31" customBuiltin="1"/>
    <cellStyle name="40% - Accent2" xfId="22" builtinId="35" customBuiltin="1"/>
    <cellStyle name="40% - Accent3" xfId="26" builtinId="39" customBuiltin="1"/>
    <cellStyle name="40% - Accent4" xfId="30" builtinId="43" customBuiltin="1"/>
    <cellStyle name="40% - Accent5" xfId="34" builtinId="47" customBuiltin="1"/>
    <cellStyle name="40% - Accent6" xfId="38" builtinId="51" customBuiltin="1"/>
    <cellStyle name="60% - Accent1" xfId="19" builtinId="32" customBuiltin="1"/>
    <cellStyle name="60% - Accent2" xfId="23" builtinId="36" customBuiltin="1"/>
    <cellStyle name="60% - Accent3" xfId="27" builtinId="40" customBuiltin="1"/>
    <cellStyle name="60% - Accent4" xfId="31" builtinId="44" customBuiltin="1"/>
    <cellStyle name="60% - Accent5" xfId="35" builtinId="48" customBuiltin="1"/>
    <cellStyle name="60% - Accent6" xfId="39" builtinId="52" customBuiltin="1"/>
    <cellStyle name="Accent1" xfId="16" builtinId="29" customBuiltin="1"/>
    <cellStyle name="Accent2" xfId="20" builtinId="33" customBuiltin="1"/>
    <cellStyle name="Accent3" xfId="24" builtinId="37" customBuiltin="1"/>
    <cellStyle name="Accent4" xfId="28" builtinId="41" customBuiltin="1"/>
    <cellStyle name="Accent5" xfId="32" builtinId="45" customBuiltin="1"/>
    <cellStyle name="Accent6" xfId="36" builtinId="49" customBuiltin="1"/>
    <cellStyle name="Bad" xfId="4" builtinId="27" customBuiltin="1"/>
    <cellStyle name="Calculation" xfId="8" builtinId="22" customBuiltin="1"/>
    <cellStyle name="Check Cell" xfId="10" builtinId="23" customBuiltin="1"/>
    <cellStyle name="Comma" xfId="44" builtinId="3"/>
    <cellStyle name="Explanatory Text" xfId="12" builtinId="53" customBuiltin="1"/>
    <cellStyle name="Good" xfId="3" builtinId="26" customBuiltin="1"/>
    <cellStyle name="Heading 1" xfId="1" builtinId="16" customBuiltin="1"/>
    <cellStyle name="Heading 2" xfId="2" builtinId="17" customBuiltin="1"/>
    <cellStyle name="Heading 3" xfId="13" builtinId="18" customBuiltin="1"/>
    <cellStyle name="Heading 4" xfId="14" builtinId="19" customBuiltin="1"/>
    <cellStyle name="Hyperlink" xfId="41" builtinId="8"/>
    <cellStyle name="Input" xfId="6" builtinId="20" customBuiltin="1"/>
    <cellStyle name="Linked Cell" xfId="9" builtinId="24" customBuiltin="1"/>
    <cellStyle name="Neutral" xfId="5" builtinId="28" customBuiltin="1"/>
    <cellStyle name="Normal" xfId="0" builtinId="0" customBuiltin="1"/>
    <cellStyle name="Normal 2" xfId="42"/>
    <cellStyle name="Normal 3" xfId="45"/>
    <cellStyle name="Output" xfId="7" builtinId="21" customBuiltin="1"/>
    <cellStyle name="Percent" xfId="40" builtinId="5"/>
    <cellStyle name="Percent 2" xfId="43"/>
    <cellStyle name="Total" xfId="15" builtinId="25" customBuiltin="1"/>
    <cellStyle name="Warning Text" xfId="11" builtinId="11" customBuiltin="1"/>
  </cellStyles>
  <dxfs count="0"/>
  <tableStyles count="0" defaultTableStyle="TableStyleMedium9" defaultPivotStyle="PivotStyleLight16"/>
  <colors>
    <mruColors>
      <color rgb="FFA0FFA0"/>
      <color rgb="FF009632"/>
      <color rgb="FF99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Revenue Rm</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'Income Statement Analysis'!$A$34</c:f>
              <c:strCache>
                <c:ptCount val="1"/>
                <c:pt idx="0">
                  <c:v>Revenue</c:v>
                </c:pt>
              </c:strCache>
            </c:strRef>
          </c:tx>
          <c:spPr>
            <a:solidFill>
              <a:schemeClr val="accent1"/>
            </a:solidFill>
            <a:ln>
              <a:noFill/>
            </a:ln>
            <a:effectLst/>
          </c:spPr>
          <c:invertIfNegative val="0"/>
          <c:cat>
            <c:numRef>
              <c:f>'Income Statement Analysis'!$B$33:$L$33</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'Income Statement Analysis'!$B$34:$L$34</c:f>
              <c:numCache>
                <c:formatCode>General</c:formatCode>
                <c:ptCount val="10"/>
                <c:pt idx="0">
                  <c:v>30091</c:v>
                </c:pt>
                <c:pt idx="1">
                  <c:v>33592</c:v>
                </c:pt>
                <c:pt idx="2">
                  <c:v>35610</c:v>
                </c:pt>
                <c:pt idx="3">
                  <c:v>37952</c:v>
                </c:pt>
                <c:pt idx="4">
                  <c:v>45900</c:v>
                </c:pt>
                <c:pt idx="5">
                  <c:v>50194</c:v>
                </c:pt>
                <c:pt idx="6">
                  <c:v>56606</c:v>
                </c:pt>
                <c:pt idx="7">
                  <c:v>61152</c:v>
                </c:pt>
                <c:pt idx="8">
                  <c:v>62167</c:v>
                </c:pt>
                <c:pt idx="9">
                  <c:v>65478</c:v>
                </c:pt>
              </c:numCache>
            </c:numRef>
          </c:val>
        </c:ser>
        <c:dLbls>
          <c:showLegendKey val="0"/>
          <c:showVal val="0"/>
          <c:showCatName val="0"/>
          <c:showSerName val="0"/>
          <c:showPercent val="0"/>
          <c:showBubbleSize val="0"/>
        </c:dLbls>
        <c:gapWidth val="219"/>
        <c:overlap val="-27"/>
        <c:axId val="513382920"/>
        <c:axId val="513380960"/>
      </c:barChart>
      <c:catAx>
        <c:axId val="5133829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13380960"/>
        <c:crosses val="autoZero"/>
        <c:auto val="1"/>
        <c:lblAlgn val="ctr"/>
        <c:lblOffset val="100"/>
        <c:noMultiLvlLbl val="0"/>
      </c:catAx>
      <c:valAx>
        <c:axId val="513380960"/>
        <c:scaling>
          <c:orientation val="minMax"/>
        </c:scaling>
        <c:delete val="0"/>
        <c:axPos val="l"/>
        <c:majorGridlines>
          <c:spPr>
            <a:ln w="9525" cap="flat" cmpd="sng" algn="ctr">
              <a:solidFill>
                <a:schemeClr val="tx1">
                  <a:lumMod val="15000"/>
                  <a:lumOff val="85000"/>
                </a:schemeClr>
              </a:solidFill>
              <a:round/>
            </a:ln>
            <a:effectLst/>
          </c:spPr>
        </c:majorGridlines>
        <c:numFmt formatCode="&quot;R&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133829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ZA"/>
              <a:t>EBIT (Rm) vs %PAT</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'Income Statement Analysis'!$A$36</c:f>
              <c:strCache>
                <c:ptCount val="1"/>
                <c:pt idx="0">
                  <c:v>Operating profit (EBIT)</c:v>
                </c:pt>
              </c:strCache>
            </c:strRef>
          </c:tx>
          <c:spPr>
            <a:solidFill>
              <a:schemeClr val="accent1"/>
            </a:solidFill>
            <a:ln>
              <a:noFill/>
            </a:ln>
            <a:effectLst/>
          </c:spPr>
          <c:invertIfNegative val="0"/>
          <c:cat>
            <c:numRef>
              <c:f>'Income Statement Analysis'!$B$33:$L$33</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'Income Statement Analysis'!$B$36:$L$36</c:f>
              <c:numCache>
                <c:formatCode>General</c:formatCode>
                <c:ptCount val="10"/>
                <c:pt idx="0">
                  <c:v>11024</c:v>
                </c:pt>
                <c:pt idx="1">
                  <c:v>8684</c:v>
                </c:pt>
                <c:pt idx="2">
                  <c:v>7349</c:v>
                </c:pt>
                <c:pt idx="3">
                  <c:v>8570</c:v>
                </c:pt>
                <c:pt idx="4">
                  <c:v>10008</c:v>
                </c:pt>
                <c:pt idx="5">
                  <c:v>11460</c:v>
                </c:pt>
                <c:pt idx="6">
                  <c:v>12686</c:v>
                </c:pt>
                <c:pt idx="7">
                  <c:v>13656</c:v>
                </c:pt>
                <c:pt idx="8">
                  <c:v>8541</c:v>
                </c:pt>
                <c:pt idx="9">
                  <c:v>12901</c:v>
                </c:pt>
              </c:numCache>
            </c:numRef>
          </c:val>
        </c:ser>
        <c:dLbls>
          <c:showLegendKey val="0"/>
          <c:showVal val="0"/>
          <c:showCatName val="0"/>
          <c:showSerName val="0"/>
          <c:showPercent val="0"/>
          <c:showBubbleSize val="0"/>
        </c:dLbls>
        <c:gapWidth val="219"/>
        <c:overlap val="-27"/>
        <c:axId val="513380568"/>
        <c:axId val="513385664"/>
      </c:barChart>
      <c:lineChart>
        <c:grouping val="standard"/>
        <c:varyColors val="0"/>
        <c:ser>
          <c:idx val="1"/>
          <c:order val="1"/>
          <c:tx>
            <c:strRef>
              <c:f>'Income Statement Analysis'!$A$37</c:f>
              <c:strCache>
                <c:ptCount val="1"/>
                <c:pt idx="0">
                  <c:v>Profit for the year (PAT)</c:v>
                </c:pt>
              </c:strCache>
            </c:strRef>
          </c:tx>
          <c:spPr>
            <a:ln w="28575" cap="rnd">
              <a:solidFill>
                <a:schemeClr val="accent2"/>
              </a:solidFill>
              <a:round/>
            </a:ln>
            <a:effectLst/>
          </c:spPr>
          <c:marker>
            <c:symbol val="none"/>
          </c:marker>
          <c:cat>
            <c:numRef>
              <c:f>'Income Statement Analysis'!$B$33:$L$33</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'Income Statement Analysis'!$B$37:$L$37</c:f>
              <c:numCache>
                <c:formatCode>0%</c:formatCode>
                <c:ptCount val="10"/>
                <c:pt idx="0">
                  <c:v>0.21438303811770962</c:v>
                </c:pt>
                <c:pt idx="1">
                  <c:v>0.15015479876160992</c:v>
                </c:pt>
                <c:pt idx="2">
                  <c:v>8.9609660207806793E-2</c:v>
                </c:pt>
                <c:pt idx="3">
                  <c:v>0.11024451939291736</c:v>
                </c:pt>
                <c:pt idx="4">
                  <c:v>8.9738562091503271E-2</c:v>
                </c:pt>
                <c:pt idx="5">
                  <c:v>8.6464517671434829E-2</c:v>
                </c:pt>
                <c:pt idx="6">
                  <c:v>9.1350740204218628E-2</c:v>
                </c:pt>
                <c:pt idx="7">
                  <c:v>8.6701988487702775E-2</c:v>
                </c:pt>
                <c:pt idx="8">
                  <c:v>6.3216819212765611E-3</c:v>
                </c:pt>
                <c:pt idx="9">
                  <c:v>4.2227923882830871E-2</c:v>
                </c:pt>
              </c:numCache>
            </c:numRef>
          </c:val>
          <c:smooth val="0"/>
        </c:ser>
        <c:dLbls>
          <c:showLegendKey val="0"/>
          <c:showVal val="0"/>
          <c:showCatName val="0"/>
          <c:showSerName val="0"/>
          <c:showPercent val="0"/>
          <c:showBubbleSize val="0"/>
        </c:dLbls>
        <c:marker val="1"/>
        <c:smooth val="0"/>
        <c:axId val="513381744"/>
        <c:axId val="513381352"/>
      </c:lineChart>
      <c:catAx>
        <c:axId val="5133805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13385664"/>
        <c:crosses val="autoZero"/>
        <c:auto val="1"/>
        <c:lblAlgn val="ctr"/>
        <c:lblOffset val="100"/>
        <c:noMultiLvlLbl val="0"/>
      </c:catAx>
      <c:valAx>
        <c:axId val="51338566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13380568"/>
        <c:crosses val="autoZero"/>
        <c:crossBetween val="between"/>
      </c:valAx>
      <c:valAx>
        <c:axId val="513381352"/>
        <c:scaling>
          <c:orientation val="minMax"/>
        </c:scaling>
        <c:delete val="0"/>
        <c:axPos val="r"/>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13381744"/>
        <c:crosses val="max"/>
        <c:crossBetween val="between"/>
      </c:valAx>
      <c:catAx>
        <c:axId val="513381744"/>
        <c:scaling>
          <c:orientation val="minMax"/>
        </c:scaling>
        <c:delete val="1"/>
        <c:axPos val="b"/>
        <c:numFmt formatCode="General" sourceLinked="1"/>
        <c:majorTickMark val="none"/>
        <c:minorTickMark val="none"/>
        <c:tickLblPos val="nextTo"/>
        <c:crossAx val="513381352"/>
        <c:crosses val="autoZero"/>
        <c:auto val="1"/>
        <c:lblAlgn val="ctr"/>
        <c:lblOffset val="100"/>
        <c:noMultiLvlLbl val="0"/>
      </c:cat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ZA"/>
              <a:t>Balance Sheet</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'Balance Sheet Analysis'!$A$63</c:f>
              <c:strCache>
                <c:ptCount val="1"/>
                <c:pt idx="0">
                  <c:v>TOTAL ASSETS</c:v>
                </c:pt>
              </c:strCache>
            </c:strRef>
          </c:tx>
          <c:spPr>
            <a:solidFill>
              <a:schemeClr val="accent1"/>
            </a:solidFill>
            <a:ln>
              <a:noFill/>
            </a:ln>
            <a:effectLst/>
          </c:spPr>
          <c:invertIfNegative val="0"/>
          <c:cat>
            <c:numRef>
              <c:f>'Balance Sheet Analysis'!$B$62:$L$62</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'Balance Sheet Analysis'!$B$63:$L$63</c:f>
              <c:numCache>
                <c:formatCode>General</c:formatCode>
                <c:ptCount val="10"/>
                <c:pt idx="0">
                  <c:v>98686</c:v>
                </c:pt>
                <c:pt idx="1">
                  <c:v>118534</c:v>
                </c:pt>
                <c:pt idx="2">
                  <c:v>138885</c:v>
                </c:pt>
                <c:pt idx="3">
                  <c:v>167070</c:v>
                </c:pt>
                <c:pt idx="4">
                  <c:v>178005</c:v>
                </c:pt>
                <c:pt idx="5">
                  <c:v>203896</c:v>
                </c:pt>
                <c:pt idx="6">
                  <c:v>240311</c:v>
                </c:pt>
                <c:pt idx="7">
                  <c:v>328439</c:v>
                </c:pt>
                <c:pt idx="8">
                  <c:v>356393</c:v>
                </c:pt>
                <c:pt idx="9">
                  <c:v>351635</c:v>
                </c:pt>
              </c:numCache>
            </c:numRef>
          </c:val>
        </c:ser>
        <c:ser>
          <c:idx val="1"/>
          <c:order val="1"/>
          <c:tx>
            <c:strRef>
              <c:f>'Balance Sheet Analysis'!$A$64</c:f>
              <c:strCache>
                <c:ptCount val="1"/>
                <c:pt idx="0">
                  <c:v>Total equity</c:v>
                </c:pt>
              </c:strCache>
            </c:strRef>
          </c:tx>
          <c:spPr>
            <a:solidFill>
              <a:schemeClr val="accent2"/>
            </a:solidFill>
            <a:ln>
              <a:noFill/>
            </a:ln>
            <a:effectLst/>
          </c:spPr>
          <c:invertIfNegative val="0"/>
          <c:cat>
            <c:numRef>
              <c:f>'Balance Sheet Analysis'!$B$62:$L$62</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'Balance Sheet Analysis'!$B$64:$L$64</c:f>
              <c:numCache>
                <c:formatCode>General</c:formatCode>
                <c:ptCount val="10"/>
                <c:pt idx="0">
                  <c:v>50961</c:v>
                </c:pt>
                <c:pt idx="1">
                  <c:v>58334</c:v>
                </c:pt>
                <c:pt idx="2">
                  <c:v>63347</c:v>
                </c:pt>
                <c:pt idx="3">
                  <c:v>73666</c:v>
                </c:pt>
                <c:pt idx="4">
                  <c:v>79421</c:v>
                </c:pt>
                <c:pt idx="5">
                  <c:v>84954</c:v>
                </c:pt>
                <c:pt idx="6">
                  <c:v>97113</c:v>
                </c:pt>
                <c:pt idx="7">
                  <c:v>142328</c:v>
                </c:pt>
                <c:pt idx="8">
                  <c:v>143290</c:v>
                </c:pt>
                <c:pt idx="9">
                  <c:v>143563</c:v>
                </c:pt>
              </c:numCache>
            </c:numRef>
          </c:val>
        </c:ser>
        <c:ser>
          <c:idx val="2"/>
          <c:order val="2"/>
          <c:tx>
            <c:strRef>
              <c:f>'Balance Sheet Analysis'!$A$65</c:f>
              <c:strCache>
                <c:ptCount val="1"/>
                <c:pt idx="0">
                  <c:v>TOTAL LIABILITIES</c:v>
                </c:pt>
              </c:strCache>
            </c:strRef>
          </c:tx>
          <c:spPr>
            <a:solidFill>
              <a:schemeClr val="accent3"/>
            </a:solidFill>
            <a:ln>
              <a:noFill/>
            </a:ln>
            <a:effectLst/>
          </c:spPr>
          <c:invertIfNegative val="0"/>
          <c:cat>
            <c:numRef>
              <c:f>'Balance Sheet Analysis'!$B$62:$L$62</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'Balance Sheet Analysis'!$B$65:$L$65</c:f>
              <c:numCache>
                <c:formatCode>General</c:formatCode>
                <c:ptCount val="10"/>
                <c:pt idx="0">
                  <c:v>47725</c:v>
                </c:pt>
                <c:pt idx="1">
                  <c:v>60200</c:v>
                </c:pt>
                <c:pt idx="2">
                  <c:v>75538</c:v>
                </c:pt>
                <c:pt idx="3">
                  <c:v>93404</c:v>
                </c:pt>
                <c:pt idx="4">
                  <c:v>98584</c:v>
                </c:pt>
                <c:pt idx="5">
                  <c:v>118942</c:v>
                </c:pt>
                <c:pt idx="6">
                  <c:v>142960</c:v>
                </c:pt>
                <c:pt idx="7">
                  <c:v>186111</c:v>
                </c:pt>
                <c:pt idx="8">
                  <c:v>213103</c:v>
                </c:pt>
                <c:pt idx="9">
                  <c:v>208072</c:v>
                </c:pt>
              </c:numCache>
            </c:numRef>
          </c:val>
        </c:ser>
        <c:dLbls>
          <c:showLegendKey val="0"/>
          <c:showVal val="0"/>
          <c:showCatName val="0"/>
          <c:showSerName val="0"/>
          <c:showPercent val="0"/>
          <c:showBubbleSize val="0"/>
        </c:dLbls>
        <c:gapWidth val="219"/>
        <c:overlap val="-27"/>
        <c:axId val="513384096"/>
        <c:axId val="513391544"/>
      </c:barChart>
      <c:catAx>
        <c:axId val="5133840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13391544"/>
        <c:crosses val="autoZero"/>
        <c:auto val="1"/>
        <c:lblAlgn val="ctr"/>
        <c:lblOffset val="100"/>
        <c:noMultiLvlLbl val="0"/>
      </c:catAx>
      <c:valAx>
        <c:axId val="513391544"/>
        <c:scaling>
          <c:orientation val="minMax"/>
        </c:scaling>
        <c:delete val="0"/>
        <c:axPos val="l"/>
        <c:majorGridlines>
          <c:spPr>
            <a:ln w="9525" cap="flat" cmpd="sng" algn="ctr">
              <a:solidFill>
                <a:schemeClr val="tx1">
                  <a:lumMod val="15000"/>
                  <a:lumOff val="85000"/>
                </a:schemeClr>
              </a:solidFill>
              <a:round/>
            </a:ln>
            <a:effectLst/>
          </c:spPr>
        </c:majorGridlines>
        <c:numFmt formatCode="&quot;R&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1338409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Capital Expenditure R bn</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'Balance Sheet Analysis'!$A$67</c:f>
              <c:strCache>
                <c:ptCount val="1"/>
                <c:pt idx="0">
                  <c:v>Capital Expenditure</c:v>
                </c:pt>
              </c:strCache>
            </c:strRef>
          </c:tx>
          <c:spPr>
            <a:solidFill>
              <a:schemeClr val="accent1"/>
            </a:solidFill>
            <a:ln>
              <a:noFill/>
            </a:ln>
            <a:effectLst/>
          </c:spPr>
          <c:invertIfNegative val="0"/>
          <c:cat>
            <c:numRef>
              <c:f>'Balance Sheet Analysis'!$B$62:$L$62</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'Balance Sheet Analysis'!$B$67:$L$67</c:f>
              <c:numCache>
                <c:formatCode>General</c:formatCode>
                <c:ptCount val="10"/>
                <c:pt idx="0">
                  <c:v>15.8</c:v>
                </c:pt>
                <c:pt idx="1">
                  <c:v>19.399999999999999</c:v>
                </c:pt>
                <c:pt idx="2">
                  <c:v>18.399999999999999</c:v>
                </c:pt>
                <c:pt idx="3">
                  <c:v>21.3</c:v>
                </c:pt>
                <c:pt idx="4">
                  <c:v>22.5</c:v>
                </c:pt>
                <c:pt idx="5">
                  <c:v>27.5</c:v>
                </c:pt>
                <c:pt idx="6">
                  <c:v>25.1</c:v>
                </c:pt>
                <c:pt idx="7">
                  <c:v>25.2</c:v>
                </c:pt>
                <c:pt idx="8">
                  <c:v>26.3</c:v>
                </c:pt>
                <c:pt idx="9">
                  <c:v>21.4</c:v>
                </c:pt>
              </c:numCache>
            </c:numRef>
          </c:val>
        </c:ser>
        <c:dLbls>
          <c:showLegendKey val="0"/>
          <c:showVal val="0"/>
          <c:showCatName val="0"/>
          <c:showSerName val="0"/>
          <c:showPercent val="0"/>
          <c:showBubbleSize val="0"/>
        </c:dLbls>
        <c:gapWidth val="219"/>
        <c:overlap val="-27"/>
        <c:axId val="513386056"/>
        <c:axId val="513387624"/>
      </c:barChart>
      <c:catAx>
        <c:axId val="5133860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13387624"/>
        <c:crosses val="autoZero"/>
        <c:auto val="1"/>
        <c:lblAlgn val="ctr"/>
        <c:lblOffset val="100"/>
        <c:noMultiLvlLbl val="0"/>
      </c:catAx>
      <c:valAx>
        <c:axId val="513387624"/>
        <c:scaling>
          <c:orientation val="minMax"/>
        </c:scaling>
        <c:delete val="0"/>
        <c:axPos val="l"/>
        <c:majorGridlines>
          <c:spPr>
            <a:ln w="9525" cap="flat" cmpd="sng" algn="ctr">
              <a:solidFill>
                <a:schemeClr val="tx1">
                  <a:lumMod val="15000"/>
                  <a:lumOff val="85000"/>
                </a:schemeClr>
              </a:solidFill>
              <a:round/>
            </a:ln>
            <a:effectLst/>
          </c:spPr>
        </c:majorGridlines>
        <c:numFmt formatCode="&quot;R&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1338605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'Financial Analsysis'!$A$18</c:f>
              <c:strCache>
                <c:ptCount val="1"/>
                <c:pt idx="0">
                  <c:v>Debt ratio</c:v>
                </c:pt>
              </c:strCache>
            </c:strRef>
          </c:tx>
          <c:spPr>
            <a:solidFill>
              <a:schemeClr val="accent1"/>
            </a:solidFill>
            <a:ln>
              <a:noFill/>
            </a:ln>
            <a:effectLst/>
          </c:spPr>
          <c:invertIfNegative val="0"/>
          <c:cat>
            <c:numRef>
              <c:f>'Financial Analsysis'!$B$5:$L$5</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'Financial Analsysis'!$B$18:$L$18</c:f>
              <c:numCache>
                <c:formatCode>0%</c:formatCode>
                <c:ptCount val="10"/>
                <c:pt idx="0">
                  <c:v>0.48360456397057333</c:v>
                </c:pt>
                <c:pt idx="1">
                  <c:v>0.50787115932981253</c:v>
                </c:pt>
                <c:pt idx="2">
                  <c:v>0.5438888288872088</c:v>
                </c:pt>
                <c:pt idx="3">
                  <c:v>0.5590710480636859</c:v>
                </c:pt>
                <c:pt idx="4">
                  <c:v>0.55382713968708741</c:v>
                </c:pt>
                <c:pt idx="5">
                  <c:v>0.5833464118962608</c:v>
                </c:pt>
                <c:pt idx="6">
                  <c:v>0.59489578088393791</c:v>
                </c:pt>
                <c:pt idx="7">
                  <c:v>0.56665316847268443</c:v>
                </c:pt>
                <c:pt idx="8">
                  <c:v>0.59794384289253721</c:v>
                </c:pt>
                <c:pt idx="9">
                  <c:v>0.59172721714277587</c:v>
                </c:pt>
              </c:numCache>
            </c:numRef>
          </c:val>
        </c:ser>
        <c:dLbls>
          <c:showLegendKey val="0"/>
          <c:showVal val="0"/>
          <c:showCatName val="0"/>
          <c:showSerName val="0"/>
          <c:showPercent val="0"/>
          <c:showBubbleSize val="0"/>
        </c:dLbls>
        <c:gapWidth val="219"/>
        <c:overlap val="-27"/>
        <c:axId val="513389584"/>
        <c:axId val="513382136"/>
      </c:barChart>
      <c:catAx>
        <c:axId val="5133895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13382136"/>
        <c:crosses val="autoZero"/>
        <c:auto val="1"/>
        <c:lblAlgn val="ctr"/>
        <c:lblOffset val="100"/>
        <c:noMultiLvlLbl val="0"/>
      </c:catAx>
      <c:valAx>
        <c:axId val="5133821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1338958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9525</xdr:colOff>
      <xdr:row>38</xdr:row>
      <xdr:rowOff>4762</xdr:rowOff>
    </xdr:from>
    <xdr:to>
      <xdr:col>6</xdr:col>
      <xdr:colOff>428625</xdr:colOff>
      <xdr:row>54</xdr:row>
      <xdr:rowOff>157162</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428625</xdr:colOff>
      <xdr:row>38</xdr:row>
      <xdr:rowOff>4762</xdr:rowOff>
    </xdr:from>
    <xdr:to>
      <xdr:col>13</xdr:col>
      <xdr:colOff>704850</xdr:colOff>
      <xdr:row>54</xdr:row>
      <xdr:rowOff>157162</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67</xdr:row>
      <xdr:rowOff>157162</xdr:rowOff>
    </xdr:from>
    <xdr:to>
      <xdr:col>4</xdr:col>
      <xdr:colOff>409575</xdr:colOff>
      <xdr:row>84</xdr:row>
      <xdr:rowOff>147637</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409575</xdr:colOff>
      <xdr:row>67</xdr:row>
      <xdr:rowOff>147637</xdr:rowOff>
    </xdr:from>
    <xdr:to>
      <xdr:col>10</xdr:col>
      <xdr:colOff>66675</xdr:colOff>
      <xdr:row>84</xdr:row>
      <xdr:rowOff>138112</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76200</xdr:colOff>
      <xdr:row>67</xdr:row>
      <xdr:rowOff>142875</xdr:rowOff>
    </xdr:from>
    <xdr:to>
      <xdr:col>18</xdr:col>
      <xdr:colOff>200025</xdr:colOff>
      <xdr:row>84</xdr:row>
      <xdr:rowOff>133350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PwC">
  <a:themeElements>
    <a:clrScheme name="PwC Orange">
      <a:dk1>
        <a:srgbClr val="000000"/>
      </a:dk1>
      <a:lt1>
        <a:srgbClr val="FFFFFF"/>
      </a:lt1>
      <a:dk2>
        <a:srgbClr val="DC6900"/>
      </a:dk2>
      <a:lt2>
        <a:srgbClr val="FFFFFF"/>
      </a:lt2>
      <a:accent1>
        <a:srgbClr val="DC6900"/>
      </a:accent1>
      <a:accent2>
        <a:srgbClr val="FFB600"/>
      </a:accent2>
      <a:accent3>
        <a:srgbClr val="602320"/>
      </a:accent3>
      <a:accent4>
        <a:srgbClr val="E27588"/>
      </a:accent4>
      <a:accent5>
        <a:srgbClr val="A32020"/>
      </a:accent5>
      <a:accent6>
        <a:srgbClr val="E0301E"/>
      </a:accent6>
      <a:hlink>
        <a:srgbClr val="0000FF"/>
      </a:hlink>
      <a:folHlink>
        <a:srgbClr val="0000FF"/>
      </a:folHlink>
    </a:clrScheme>
    <a:fontScheme name="PwC">
      <a:majorFont>
        <a:latin typeface="Georgia"/>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ltGray">
        <a:solidFill>
          <a:schemeClr val="tx2"/>
        </a:solidFill>
        <a:ln w="3175"/>
      </a:spPr>
      <a:bodyPr rtlCol="0" anchor="ctr"/>
      <a:lstStyle>
        <a:defPPr algn="ctr">
          <a:defRPr dirty="0" err="1" smtClean="0">
            <a:solidFill>
              <a:schemeClr val="bg1"/>
            </a:solidFill>
            <a:latin typeface="Georgia" pitchFamily="18" charset="0"/>
          </a:defRPr>
        </a:defPPr>
      </a:lstStyle>
      <a:style>
        <a:lnRef idx="2">
          <a:schemeClr val="accent1">
            <a:shade val="50000"/>
          </a:schemeClr>
        </a:lnRef>
        <a:fillRef idx="1">
          <a:schemeClr val="accent1"/>
        </a:fillRef>
        <a:effectRef idx="0">
          <a:schemeClr val="accent1"/>
        </a:effectRef>
        <a:fontRef idx="minor">
          <a:schemeClr val="lt1"/>
        </a:fontRef>
      </a:style>
    </a:spDef>
    <a:txDef>
      <a:spPr>
        <a:noFill/>
      </a:spPr>
      <a:bodyPr wrap="square" lIns="0" tIns="0" rIns="0" bIns="0" rtlCol="0">
        <a:noAutofit/>
      </a:bodyPr>
      <a:lstStyle>
        <a:defPPr indent="-274320">
          <a:spcAft>
            <a:spcPts val="900"/>
          </a:spcAft>
          <a:defRPr sz="2000" dirty="0" err="1" smtClean="0">
            <a:latin typeface="Georgia" pitchFamily="18" charset="0"/>
          </a:defRPr>
        </a:defPPr>
      </a:lstStyle>
    </a:tx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workbookViewId="0">
      <selection activeCell="E7" sqref="E7"/>
    </sheetView>
  </sheetViews>
  <sheetFormatPr defaultRowHeight="12.75" x14ac:dyDescent="0.2"/>
  <cols>
    <col min="1" max="1" width="9.140625" style="1"/>
    <col min="2" max="2" width="14.85546875" style="1" customWidth="1"/>
    <col min="3" max="16384" width="9.140625" style="1"/>
  </cols>
  <sheetData>
    <row r="1" spans="1:2" x14ac:dyDescent="0.2">
      <c r="A1" s="2" t="s">
        <v>79</v>
      </c>
    </row>
    <row r="3" spans="1:2" x14ac:dyDescent="0.2">
      <c r="A3" s="2" t="s">
        <v>80</v>
      </c>
      <c r="B3" s="2" t="s">
        <v>81</v>
      </c>
    </row>
    <row r="4" spans="1:2" x14ac:dyDescent="0.2">
      <c r="A4" s="1">
        <v>1</v>
      </c>
      <c r="B4" s="1" t="s">
        <v>84</v>
      </c>
    </row>
    <row r="5" spans="1:2" x14ac:dyDescent="0.2">
      <c r="A5" s="1">
        <v>2</v>
      </c>
      <c r="B5" s="1" t="s">
        <v>85</v>
      </c>
    </row>
    <row r="6" spans="1:2" x14ac:dyDescent="0.2">
      <c r="A6" s="1">
        <v>3</v>
      </c>
      <c r="B6" s="1" t="s">
        <v>83</v>
      </c>
    </row>
    <row r="7" spans="1:2" x14ac:dyDescent="0.2">
      <c r="A7" s="1">
        <v>4</v>
      </c>
      <c r="B7" s="1" t="s">
        <v>86</v>
      </c>
    </row>
    <row r="8" spans="1:2" x14ac:dyDescent="0.2">
      <c r="A8" s="1">
        <v>5</v>
      </c>
      <c r="B8" s="1" t="s">
        <v>82</v>
      </c>
    </row>
  </sheetData>
  <sortState ref="A4:B8">
    <sortCondition ref="A4"/>
  </sortState>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00"/>
  </sheetPr>
  <dimension ref="A1:L60"/>
  <sheetViews>
    <sheetView showGridLines="0" workbookViewId="0">
      <pane xSplit="2" ySplit="3" topLeftCell="E36" activePane="bottomRight" state="frozen"/>
      <selection pane="topRight" activeCell="C1" sqref="C1"/>
      <selection pane="bottomLeft" activeCell="A4" sqref="A4"/>
      <selection pane="bottomRight" sqref="A1:L1"/>
    </sheetView>
  </sheetViews>
  <sheetFormatPr defaultRowHeight="12.75" x14ac:dyDescent="0.2"/>
  <cols>
    <col min="1" max="1" width="33" style="1" bestFit="1" customWidth="1"/>
    <col min="2" max="2" width="10.140625" style="1" hidden="1" customWidth="1"/>
    <col min="3" max="6" width="10.140625" style="1" customWidth="1"/>
    <col min="7" max="10" width="9.28515625" style="1" customWidth="1"/>
    <col min="11" max="12" width="9.5703125" style="1" bestFit="1" customWidth="1"/>
    <col min="13" max="16384" width="9.140625" style="1"/>
  </cols>
  <sheetData>
    <row r="1" spans="1:12" ht="15" x14ac:dyDescent="0.2">
      <c r="A1" s="136" t="s">
        <v>1</v>
      </c>
      <c r="B1" s="136"/>
      <c r="C1" s="136"/>
      <c r="D1" s="136"/>
      <c r="E1" s="136"/>
      <c r="F1" s="136"/>
      <c r="G1" s="136"/>
      <c r="H1" s="136"/>
      <c r="I1" s="136"/>
      <c r="J1" s="136"/>
      <c r="K1" s="136"/>
      <c r="L1" s="136"/>
    </row>
    <row r="3" spans="1:12" x14ac:dyDescent="0.2">
      <c r="A3" s="2" t="s">
        <v>128</v>
      </c>
      <c r="B3" s="2">
        <f>'Income Statement'!B3</f>
        <v>2007</v>
      </c>
      <c r="C3" s="2">
        <f>'Income Statement'!C3</f>
        <v>2008</v>
      </c>
      <c r="D3" s="2">
        <f>'Income Statement'!D3</f>
        <v>2009</v>
      </c>
      <c r="E3" s="2">
        <f>'Income Statement'!E3</f>
        <v>2010</v>
      </c>
      <c r="F3" s="2">
        <f>'Income Statement'!F3</f>
        <v>2011</v>
      </c>
      <c r="G3" s="2">
        <f>'Income Statement'!G3</f>
        <v>2012</v>
      </c>
      <c r="H3" s="2">
        <f>'Income Statement'!H3</f>
        <v>2013</v>
      </c>
      <c r="I3" s="2">
        <f>'Income Statement'!I3</f>
        <v>2014</v>
      </c>
      <c r="J3" s="2">
        <f>'Income Statement'!J3</f>
        <v>2015</v>
      </c>
      <c r="K3" s="2">
        <f>'Income Statement'!K3</f>
        <v>2016</v>
      </c>
      <c r="L3" s="2">
        <f>'Income Statement'!L3</f>
        <v>2017</v>
      </c>
    </row>
    <row r="4" spans="1:12" x14ac:dyDescent="0.2">
      <c r="A4" s="2" t="s">
        <v>11</v>
      </c>
      <c r="B4" s="52"/>
      <c r="C4" s="52"/>
      <c r="D4" s="52"/>
      <c r="E4" s="52"/>
      <c r="F4" s="52"/>
      <c r="G4" s="52"/>
      <c r="H4" s="52"/>
      <c r="I4" s="52"/>
      <c r="J4" s="52"/>
      <c r="K4" s="52"/>
      <c r="L4" s="52"/>
    </row>
    <row r="5" spans="1:12" x14ac:dyDescent="0.2">
      <c r="A5" s="2" t="s">
        <v>10</v>
      </c>
      <c r="B5" s="52"/>
      <c r="C5" s="52"/>
      <c r="D5" s="52"/>
      <c r="E5" s="52"/>
      <c r="F5" s="52"/>
      <c r="G5" s="52"/>
      <c r="H5" s="52"/>
      <c r="I5" s="52"/>
      <c r="J5" s="52"/>
      <c r="K5" s="52"/>
      <c r="L5" s="52"/>
    </row>
    <row r="6" spans="1:12" x14ac:dyDescent="0.2">
      <c r="A6" s="1" t="s">
        <v>129</v>
      </c>
      <c r="B6" s="52"/>
      <c r="C6" s="52">
        <v>78256</v>
      </c>
      <c r="D6" s="52">
        <v>96459</v>
      </c>
      <c r="E6" s="52">
        <v>113579</v>
      </c>
      <c r="F6" s="52">
        <v>137836</v>
      </c>
      <c r="G6" s="52">
        <v>155953</v>
      </c>
      <c r="H6" s="52">
        <v>176921</v>
      </c>
      <c r="I6" s="52">
        <v>207322</v>
      </c>
      <c r="J6" s="52">
        <v>287166</v>
      </c>
      <c r="K6" s="52">
        <v>302463</v>
      </c>
      <c r="L6" s="52">
        <v>311927</v>
      </c>
    </row>
    <row r="7" spans="1:12" x14ac:dyDescent="0.2">
      <c r="A7" s="1" t="s">
        <v>142</v>
      </c>
      <c r="B7" s="52"/>
      <c r="C7" s="52">
        <v>4515</v>
      </c>
      <c r="D7" s="52">
        <v>5961</v>
      </c>
      <c r="E7" s="52">
        <v>6604</v>
      </c>
      <c r="F7" s="52">
        <v>7368</v>
      </c>
      <c r="G7" s="52">
        <v>7732</v>
      </c>
      <c r="H7" s="52">
        <v>7938</v>
      </c>
      <c r="I7" s="52">
        <v>8572</v>
      </c>
      <c r="J7" s="52">
        <v>9074</v>
      </c>
      <c r="K7" s="52">
        <v>10105</v>
      </c>
      <c r="L7" s="52">
        <v>10333</v>
      </c>
    </row>
    <row r="8" spans="1:12" x14ac:dyDescent="0.2">
      <c r="A8" s="1" t="s">
        <v>130</v>
      </c>
      <c r="B8" s="52"/>
      <c r="C8" s="52">
        <v>326</v>
      </c>
      <c r="D8" s="52">
        <v>431</v>
      </c>
      <c r="E8" s="52">
        <v>421</v>
      </c>
      <c r="F8" s="52">
        <v>464</v>
      </c>
      <c r="G8" s="52">
        <v>586</v>
      </c>
      <c r="H8" s="52">
        <v>534</v>
      </c>
      <c r="I8" s="52">
        <v>972</v>
      </c>
      <c r="J8" s="52">
        <v>1273</v>
      </c>
      <c r="K8" s="52">
        <v>1489</v>
      </c>
      <c r="L8" s="52">
        <v>1404</v>
      </c>
    </row>
    <row r="9" spans="1:12" x14ac:dyDescent="0.2">
      <c r="A9" s="1" t="s">
        <v>143</v>
      </c>
      <c r="B9" s="52"/>
      <c r="C9" s="52"/>
      <c r="D9" s="52"/>
      <c r="E9" s="52"/>
      <c r="F9" s="52"/>
      <c r="G9" s="52"/>
      <c r="H9" s="52"/>
      <c r="I9" s="52"/>
      <c r="J9" s="52"/>
      <c r="K9" s="52"/>
      <c r="L9" s="52"/>
    </row>
    <row r="10" spans="1:12" x14ac:dyDescent="0.2">
      <c r="A10" s="1" t="s">
        <v>144</v>
      </c>
      <c r="B10" s="52"/>
      <c r="C10" s="52">
        <v>48</v>
      </c>
      <c r="D10" s="52">
        <v>24</v>
      </c>
      <c r="E10" s="52">
        <v>21</v>
      </c>
      <c r="F10" s="52">
        <v>81</v>
      </c>
      <c r="G10" s="52">
        <v>72</v>
      </c>
      <c r="H10" s="52">
        <v>93</v>
      </c>
      <c r="I10" s="52">
        <v>105</v>
      </c>
      <c r="J10" s="52">
        <v>113</v>
      </c>
      <c r="K10" s="52">
        <v>137</v>
      </c>
      <c r="L10" s="52">
        <v>155</v>
      </c>
    </row>
    <row r="11" spans="1:12" x14ac:dyDescent="0.2">
      <c r="A11" s="1" t="s">
        <v>145</v>
      </c>
      <c r="B11" s="52"/>
      <c r="C11" s="52">
        <v>533</v>
      </c>
      <c r="D11" s="52">
        <v>178</v>
      </c>
      <c r="E11" s="52">
        <v>11</v>
      </c>
      <c r="F11" s="52">
        <v>15</v>
      </c>
      <c r="G11" s="52">
        <v>467</v>
      </c>
      <c r="H11" s="52">
        <v>3821</v>
      </c>
      <c r="I11" s="52">
        <v>7346</v>
      </c>
      <c r="J11" s="52">
        <v>7622</v>
      </c>
      <c r="K11" s="52">
        <v>13076</v>
      </c>
      <c r="L11" s="52">
        <v>8206</v>
      </c>
    </row>
    <row r="12" spans="1:12" x14ac:dyDescent="0.2">
      <c r="A12" s="1" t="s">
        <v>147</v>
      </c>
      <c r="B12" s="52"/>
      <c r="C12" s="52">
        <v>90</v>
      </c>
      <c r="D12" s="52">
        <v>77</v>
      </c>
      <c r="E12" s="52">
        <v>37</v>
      </c>
      <c r="F12" s="52">
        <v>11</v>
      </c>
      <c r="G12" s="52">
        <v>2</v>
      </c>
      <c r="H12" s="52">
        <v>4</v>
      </c>
      <c r="I12" s="52">
        <v>29</v>
      </c>
      <c r="J12" s="52">
        <v>24</v>
      </c>
      <c r="K12" s="52">
        <v>21</v>
      </c>
      <c r="L12" s="52">
        <v>20</v>
      </c>
    </row>
    <row r="13" spans="1:12" x14ac:dyDescent="0.2">
      <c r="A13" s="1" t="s">
        <v>146</v>
      </c>
      <c r="B13" s="52"/>
      <c r="C13" s="52">
        <v>452</v>
      </c>
      <c r="D13" s="52">
        <v>287</v>
      </c>
      <c r="E13" s="52">
        <v>172</v>
      </c>
      <c r="F13" s="52">
        <v>468</v>
      </c>
      <c r="G13" s="52">
        <v>568</v>
      </c>
      <c r="H13" s="52">
        <v>671</v>
      </c>
      <c r="I13" s="52">
        <v>716</v>
      </c>
      <c r="J13" s="52">
        <v>669</v>
      </c>
      <c r="K13" s="52">
        <v>901</v>
      </c>
      <c r="L13" s="52">
        <v>1601</v>
      </c>
    </row>
    <row r="14" spans="1:12" x14ac:dyDescent="0.2">
      <c r="A14" s="2" t="s">
        <v>12</v>
      </c>
      <c r="B14" s="53">
        <f t="shared" ref="B14:K14" si="0">SUM(B6:B13)</f>
        <v>0</v>
      </c>
      <c r="C14" s="53">
        <f t="shared" si="0"/>
        <v>84220</v>
      </c>
      <c r="D14" s="53">
        <f t="shared" si="0"/>
        <v>103417</v>
      </c>
      <c r="E14" s="53">
        <f t="shared" si="0"/>
        <v>120845</v>
      </c>
      <c r="F14" s="53">
        <f t="shared" si="0"/>
        <v>146243</v>
      </c>
      <c r="G14" s="53">
        <f t="shared" si="0"/>
        <v>165380</v>
      </c>
      <c r="H14" s="53">
        <f t="shared" si="0"/>
        <v>189982</v>
      </c>
      <c r="I14" s="53">
        <f t="shared" si="0"/>
        <v>225062</v>
      </c>
      <c r="J14" s="53">
        <f t="shared" si="0"/>
        <v>305941</v>
      </c>
      <c r="K14" s="53">
        <f t="shared" si="0"/>
        <v>328192</v>
      </c>
      <c r="L14" s="53">
        <f t="shared" ref="L14" si="1">SUM(L6:L13)</f>
        <v>333646</v>
      </c>
    </row>
    <row r="15" spans="1:12" x14ac:dyDescent="0.2">
      <c r="B15" s="52"/>
      <c r="C15" s="52"/>
      <c r="D15" s="52"/>
      <c r="E15" s="52"/>
      <c r="F15" s="52"/>
      <c r="G15" s="52"/>
      <c r="H15" s="52"/>
      <c r="I15" s="52"/>
      <c r="J15" s="52"/>
      <c r="K15" s="52"/>
      <c r="L15" s="52"/>
    </row>
    <row r="16" spans="1:12" x14ac:dyDescent="0.2">
      <c r="A16" s="2" t="s">
        <v>13</v>
      </c>
      <c r="B16" s="52"/>
      <c r="C16" s="52"/>
      <c r="D16" s="52"/>
      <c r="E16" s="52"/>
      <c r="F16" s="52"/>
      <c r="G16" s="52"/>
      <c r="H16" s="52"/>
      <c r="I16" s="52"/>
      <c r="J16" s="52"/>
      <c r="K16" s="52"/>
      <c r="L16" s="52"/>
    </row>
    <row r="17" spans="1:12" x14ac:dyDescent="0.2">
      <c r="A17" s="1" t="s">
        <v>148</v>
      </c>
      <c r="B17" s="52"/>
      <c r="C17" s="52">
        <v>2319</v>
      </c>
      <c r="D17" s="52">
        <v>2589</v>
      </c>
      <c r="E17" s="52">
        <v>2048</v>
      </c>
      <c r="F17" s="52">
        <v>2257</v>
      </c>
      <c r="G17" s="52">
        <v>2591</v>
      </c>
      <c r="H17" s="52">
        <v>3400</v>
      </c>
      <c r="I17" s="52">
        <v>3241</v>
      </c>
      <c r="J17" s="52">
        <v>3343</v>
      </c>
      <c r="K17" s="52">
        <v>3594</v>
      </c>
      <c r="L17" s="52">
        <v>3354</v>
      </c>
    </row>
    <row r="18" spans="1:12" x14ac:dyDescent="0.2">
      <c r="A18" s="1" t="s">
        <v>131</v>
      </c>
      <c r="B18" s="52"/>
      <c r="C18" s="52">
        <v>4074</v>
      </c>
      <c r="D18" s="52">
        <v>5503</v>
      </c>
      <c r="E18" s="52">
        <v>5859</v>
      </c>
      <c r="F18" s="52">
        <v>5503</v>
      </c>
      <c r="G18" s="52">
        <v>5615</v>
      </c>
      <c r="H18" s="52">
        <v>6248</v>
      </c>
      <c r="I18" s="52">
        <v>7774</v>
      </c>
      <c r="J18" s="52">
        <v>8332</v>
      </c>
      <c r="K18" s="52">
        <v>8535</v>
      </c>
      <c r="L18" s="52">
        <v>7768</v>
      </c>
    </row>
    <row r="19" spans="1:12" x14ac:dyDescent="0.2">
      <c r="A19" s="1" t="s">
        <v>178</v>
      </c>
      <c r="B19" s="52"/>
      <c r="C19" s="52"/>
      <c r="D19" s="52"/>
      <c r="E19" s="52"/>
      <c r="F19" s="52">
        <v>303</v>
      </c>
      <c r="G19" s="52">
        <v>209</v>
      </c>
      <c r="H19" s="52"/>
      <c r="I19" s="52">
        <v>58</v>
      </c>
      <c r="J19" s="52"/>
      <c r="K19" s="52"/>
      <c r="L19" s="52"/>
    </row>
    <row r="20" spans="1:12" x14ac:dyDescent="0.2">
      <c r="A20" s="1" t="s">
        <v>145</v>
      </c>
      <c r="B20" s="52"/>
      <c r="C20" s="52">
        <v>412</v>
      </c>
      <c r="D20" s="52">
        <v>335</v>
      </c>
      <c r="E20" s="52">
        <v>28</v>
      </c>
      <c r="F20" s="52">
        <v>30</v>
      </c>
      <c r="G20" s="52">
        <v>35</v>
      </c>
      <c r="H20" s="52">
        <v>34</v>
      </c>
      <c r="I20" s="52">
        <v>67</v>
      </c>
      <c r="J20" s="52">
        <v>3770</v>
      </c>
      <c r="K20" s="52">
        <v>324</v>
      </c>
      <c r="L20" s="52">
        <v>3</v>
      </c>
    </row>
    <row r="21" spans="1:12" x14ac:dyDescent="0.2">
      <c r="A21" s="1" t="s">
        <v>149</v>
      </c>
      <c r="B21" s="52"/>
      <c r="C21" s="52">
        <v>550</v>
      </c>
      <c r="D21" s="52">
        <v>436</v>
      </c>
      <c r="E21" s="52">
        <v>1670</v>
      </c>
      <c r="F21" s="52">
        <v>1566</v>
      </c>
      <c r="G21" s="52">
        <v>2755</v>
      </c>
      <c r="H21" s="52">
        <v>1359</v>
      </c>
      <c r="I21" s="52">
        <v>3633</v>
      </c>
      <c r="J21" s="52">
        <v>708</v>
      </c>
      <c r="K21" s="52">
        <v>1641</v>
      </c>
      <c r="L21" s="52">
        <v>332</v>
      </c>
    </row>
    <row r="22" spans="1:12" x14ac:dyDescent="0.2">
      <c r="A22" s="1" t="s">
        <v>150</v>
      </c>
      <c r="B22" s="52"/>
      <c r="C22" s="52">
        <v>5980</v>
      </c>
      <c r="D22" s="52">
        <v>5880</v>
      </c>
      <c r="E22" s="52">
        <v>7918</v>
      </c>
      <c r="F22" s="52">
        <v>10876</v>
      </c>
      <c r="G22" s="52">
        <v>1189</v>
      </c>
      <c r="H22" s="52">
        <v>2598</v>
      </c>
      <c r="I22" s="52">
        <v>238</v>
      </c>
      <c r="J22" s="52">
        <v>6264</v>
      </c>
      <c r="K22" s="52">
        <v>13943</v>
      </c>
      <c r="L22" s="52">
        <v>6422</v>
      </c>
    </row>
    <row r="23" spans="1:12" x14ac:dyDescent="0.2">
      <c r="B23" s="52"/>
      <c r="C23" s="52"/>
      <c r="D23" s="52"/>
      <c r="E23" s="52"/>
      <c r="F23" s="52"/>
      <c r="G23" s="52"/>
      <c r="H23" s="52"/>
      <c r="I23" s="52"/>
      <c r="J23" s="52"/>
      <c r="K23" s="52"/>
      <c r="L23" s="52"/>
    </row>
    <row r="24" spans="1:12" x14ac:dyDescent="0.2">
      <c r="A24" s="1" t="s">
        <v>151</v>
      </c>
      <c r="B24" s="52"/>
      <c r="C24" s="52">
        <v>1131</v>
      </c>
      <c r="D24" s="52">
        <v>374</v>
      </c>
      <c r="E24" s="52">
        <v>517</v>
      </c>
      <c r="F24" s="52">
        <v>292</v>
      </c>
      <c r="G24" s="52">
        <v>231</v>
      </c>
      <c r="H24" s="52">
        <v>275</v>
      </c>
      <c r="I24" s="52">
        <v>238</v>
      </c>
      <c r="J24" s="52">
        <v>81</v>
      </c>
      <c r="K24" s="52">
        <v>164</v>
      </c>
      <c r="L24" s="52">
        <v>110</v>
      </c>
    </row>
    <row r="25" spans="1:12" x14ac:dyDescent="0.2">
      <c r="A25" s="2" t="s">
        <v>14</v>
      </c>
      <c r="B25" s="53">
        <f t="shared" ref="B25:F25" si="2">SUM(B17:B24)</f>
        <v>0</v>
      </c>
      <c r="C25" s="53">
        <f t="shared" si="2"/>
        <v>14466</v>
      </c>
      <c r="D25" s="53">
        <f t="shared" si="2"/>
        <v>15117</v>
      </c>
      <c r="E25" s="53">
        <f t="shared" si="2"/>
        <v>18040</v>
      </c>
      <c r="F25" s="53">
        <f t="shared" si="2"/>
        <v>20827</v>
      </c>
      <c r="G25" s="53">
        <f t="shared" ref="G25:L25" si="3">SUM(G17:G24)</f>
        <v>12625</v>
      </c>
      <c r="H25" s="53">
        <f t="shared" si="3"/>
        <v>13914</v>
      </c>
      <c r="I25" s="53">
        <f t="shared" si="3"/>
        <v>15249</v>
      </c>
      <c r="J25" s="53">
        <f t="shared" si="3"/>
        <v>22498</v>
      </c>
      <c r="K25" s="53">
        <f t="shared" si="3"/>
        <v>28201</v>
      </c>
      <c r="L25" s="53">
        <f t="shared" si="3"/>
        <v>17989</v>
      </c>
    </row>
    <row r="26" spans="1:12" x14ac:dyDescent="0.2">
      <c r="B26" s="52"/>
      <c r="C26" s="52"/>
      <c r="D26" s="52"/>
      <c r="E26" s="52"/>
      <c r="F26" s="52"/>
      <c r="G26" s="52"/>
      <c r="H26" s="52"/>
      <c r="I26" s="52"/>
      <c r="J26" s="52"/>
      <c r="K26" s="52"/>
      <c r="L26" s="52"/>
    </row>
    <row r="27" spans="1:12" x14ac:dyDescent="0.2">
      <c r="A27" s="2" t="s">
        <v>15</v>
      </c>
      <c r="B27" s="53">
        <f>B14+B25</f>
        <v>0</v>
      </c>
      <c r="C27" s="53">
        <f t="shared" ref="C27:G27" si="4">C14+C25</f>
        <v>98686</v>
      </c>
      <c r="D27" s="53">
        <f t="shared" si="4"/>
        <v>118534</v>
      </c>
      <c r="E27" s="53">
        <f t="shared" si="4"/>
        <v>138885</v>
      </c>
      <c r="F27" s="53">
        <f t="shared" si="4"/>
        <v>167070</v>
      </c>
      <c r="G27" s="53">
        <f t="shared" si="4"/>
        <v>178005</v>
      </c>
      <c r="H27" s="53">
        <f t="shared" ref="H27:L27" si="5">H14+H25</f>
        <v>203896</v>
      </c>
      <c r="I27" s="53">
        <f t="shared" si="5"/>
        <v>240311</v>
      </c>
      <c r="J27" s="53">
        <f t="shared" si="5"/>
        <v>328439</v>
      </c>
      <c r="K27" s="53">
        <f t="shared" si="5"/>
        <v>356393</v>
      </c>
      <c r="L27" s="53">
        <f t="shared" si="5"/>
        <v>351635</v>
      </c>
    </row>
    <row r="28" spans="1:12" x14ac:dyDescent="0.2">
      <c r="B28" s="52"/>
      <c r="C28" s="52"/>
      <c r="D28" s="52"/>
      <c r="E28" s="52"/>
      <c r="F28" s="52"/>
      <c r="G28" s="52"/>
      <c r="H28" s="52"/>
      <c r="I28" s="52"/>
      <c r="J28" s="52"/>
      <c r="K28" s="52"/>
      <c r="L28" s="52"/>
    </row>
    <row r="29" spans="1:12" x14ac:dyDescent="0.2">
      <c r="A29" s="2" t="s">
        <v>16</v>
      </c>
      <c r="B29" s="52"/>
      <c r="C29" s="52"/>
      <c r="D29" s="52"/>
      <c r="E29" s="52"/>
      <c r="F29" s="52"/>
      <c r="G29" s="52"/>
      <c r="H29" s="52"/>
      <c r="I29" s="52"/>
      <c r="J29" s="52"/>
      <c r="K29" s="52"/>
      <c r="L29" s="52"/>
    </row>
    <row r="30" spans="1:12" x14ac:dyDescent="0.2">
      <c r="B30" s="52"/>
      <c r="C30" s="52"/>
      <c r="D30" s="52"/>
      <c r="E30" s="52"/>
      <c r="F30" s="52"/>
      <c r="G30" s="52"/>
      <c r="H30" s="52"/>
      <c r="I30" s="52"/>
      <c r="J30" s="52"/>
      <c r="K30" s="52"/>
      <c r="L30" s="52"/>
    </row>
    <row r="31" spans="1:12" x14ac:dyDescent="0.2">
      <c r="A31" s="2" t="s">
        <v>17</v>
      </c>
      <c r="B31" s="52"/>
      <c r="C31" s="52"/>
      <c r="D31" s="52"/>
      <c r="E31" s="52"/>
      <c r="F31" s="52"/>
      <c r="G31" s="52"/>
      <c r="H31" s="52"/>
      <c r="I31" s="52"/>
      <c r="J31" s="52"/>
      <c r="K31" s="52"/>
      <c r="L31" s="52"/>
    </row>
    <row r="32" spans="1:12" x14ac:dyDescent="0.2">
      <c r="A32" s="1" t="s">
        <v>152</v>
      </c>
      <c r="B32" s="52"/>
      <c r="C32" s="52">
        <v>12661</v>
      </c>
      <c r="D32" s="52">
        <v>12661</v>
      </c>
      <c r="E32" s="52">
        <v>12661</v>
      </c>
      <c r="F32" s="52">
        <v>12661</v>
      </c>
      <c r="G32" s="52">
        <v>12661</v>
      </c>
      <c r="H32" s="52">
        <v>12661</v>
      </c>
      <c r="I32" s="52">
        <v>12661</v>
      </c>
      <c r="J32" s="52">
        <v>12661</v>
      </c>
      <c r="K32" s="52">
        <v>12661</v>
      </c>
      <c r="L32" s="52">
        <v>12661</v>
      </c>
    </row>
    <row r="33" spans="1:12" x14ac:dyDescent="0.2">
      <c r="A33" s="1" t="s">
        <v>153</v>
      </c>
      <c r="B33" s="52"/>
      <c r="C33" s="52">
        <v>38300</v>
      </c>
      <c r="D33" s="52">
        <v>45673</v>
      </c>
      <c r="E33" s="52">
        <v>50686</v>
      </c>
      <c r="F33" s="52">
        <v>61005</v>
      </c>
      <c r="G33" s="52">
        <v>66760</v>
      </c>
      <c r="H33" s="52">
        <v>72293</v>
      </c>
      <c r="I33" s="52">
        <v>84452</v>
      </c>
      <c r="J33" s="52">
        <v>129667</v>
      </c>
      <c r="K33" s="52">
        <v>130629</v>
      </c>
      <c r="L33" s="52">
        <v>130902</v>
      </c>
    </row>
    <row r="34" spans="1:12" x14ac:dyDescent="0.2">
      <c r="B34" s="52"/>
      <c r="C34" s="52"/>
      <c r="D34" s="52"/>
      <c r="E34" s="52"/>
      <c r="F34" s="52"/>
      <c r="G34" s="52"/>
      <c r="H34" s="52"/>
      <c r="I34" s="52"/>
      <c r="J34" s="52"/>
      <c r="K34" s="52"/>
      <c r="L34" s="52"/>
    </row>
    <row r="35" spans="1:12" x14ac:dyDescent="0.2">
      <c r="B35" s="52"/>
      <c r="C35" s="52"/>
      <c r="D35" s="52"/>
      <c r="E35" s="52"/>
      <c r="F35" s="52"/>
      <c r="G35" s="52"/>
      <c r="H35" s="52"/>
      <c r="I35" s="52"/>
      <c r="J35" s="52"/>
      <c r="K35" s="52"/>
      <c r="L35" s="52"/>
    </row>
    <row r="36" spans="1:12" x14ac:dyDescent="0.2">
      <c r="B36" s="52"/>
      <c r="C36" s="52"/>
      <c r="D36" s="52"/>
      <c r="E36" s="52"/>
      <c r="F36" s="52"/>
      <c r="G36" s="52"/>
      <c r="H36" s="52"/>
      <c r="I36" s="52"/>
      <c r="J36" s="52"/>
      <c r="K36" s="52"/>
      <c r="L36" s="52"/>
    </row>
    <row r="37" spans="1:12" x14ac:dyDescent="0.2">
      <c r="A37" s="2" t="s">
        <v>18</v>
      </c>
      <c r="B37" s="53">
        <f t="shared" ref="B37:J37" si="6">SUM(B32:B35)</f>
        <v>0</v>
      </c>
      <c r="C37" s="53">
        <f t="shared" si="6"/>
        <v>50961</v>
      </c>
      <c r="D37" s="53">
        <f t="shared" si="6"/>
        <v>58334</v>
      </c>
      <c r="E37" s="53">
        <f t="shared" si="6"/>
        <v>63347</v>
      </c>
      <c r="F37" s="53">
        <f t="shared" si="6"/>
        <v>73666</v>
      </c>
      <c r="G37" s="53">
        <f t="shared" si="6"/>
        <v>79421</v>
      </c>
      <c r="H37" s="53">
        <f t="shared" si="6"/>
        <v>84954</v>
      </c>
      <c r="I37" s="53">
        <f t="shared" si="6"/>
        <v>97113</v>
      </c>
      <c r="J37" s="53">
        <f t="shared" si="6"/>
        <v>142328</v>
      </c>
      <c r="K37" s="53">
        <f>SUM(K32:K36)</f>
        <v>143290</v>
      </c>
      <c r="L37" s="53">
        <f>SUM(L32:L36)</f>
        <v>143563</v>
      </c>
    </row>
    <row r="38" spans="1:12" x14ac:dyDescent="0.2">
      <c r="B38" s="52"/>
      <c r="C38" s="52"/>
      <c r="D38" s="52"/>
      <c r="E38" s="52"/>
      <c r="F38" s="52"/>
      <c r="G38" s="52"/>
      <c r="H38" s="52"/>
      <c r="I38" s="52"/>
      <c r="J38" s="52"/>
      <c r="K38" s="52"/>
      <c r="L38" s="52"/>
    </row>
    <row r="39" spans="1:12" x14ac:dyDescent="0.2">
      <c r="A39" s="2" t="s">
        <v>19</v>
      </c>
      <c r="B39" s="52"/>
      <c r="C39" s="52"/>
      <c r="D39" s="52"/>
      <c r="E39" s="52"/>
      <c r="F39" s="52"/>
      <c r="G39" s="52"/>
      <c r="H39" s="52"/>
      <c r="I39" s="52"/>
      <c r="J39" s="52"/>
      <c r="K39" s="52"/>
      <c r="L39" s="52"/>
    </row>
    <row r="40" spans="1:12" x14ac:dyDescent="0.2">
      <c r="A40" s="1" t="s">
        <v>154</v>
      </c>
      <c r="B40" s="52"/>
      <c r="C40" s="52">
        <v>2181</v>
      </c>
      <c r="D40" s="52">
        <v>2324</v>
      </c>
      <c r="E40" s="52">
        <v>3451</v>
      </c>
      <c r="F40" s="52">
        <v>3232</v>
      </c>
      <c r="G40" s="52">
        <v>3322</v>
      </c>
      <c r="H40" s="52">
        <v>3117</v>
      </c>
      <c r="I40" s="52">
        <v>2968</v>
      </c>
      <c r="J40" s="52">
        <v>2771</v>
      </c>
      <c r="K40" s="52">
        <v>2646</v>
      </c>
      <c r="L40" s="52">
        <v>2624</v>
      </c>
    </row>
    <row r="41" spans="1:12" x14ac:dyDescent="0.2">
      <c r="A41" s="1" t="s">
        <v>155</v>
      </c>
      <c r="B41" s="52"/>
      <c r="C41" s="52">
        <v>16890</v>
      </c>
      <c r="D41" s="52">
        <v>29758</v>
      </c>
      <c r="E41" s="52">
        <v>42736</v>
      </c>
      <c r="F41" s="52">
        <v>50452</v>
      </c>
      <c r="G41" s="52">
        <v>52566</v>
      </c>
      <c r="H41" s="52">
        <v>66770</v>
      </c>
      <c r="I41" s="52">
        <v>82995</v>
      </c>
      <c r="J41" s="52">
        <v>93078</v>
      </c>
      <c r="K41" s="52">
        <v>117468</v>
      </c>
      <c r="L41" s="52">
        <v>111026</v>
      </c>
    </row>
    <row r="42" spans="1:12" x14ac:dyDescent="0.2">
      <c r="A42" s="1" t="s">
        <v>156</v>
      </c>
      <c r="B42" s="52"/>
      <c r="C42" s="52">
        <v>453</v>
      </c>
      <c r="D42" s="52">
        <v>18</v>
      </c>
      <c r="E42" s="52">
        <v>366</v>
      </c>
      <c r="F42" s="52">
        <v>558</v>
      </c>
      <c r="G42" s="52">
        <v>82</v>
      </c>
      <c r="H42" s="52">
        <v>62</v>
      </c>
      <c r="I42" s="52">
        <v>46</v>
      </c>
      <c r="J42" s="52">
        <v>25</v>
      </c>
      <c r="K42" s="52"/>
      <c r="L42" s="52">
        <v>1938</v>
      </c>
    </row>
    <row r="43" spans="1:12" x14ac:dyDescent="0.2">
      <c r="A43" s="1" t="s">
        <v>158</v>
      </c>
      <c r="B43" s="52"/>
      <c r="C43" s="52">
        <v>1989</v>
      </c>
      <c r="D43" s="52">
        <v>2509</v>
      </c>
      <c r="E43" s="52">
        <v>1054</v>
      </c>
      <c r="F43" s="52">
        <v>1174</v>
      </c>
      <c r="G43" s="52">
        <v>1626</v>
      </c>
      <c r="H43" s="52">
        <v>1902</v>
      </c>
      <c r="I43" s="52">
        <v>1890</v>
      </c>
      <c r="J43" s="52">
        <v>1937</v>
      </c>
      <c r="K43" s="52">
        <v>1886</v>
      </c>
      <c r="L43" s="52">
        <v>1944</v>
      </c>
    </row>
    <row r="44" spans="1:12" x14ac:dyDescent="0.2">
      <c r="A44" s="1" t="s">
        <v>157</v>
      </c>
      <c r="B44" s="52"/>
      <c r="C44" s="52">
        <v>6695</v>
      </c>
      <c r="D44" s="52">
        <v>8589</v>
      </c>
      <c r="E44" s="52">
        <v>12473</v>
      </c>
      <c r="F44" s="52">
        <v>15415</v>
      </c>
      <c r="G44" s="52">
        <v>18050</v>
      </c>
      <c r="H44" s="52">
        <v>20471</v>
      </c>
      <c r="I44" s="52">
        <v>25209</v>
      </c>
      <c r="J44" s="52">
        <v>43087</v>
      </c>
      <c r="K44" s="52">
        <v>44387</v>
      </c>
      <c r="L44" s="52">
        <v>44853</v>
      </c>
    </row>
    <row r="45" spans="1:12" x14ac:dyDescent="0.2">
      <c r="A45" s="1" t="s">
        <v>177</v>
      </c>
      <c r="B45" s="52"/>
      <c r="C45" s="52"/>
      <c r="D45" s="52"/>
      <c r="E45" s="52">
        <v>99</v>
      </c>
      <c r="F45" s="52">
        <v>1829</v>
      </c>
      <c r="G45" s="52">
        <v>3300</v>
      </c>
      <c r="H45" s="52">
        <v>6221</v>
      </c>
      <c r="I45" s="52">
        <v>4615</v>
      </c>
      <c r="J45" s="52">
        <v>4955</v>
      </c>
      <c r="K45" s="52">
        <v>4867</v>
      </c>
      <c r="L45" s="52">
        <v>6148</v>
      </c>
    </row>
    <row r="46" spans="1:12" x14ac:dyDescent="0.2">
      <c r="A46" s="2" t="s">
        <v>20</v>
      </c>
      <c r="B46" s="53">
        <f>SUM(B40:B44)</f>
        <v>0</v>
      </c>
      <c r="C46" s="53">
        <f t="shared" ref="C46:L46" si="7">SUM(C40:C45)</f>
        <v>28208</v>
      </c>
      <c r="D46" s="53">
        <f t="shared" si="7"/>
        <v>43198</v>
      </c>
      <c r="E46" s="53">
        <f t="shared" si="7"/>
        <v>60179</v>
      </c>
      <c r="F46" s="53">
        <f t="shared" si="7"/>
        <v>72660</v>
      </c>
      <c r="G46" s="53">
        <f t="shared" si="7"/>
        <v>78946</v>
      </c>
      <c r="H46" s="53">
        <f t="shared" si="7"/>
        <v>98543</v>
      </c>
      <c r="I46" s="53">
        <f t="shared" si="7"/>
        <v>117723</v>
      </c>
      <c r="J46" s="53">
        <f t="shared" si="7"/>
        <v>145853</v>
      </c>
      <c r="K46" s="53">
        <f t="shared" si="7"/>
        <v>171254</v>
      </c>
      <c r="L46" s="53">
        <f t="shared" si="7"/>
        <v>168533</v>
      </c>
    </row>
    <row r="47" spans="1:12" x14ac:dyDescent="0.2">
      <c r="B47" s="52"/>
      <c r="C47" s="52"/>
      <c r="D47" s="52"/>
      <c r="E47" s="52"/>
      <c r="F47" s="52"/>
      <c r="G47" s="52"/>
      <c r="H47" s="52"/>
      <c r="I47" s="52"/>
      <c r="J47" s="52"/>
      <c r="K47" s="52"/>
      <c r="L47" s="52"/>
    </row>
    <row r="48" spans="1:12" x14ac:dyDescent="0.2">
      <c r="A48" s="2" t="s">
        <v>21</v>
      </c>
      <c r="B48" s="52"/>
      <c r="C48" s="52"/>
      <c r="D48" s="52"/>
      <c r="E48" s="52"/>
      <c r="F48" s="52"/>
      <c r="G48" s="52"/>
      <c r="H48" s="52"/>
      <c r="I48" s="52"/>
      <c r="J48" s="52"/>
      <c r="K48" s="52"/>
      <c r="L48" s="52"/>
    </row>
    <row r="49" spans="1:12" x14ac:dyDescent="0.2">
      <c r="A49" s="1" t="s">
        <v>159</v>
      </c>
      <c r="B49" s="52"/>
      <c r="C49" s="52">
        <v>6988</v>
      </c>
      <c r="D49" s="52">
        <v>6491</v>
      </c>
      <c r="E49" s="52">
        <v>9533</v>
      </c>
      <c r="F49" s="52">
        <v>9733</v>
      </c>
      <c r="G49" s="52">
        <v>11151</v>
      </c>
      <c r="H49" s="52">
        <v>11884</v>
      </c>
      <c r="I49" s="52">
        <v>14357</v>
      </c>
      <c r="J49" s="52">
        <v>18808</v>
      </c>
      <c r="K49" s="52">
        <v>20220</v>
      </c>
      <c r="L49" s="52">
        <v>21673</v>
      </c>
    </row>
    <row r="50" spans="1:12" x14ac:dyDescent="0.2">
      <c r="A50" s="1" t="s">
        <v>160</v>
      </c>
      <c r="B50" s="52"/>
      <c r="C50" s="52">
        <v>8382</v>
      </c>
      <c r="D50" s="52">
        <v>7255</v>
      </c>
      <c r="E50" s="52">
        <v>4698</v>
      </c>
      <c r="F50" s="52">
        <v>9578</v>
      </c>
      <c r="G50" s="52">
        <v>5566</v>
      </c>
      <c r="H50" s="52">
        <v>6318</v>
      </c>
      <c r="I50" s="52">
        <v>7449</v>
      </c>
      <c r="J50" s="52">
        <v>17299</v>
      </c>
      <c r="K50" s="52">
        <v>17049</v>
      </c>
      <c r="L50" s="52">
        <v>13754</v>
      </c>
    </row>
    <row r="51" spans="1:12" x14ac:dyDescent="0.2">
      <c r="A51" s="1" t="s">
        <v>161</v>
      </c>
      <c r="B51" s="52"/>
      <c r="C51" s="52">
        <v>803</v>
      </c>
      <c r="D51" s="52">
        <v>854</v>
      </c>
      <c r="E51" s="52">
        <v>171</v>
      </c>
      <c r="F51" s="52"/>
      <c r="G51" s="52"/>
      <c r="H51" s="52">
        <v>56</v>
      </c>
      <c r="I51" s="52">
        <v>17</v>
      </c>
      <c r="J51" s="52">
        <v>38</v>
      </c>
      <c r="K51" s="52">
        <v>13</v>
      </c>
      <c r="L51" s="52">
        <v>14</v>
      </c>
    </row>
    <row r="52" spans="1:12" x14ac:dyDescent="0.2">
      <c r="A52" s="1" t="s">
        <v>156</v>
      </c>
      <c r="B52" s="52"/>
      <c r="C52" s="52">
        <v>113</v>
      </c>
      <c r="D52" s="52">
        <v>109</v>
      </c>
      <c r="E52" s="52">
        <v>183</v>
      </c>
      <c r="F52" s="52">
        <v>92</v>
      </c>
      <c r="G52" s="52">
        <v>62</v>
      </c>
      <c r="H52" s="52">
        <v>23</v>
      </c>
      <c r="I52" s="52">
        <v>37</v>
      </c>
      <c r="J52" s="52">
        <v>45</v>
      </c>
      <c r="K52" s="52">
        <v>247</v>
      </c>
      <c r="L52" s="52">
        <v>46</v>
      </c>
    </row>
    <row r="53" spans="1:12" x14ac:dyDescent="0.2">
      <c r="A53" s="1" t="s">
        <v>162</v>
      </c>
      <c r="B53" s="52"/>
      <c r="C53" s="52">
        <v>2533</v>
      </c>
      <c r="D53" s="52">
        <v>2279</v>
      </c>
      <c r="E53" s="52">
        <v>694</v>
      </c>
      <c r="F53" s="52">
        <v>672</v>
      </c>
      <c r="G53" s="52">
        <v>934</v>
      </c>
      <c r="H53" s="52">
        <v>991</v>
      </c>
      <c r="I53" s="52">
        <v>816</v>
      </c>
      <c r="J53" s="52">
        <v>848</v>
      </c>
      <c r="K53" s="52">
        <v>932</v>
      </c>
      <c r="L53" s="52">
        <v>914</v>
      </c>
    </row>
    <row r="54" spans="1:12" x14ac:dyDescent="0.2">
      <c r="A54" s="1" t="s">
        <v>132</v>
      </c>
      <c r="B54" s="52"/>
      <c r="C54" s="52">
        <v>22</v>
      </c>
      <c r="D54" s="52"/>
      <c r="E54" s="52">
        <v>65</v>
      </c>
      <c r="F54" s="52">
        <v>660</v>
      </c>
      <c r="G54" s="52">
        <v>1925</v>
      </c>
      <c r="H54" s="52">
        <v>1127</v>
      </c>
      <c r="I54" s="52">
        <v>2561</v>
      </c>
      <c r="J54" s="52">
        <v>3220</v>
      </c>
      <c r="K54" s="52">
        <v>3388</v>
      </c>
      <c r="L54" s="52">
        <v>3138</v>
      </c>
    </row>
    <row r="55" spans="1:12" x14ac:dyDescent="0.2">
      <c r="A55" s="1" t="s">
        <v>163</v>
      </c>
      <c r="B55" s="52"/>
      <c r="C55" s="52">
        <v>676</v>
      </c>
      <c r="D55" s="52">
        <v>14</v>
      </c>
      <c r="E55" s="52">
        <v>15</v>
      </c>
      <c r="F55" s="52">
        <v>9</v>
      </c>
      <c r="G55" s="52"/>
      <c r="H55" s="52"/>
      <c r="I55" s="52"/>
      <c r="J55" s="52"/>
      <c r="K55" s="52"/>
      <c r="L55" s="52"/>
    </row>
    <row r="56" spans="1:12" x14ac:dyDescent="0.2">
      <c r="A56" s="2" t="s">
        <v>22</v>
      </c>
      <c r="B56" s="53">
        <f t="shared" ref="B56:L56" si="8">SUM(B49:B55)</f>
        <v>0</v>
      </c>
      <c r="C56" s="53">
        <f t="shared" si="8"/>
        <v>19517</v>
      </c>
      <c r="D56" s="53">
        <f t="shared" si="8"/>
        <v>17002</v>
      </c>
      <c r="E56" s="53">
        <f t="shared" si="8"/>
        <v>15359</v>
      </c>
      <c r="F56" s="53">
        <f t="shared" si="8"/>
        <v>20744</v>
      </c>
      <c r="G56" s="53">
        <f t="shared" si="8"/>
        <v>19638</v>
      </c>
      <c r="H56" s="53">
        <f t="shared" si="8"/>
        <v>20399</v>
      </c>
      <c r="I56" s="53">
        <f t="shared" si="8"/>
        <v>25237</v>
      </c>
      <c r="J56" s="53">
        <f t="shared" si="8"/>
        <v>40258</v>
      </c>
      <c r="K56" s="53">
        <f t="shared" si="8"/>
        <v>41849</v>
      </c>
      <c r="L56" s="53">
        <f t="shared" si="8"/>
        <v>39539</v>
      </c>
    </row>
    <row r="57" spans="1:12" x14ac:dyDescent="0.2">
      <c r="B57" s="52"/>
      <c r="C57" s="52"/>
      <c r="D57" s="52"/>
      <c r="E57" s="52"/>
      <c r="F57" s="52"/>
      <c r="G57" s="52"/>
      <c r="H57" s="52"/>
      <c r="I57" s="52"/>
      <c r="J57" s="52"/>
      <c r="K57" s="52"/>
      <c r="L57" s="52"/>
    </row>
    <row r="58" spans="1:12" x14ac:dyDescent="0.2">
      <c r="A58" s="2" t="s">
        <v>23</v>
      </c>
      <c r="B58" s="53">
        <f t="shared" ref="B58:L58" si="9">B46+B56</f>
        <v>0</v>
      </c>
      <c r="C58" s="53">
        <f t="shared" si="9"/>
        <v>47725</v>
      </c>
      <c r="D58" s="53">
        <f t="shared" si="9"/>
        <v>60200</v>
      </c>
      <c r="E58" s="53">
        <f t="shared" si="9"/>
        <v>75538</v>
      </c>
      <c r="F58" s="53">
        <f t="shared" si="9"/>
        <v>93404</v>
      </c>
      <c r="G58" s="53">
        <f t="shared" si="9"/>
        <v>98584</v>
      </c>
      <c r="H58" s="53">
        <f t="shared" si="9"/>
        <v>118942</v>
      </c>
      <c r="I58" s="53">
        <f t="shared" si="9"/>
        <v>142960</v>
      </c>
      <c r="J58" s="53">
        <f t="shared" si="9"/>
        <v>186111</v>
      </c>
      <c r="K58" s="53">
        <f t="shared" si="9"/>
        <v>213103</v>
      </c>
      <c r="L58" s="53">
        <f t="shared" si="9"/>
        <v>208072</v>
      </c>
    </row>
    <row r="59" spans="1:12" x14ac:dyDescent="0.2">
      <c r="B59" s="52"/>
      <c r="C59" s="52"/>
      <c r="D59" s="52"/>
      <c r="E59" s="52"/>
      <c r="F59" s="52"/>
      <c r="G59" s="52"/>
      <c r="H59" s="52"/>
      <c r="I59" s="52"/>
      <c r="J59" s="52"/>
      <c r="K59" s="52"/>
      <c r="L59" s="52"/>
    </row>
    <row r="60" spans="1:12" x14ac:dyDescent="0.2">
      <c r="A60" s="2" t="s">
        <v>24</v>
      </c>
      <c r="B60" s="53">
        <f t="shared" ref="B60:L60" si="10">B37+B58</f>
        <v>0</v>
      </c>
      <c r="C60" s="53">
        <f t="shared" si="10"/>
        <v>98686</v>
      </c>
      <c r="D60" s="53">
        <f t="shared" si="10"/>
        <v>118534</v>
      </c>
      <c r="E60" s="53">
        <f t="shared" si="10"/>
        <v>138885</v>
      </c>
      <c r="F60" s="53">
        <f t="shared" si="10"/>
        <v>167070</v>
      </c>
      <c r="G60" s="53">
        <f t="shared" si="10"/>
        <v>178005</v>
      </c>
      <c r="H60" s="53">
        <f t="shared" si="10"/>
        <v>203896</v>
      </c>
      <c r="I60" s="53">
        <f t="shared" si="10"/>
        <v>240073</v>
      </c>
      <c r="J60" s="53">
        <f t="shared" si="10"/>
        <v>328439</v>
      </c>
      <c r="K60" s="53">
        <f t="shared" si="10"/>
        <v>356393</v>
      </c>
      <c r="L60" s="53">
        <f t="shared" si="10"/>
        <v>351635</v>
      </c>
    </row>
  </sheetData>
  <mergeCells count="1">
    <mergeCell ref="A1:L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00"/>
  </sheetPr>
  <dimension ref="A1:L39"/>
  <sheetViews>
    <sheetView showGridLines="0" workbookViewId="0">
      <pane xSplit="2" ySplit="3" topLeftCell="C4" activePane="bottomRight" state="frozen"/>
      <selection pane="topRight" activeCell="C1" sqref="C1"/>
      <selection pane="bottomLeft" activeCell="A4" sqref="A4"/>
      <selection pane="bottomRight" sqref="A1:L1"/>
    </sheetView>
  </sheetViews>
  <sheetFormatPr defaultRowHeight="12.75" x14ac:dyDescent="0.2"/>
  <cols>
    <col min="1" max="1" width="43.28515625" style="1" bestFit="1" customWidth="1"/>
    <col min="2" max="2" width="9.28515625" style="1" hidden="1" customWidth="1"/>
    <col min="3" max="3" width="9.28515625" style="1" bestFit="1" customWidth="1"/>
    <col min="4" max="10" width="9.140625" style="1" customWidth="1"/>
    <col min="11" max="12" width="11.28515625" style="1" bestFit="1" customWidth="1"/>
    <col min="13" max="16384" width="9.140625" style="1"/>
  </cols>
  <sheetData>
    <row r="1" spans="1:12" ht="15" x14ac:dyDescent="0.2">
      <c r="A1" s="136" t="s">
        <v>0</v>
      </c>
      <c r="B1" s="136"/>
      <c r="C1" s="136"/>
      <c r="D1" s="136"/>
      <c r="E1" s="136"/>
      <c r="F1" s="136"/>
      <c r="G1" s="136"/>
      <c r="H1" s="136"/>
      <c r="I1" s="136"/>
      <c r="J1" s="136"/>
      <c r="K1" s="136"/>
      <c r="L1" s="136"/>
    </row>
    <row r="3" spans="1:12" x14ac:dyDescent="0.2">
      <c r="A3" s="2" t="s">
        <v>128</v>
      </c>
      <c r="B3" s="2">
        <f>'Income Statement'!B3</f>
        <v>2007</v>
      </c>
      <c r="C3" s="2">
        <f>'Income Statement'!C3</f>
        <v>2008</v>
      </c>
      <c r="D3" s="2">
        <f>'Income Statement'!D3</f>
        <v>2009</v>
      </c>
      <c r="E3" s="2">
        <f>'Income Statement'!E3</f>
        <v>2010</v>
      </c>
      <c r="F3" s="2">
        <f>'Income Statement'!F3</f>
        <v>2011</v>
      </c>
      <c r="G3" s="2">
        <f>'Income Statement'!G3</f>
        <v>2012</v>
      </c>
      <c r="H3" s="2">
        <f>'Income Statement'!H3</f>
        <v>2013</v>
      </c>
      <c r="I3" s="2">
        <f>'Income Statement'!I3</f>
        <v>2014</v>
      </c>
      <c r="J3" s="2">
        <f>'Income Statement'!J3</f>
        <v>2015</v>
      </c>
      <c r="K3" s="2">
        <f>'Income Statement'!K3</f>
        <v>2016</v>
      </c>
      <c r="L3" s="2">
        <f>'Income Statement'!L3</f>
        <v>2017</v>
      </c>
    </row>
    <row r="4" spans="1:12" x14ac:dyDescent="0.2">
      <c r="A4" s="2" t="s">
        <v>25</v>
      </c>
    </row>
    <row r="5" spans="1:12" x14ac:dyDescent="0.2">
      <c r="A5" s="1" t="s">
        <v>133</v>
      </c>
      <c r="B5" s="52"/>
      <c r="C5" s="52">
        <v>13159</v>
      </c>
      <c r="D5" s="52">
        <v>13498</v>
      </c>
      <c r="E5" s="52">
        <v>16426</v>
      </c>
      <c r="F5" s="52">
        <v>16159</v>
      </c>
      <c r="G5" s="52">
        <v>20616</v>
      </c>
      <c r="H5" s="52">
        <v>22599</v>
      </c>
      <c r="I5" s="52">
        <v>24043</v>
      </c>
      <c r="J5" s="52">
        <v>27280</v>
      </c>
      <c r="K5" s="52">
        <v>27747</v>
      </c>
      <c r="L5" s="52">
        <v>31018</v>
      </c>
    </row>
    <row r="6" spans="1:12" x14ac:dyDescent="0.2">
      <c r="A6" s="1" t="s">
        <v>179</v>
      </c>
      <c r="B6" s="52"/>
      <c r="C6" s="52"/>
      <c r="D6" s="52"/>
      <c r="E6" s="52"/>
      <c r="F6" s="52">
        <v>1315</v>
      </c>
      <c r="G6" s="52">
        <v>1315</v>
      </c>
      <c r="H6" s="52">
        <v>1315</v>
      </c>
      <c r="I6" s="52"/>
      <c r="J6" s="52"/>
      <c r="K6" s="52"/>
      <c r="L6" s="52"/>
    </row>
    <row r="7" spans="1:12" x14ac:dyDescent="0.2">
      <c r="A7" s="1" t="s">
        <v>164</v>
      </c>
      <c r="B7" s="52"/>
      <c r="C7" s="52">
        <v>273</v>
      </c>
      <c r="D7" s="52">
        <v>-2647</v>
      </c>
      <c r="E7" s="52">
        <v>1145</v>
      </c>
      <c r="F7" s="52">
        <v>792</v>
      </c>
      <c r="G7" s="52">
        <v>781</v>
      </c>
      <c r="H7" s="52">
        <v>-1273</v>
      </c>
      <c r="I7" s="52">
        <v>1228</v>
      </c>
      <c r="J7" s="52">
        <v>3327</v>
      </c>
      <c r="K7" s="52">
        <v>408</v>
      </c>
      <c r="L7" s="52">
        <v>1747</v>
      </c>
    </row>
    <row r="8" spans="1:12" x14ac:dyDescent="0.2">
      <c r="A8" s="1" t="s">
        <v>165</v>
      </c>
      <c r="B8" s="52"/>
      <c r="C8" s="52">
        <v>-2782</v>
      </c>
      <c r="D8" s="52">
        <v>-2996</v>
      </c>
      <c r="E8" s="52">
        <v>-4524</v>
      </c>
      <c r="F8" s="52">
        <v>-3428</v>
      </c>
      <c r="G8" s="52">
        <v>-4233</v>
      </c>
      <c r="H8" s="52">
        <v>-5328</v>
      </c>
      <c r="I8" s="52">
        <v>-5870</v>
      </c>
      <c r="J8" s="52">
        <v>-6128</v>
      </c>
      <c r="K8" s="52">
        <v>-6002</v>
      </c>
      <c r="L8" s="52">
        <v>-7622</v>
      </c>
    </row>
    <row r="9" spans="1:12" x14ac:dyDescent="0.2">
      <c r="A9" s="1" t="s">
        <v>166</v>
      </c>
      <c r="B9" s="52"/>
      <c r="C9" s="52">
        <v>768</v>
      </c>
      <c r="D9" s="52">
        <v>269</v>
      </c>
      <c r="E9" s="52">
        <v>580</v>
      </c>
      <c r="F9" s="52">
        <v>466</v>
      </c>
      <c r="G9" s="52">
        <v>407</v>
      </c>
      <c r="H9" s="52">
        <v>322</v>
      </c>
      <c r="I9" s="52">
        <v>321</v>
      </c>
      <c r="J9" s="52">
        <v>205</v>
      </c>
      <c r="K9" s="52">
        <v>361</v>
      </c>
      <c r="L9" s="52">
        <v>357</v>
      </c>
    </row>
    <row r="10" spans="1:12" x14ac:dyDescent="0.2">
      <c r="A10" s="1" t="s">
        <v>167</v>
      </c>
      <c r="B10" s="52"/>
      <c r="C10" s="52">
        <v>-928</v>
      </c>
      <c r="D10" s="52">
        <v>-703</v>
      </c>
      <c r="E10" s="52">
        <v>-725</v>
      </c>
      <c r="F10" s="52">
        <v>-1379</v>
      </c>
      <c r="G10" s="52">
        <v>-95</v>
      </c>
      <c r="H10" s="52">
        <v>222</v>
      </c>
      <c r="I10" s="52">
        <v>16</v>
      </c>
      <c r="J10" s="52">
        <v>91</v>
      </c>
      <c r="K10" s="52">
        <v>-23</v>
      </c>
      <c r="L10" s="52">
        <v>-3</v>
      </c>
    </row>
    <row r="11" spans="1:12" x14ac:dyDescent="0.2">
      <c r="A11" s="1" t="s">
        <v>168</v>
      </c>
      <c r="B11" s="52"/>
      <c r="C11" s="52">
        <v>-227</v>
      </c>
      <c r="D11" s="52">
        <v>-317</v>
      </c>
      <c r="E11" s="52">
        <v>-307</v>
      </c>
      <c r="F11" s="52">
        <v>-268</v>
      </c>
      <c r="G11" s="52">
        <v>-270</v>
      </c>
      <c r="H11" s="52">
        <v>-253</v>
      </c>
      <c r="I11" s="52">
        <v>-238</v>
      </c>
      <c r="J11" s="52">
        <v>-220</v>
      </c>
      <c r="K11" s="52">
        <v>-208</v>
      </c>
      <c r="L11" s="52">
        <v>-192</v>
      </c>
    </row>
    <row r="12" spans="1:12" x14ac:dyDescent="0.2">
      <c r="A12" s="1" t="s">
        <v>169</v>
      </c>
      <c r="B12" s="52"/>
      <c r="C12" s="52">
        <v>24</v>
      </c>
      <c r="D12" s="52">
        <v>296</v>
      </c>
      <c r="E12" s="52">
        <v>-503</v>
      </c>
      <c r="F12" s="52">
        <v>-498</v>
      </c>
      <c r="G12" s="52">
        <v>-611</v>
      </c>
      <c r="H12" s="52">
        <v>-828</v>
      </c>
      <c r="I12" s="52">
        <v>-791</v>
      </c>
      <c r="J12" s="52">
        <v>-889</v>
      </c>
      <c r="K12" s="52">
        <v>6289</v>
      </c>
      <c r="L12" s="52">
        <v>-201</v>
      </c>
    </row>
    <row r="13" spans="1:12" x14ac:dyDescent="0.2">
      <c r="A13" s="2" t="s">
        <v>26</v>
      </c>
      <c r="B13" s="53">
        <f t="shared" ref="B13:L13" si="0">SUM(B5:B12)</f>
        <v>0</v>
      </c>
      <c r="C13" s="53">
        <f t="shared" si="0"/>
        <v>10287</v>
      </c>
      <c r="D13" s="53">
        <f t="shared" si="0"/>
        <v>7400</v>
      </c>
      <c r="E13" s="53">
        <f t="shared" si="0"/>
        <v>12092</v>
      </c>
      <c r="F13" s="53">
        <f t="shared" si="0"/>
        <v>13159</v>
      </c>
      <c r="G13" s="53">
        <f t="shared" si="0"/>
        <v>17910</v>
      </c>
      <c r="H13" s="53">
        <f t="shared" si="0"/>
        <v>16776</v>
      </c>
      <c r="I13" s="53">
        <f t="shared" si="0"/>
        <v>18709</v>
      </c>
      <c r="J13" s="53">
        <f t="shared" si="0"/>
        <v>23666</v>
      </c>
      <c r="K13" s="53">
        <f t="shared" si="0"/>
        <v>28572</v>
      </c>
      <c r="L13" s="53">
        <f t="shared" si="0"/>
        <v>25104</v>
      </c>
    </row>
    <row r="14" spans="1:12" x14ac:dyDescent="0.2">
      <c r="B14" s="52"/>
      <c r="C14" s="52"/>
      <c r="D14" s="52"/>
      <c r="E14" s="52"/>
      <c r="F14" s="52"/>
      <c r="G14" s="52"/>
      <c r="H14" s="52"/>
      <c r="I14" s="52"/>
      <c r="J14" s="52"/>
      <c r="K14" s="52"/>
      <c r="L14" s="52"/>
    </row>
    <row r="15" spans="1:12" x14ac:dyDescent="0.2">
      <c r="A15" s="2" t="s">
        <v>27</v>
      </c>
      <c r="B15" s="52"/>
      <c r="C15" s="52"/>
      <c r="D15" s="52"/>
      <c r="E15" s="52"/>
      <c r="F15" s="52"/>
      <c r="G15" s="52"/>
      <c r="H15" s="52"/>
      <c r="I15" s="52"/>
      <c r="J15" s="52"/>
      <c r="K15" s="52"/>
      <c r="L15" s="52"/>
    </row>
    <row r="16" spans="1:12" x14ac:dyDescent="0.2">
      <c r="A16" s="54" t="s">
        <v>170</v>
      </c>
      <c r="B16" s="52"/>
      <c r="C16" s="52">
        <v>-1199</v>
      </c>
      <c r="D16" s="52">
        <v>-8200</v>
      </c>
      <c r="E16" s="52">
        <v>-10767</v>
      </c>
      <c r="F16" s="52">
        <v>-10288</v>
      </c>
      <c r="G16" s="52">
        <v>-11467</v>
      </c>
      <c r="H16" s="52">
        <v>-16247</v>
      </c>
      <c r="I16" s="52">
        <v>-17593</v>
      </c>
      <c r="J16" s="52">
        <v>-19868</v>
      </c>
      <c r="K16" s="52">
        <v>-19975</v>
      </c>
      <c r="L16" s="52">
        <v>-15822</v>
      </c>
    </row>
    <row r="17" spans="1:12" x14ac:dyDescent="0.2">
      <c r="A17" s="54" t="s">
        <v>171</v>
      </c>
      <c r="B17" s="52"/>
      <c r="C17" s="52">
        <v>-7051</v>
      </c>
      <c r="D17" s="52">
        <v>-10884</v>
      </c>
      <c r="E17" s="52">
        <v>-9641</v>
      </c>
      <c r="F17" s="52">
        <v>-12730</v>
      </c>
      <c r="G17" s="52">
        <v>-13194</v>
      </c>
      <c r="H17" s="52">
        <v>-10994</v>
      </c>
      <c r="I17" s="52">
        <v>-14474</v>
      </c>
      <c r="J17" s="52">
        <v>-16847</v>
      </c>
      <c r="K17" s="52">
        <v>-14353</v>
      </c>
      <c r="L17" s="52">
        <v>-8867</v>
      </c>
    </row>
    <row r="18" spans="1:12" x14ac:dyDescent="0.2">
      <c r="A18" s="54"/>
      <c r="B18" s="52"/>
      <c r="C18" s="52"/>
      <c r="D18" s="52"/>
      <c r="E18" s="52"/>
      <c r="F18" s="52"/>
      <c r="G18" s="52"/>
      <c r="H18" s="52"/>
      <c r="I18" s="52"/>
      <c r="J18" s="52"/>
      <c r="K18" s="52"/>
      <c r="L18" s="52"/>
    </row>
    <row r="19" spans="1:12" x14ac:dyDescent="0.2">
      <c r="A19" s="54"/>
      <c r="B19" s="52"/>
      <c r="C19" s="52"/>
      <c r="D19" s="52"/>
      <c r="E19" s="52"/>
      <c r="F19" s="52"/>
      <c r="G19" s="52"/>
      <c r="H19" s="52"/>
      <c r="I19" s="52"/>
      <c r="J19" s="52"/>
      <c r="K19" s="52"/>
      <c r="L19" s="52"/>
    </row>
    <row r="20" spans="1:12" x14ac:dyDescent="0.2">
      <c r="A20" s="54"/>
      <c r="B20" s="52"/>
      <c r="C20" s="52"/>
      <c r="D20" s="52"/>
      <c r="E20" s="52"/>
      <c r="F20" s="52"/>
      <c r="G20" s="52"/>
      <c r="H20" s="52"/>
      <c r="I20" s="52"/>
      <c r="J20" s="52"/>
      <c r="K20" s="52"/>
      <c r="L20" s="52"/>
    </row>
    <row r="21" spans="1:12" x14ac:dyDescent="0.2">
      <c r="A21" s="54"/>
      <c r="B21" s="52"/>
      <c r="C21" s="52"/>
      <c r="D21" s="52"/>
      <c r="E21" s="52"/>
      <c r="F21" s="52"/>
      <c r="G21" s="52"/>
      <c r="H21" s="52"/>
      <c r="I21" s="52"/>
      <c r="J21" s="52"/>
      <c r="K21" s="52"/>
      <c r="L21" s="52"/>
    </row>
    <row r="22" spans="1:12" x14ac:dyDescent="0.2">
      <c r="A22" s="2" t="s">
        <v>28</v>
      </c>
      <c r="B22" s="53">
        <f t="shared" ref="B22:L22" si="1">SUM(B16:B21)</f>
        <v>0</v>
      </c>
      <c r="C22" s="53">
        <f t="shared" si="1"/>
        <v>-8250</v>
      </c>
      <c r="D22" s="53">
        <f t="shared" si="1"/>
        <v>-19084</v>
      </c>
      <c r="E22" s="53">
        <f t="shared" si="1"/>
        <v>-20408</v>
      </c>
      <c r="F22" s="53">
        <f t="shared" si="1"/>
        <v>-23018</v>
      </c>
      <c r="G22" s="53">
        <f t="shared" si="1"/>
        <v>-24661</v>
      </c>
      <c r="H22" s="53">
        <f t="shared" si="1"/>
        <v>-27241</v>
      </c>
      <c r="I22" s="53">
        <f t="shared" si="1"/>
        <v>-32067</v>
      </c>
      <c r="J22" s="53">
        <f t="shared" si="1"/>
        <v>-36715</v>
      </c>
      <c r="K22" s="53">
        <f t="shared" si="1"/>
        <v>-34328</v>
      </c>
      <c r="L22" s="53">
        <f t="shared" si="1"/>
        <v>-24689</v>
      </c>
    </row>
    <row r="23" spans="1:12" x14ac:dyDescent="0.2">
      <c r="B23" s="52"/>
      <c r="C23" s="52"/>
      <c r="D23" s="52"/>
      <c r="E23" s="52"/>
      <c r="F23" s="52"/>
      <c r="G23" s="52"/>
      <c r="H23" s="52"/>
      <c r="I23" s="52"/>
      <c r="J23" s="52"/>
      <c r="K23" s="52"/>
      <c r="L23" s="52"/>
    </row>
    <row r="24" spans="1:12" x14ac:dyDescent="0.2">
      <c r="A24" s="2" t="s">
        <v>29</v>
      </c>
      <c r="B24" s="52"/>
      <c r="C24" s="52"/>
      <c r="D24" s="52"/>
      <c r="E24" s="52"/>
      <c r="F24" s="52"/>
      <c r="G24" s="52"/>
      <c r="H24" s="52"/>
      <c r="I24" s="52"/>
      <c r="J24" s="52"/>
      <c r="K24" s="52"/>
      <c r="L24" s="52"/>
    </row>
    <row r="25" spans="1:12" x14ac:dyDescent="0.2">
      <c r="A25" s="1" t="s">
        <v>172</v>
      </c>
      <c r="B25" s="52"/>
      <c r="C25" s="52">
        <v>8952</v>
      </c>
      <c r="D25" s="52">
        <v>30479</v>
      </c>
      <c r="E25" s="52">
        <v>19696</v>
      </c>
      <c r="F25" s="52">
        <v>18418</v>
      </c>
      <c r="G25" s="52">
        <v>11110</v>
      </c>
      <c r="H25" s="52">
        <v>19800</v>
      </c>
      <c r="I25" s="52">
        <v>22380</v>
      </c>
      <c r="J25" s="52">
        <v>34113</v>
      </c>
      <c r="K25" s="52">
        <v>40905</v>
      </c>
      <c r="L25" s="52">
        <v>17009</v>
      </c>
    </row>
    <row r="26" spans="1:12" x14ac:dyDescent="0.2">
      <c r="A26" s="1" t="s">
        <v>173</v>
      </c>
      <c r="B26" s="52"/>
      <c r="C26" s="52">
        <v>-8943</v>
      </c>
      <c r="D26" s="52">
        <v>-18892</v>
      </c>
      <c r="E26" s="52">
        <v>-9341</v>
      </c>
      <c r="F26" s="52">
        <v>-5627</v>
      </c>
      <c r="G26" s="52">
        <v>-14046</v>
      </c>
      <c r="H26" s="52">
        <v>-7926</v>
      </c>
      <c r="I26" s="52">
        <v>-7987</v>
      </c>
      <c r="J26" s="52">
        <v>-18433</v>
      </c>
      <c r="K26" s="52">
        <v>-27470</v>
      </c>
      <c r="L26" s="52">
        <v>-24945</v>
      </c>
    </row>
    <row r="27" spans="1:12" x14ac:dyDescent="0.2">
      <c r="B27" s="52"/>
      <c r="C27" s="52"/>
      <c r="D27" s="52"/>
      <c r="E27" s="52"/>
      <c r="F27" s="52"/>
      <c r="G27" s="52"/>
      <c r="H27" s="52"/>
      <c r="I27" s="52"/>
      <c r="J27" s="52"/>
      <c r="K27" s="52"/>
      <c r="L27" s="52"/>
    </row>
    <row r="28" spans="1:12" x14ac:dyDescent="0.2">
      <c r="B28" s="52"/>
      <c r="C28" s="52"/>
      <c r="D28" s="52"/>
      <c r="E28" s="52"/>
      <c r="F28" s="52"/>
      <c r="G28" s="52"/>
      <c r="H28" s="52"/>
      <c r="I28" s="52"/>
      <c r="J28" s="52"/>
      <c r="K28" s="52"/>
      <c r="L28" s="52"/>
    </row>
    <row r="29" spans="1:12" x14ac:dyDescent="0.2">
      <c r="B29" s="52"/>
      <c r="C29" s="52"/>
      <c r="D29" s="52"/>
      <c r="E29" s="52"/>
      <c r="F29" s="52"/>
      <c r="G29" s="52"/>
      <c r="H29" s="52"/>
      <c r="I29" s="52"/>
      <c r="J29" s="52"/>
      <c r="K29" s="52"/>
      <c r="L29" s="52"/>
    </row>
    <row r="30" spans="1:12" x14ac:dyDescent="0.2">
      <c r="B30" s="52"/>
      <c r="C30" s="52"/>
      <c r="D30" s="52"/>
      <c r="E30" s="52"/>
      <c r="F30" s="52"/>
      <c r="G30" s="52"/>
      <c r="H30" s="52"/>
      <c r="I30" s="52"/>
      <c r="J30" s="52"/>
      <c r="K30" s="52"/>
      <c r="L30" s="52"/>
    </row>
    <row r="31" spans="1:12" x14ac:dyDescent="0.2">
      <c r="B31" s="52"/>
      <c r="C31" s="52"/>
      <c r="D31" s="52"/>
      <c r="E31" s="52"/>
      <c r="F31" s="52"/>
      <c r="G31" s="52"/>
      <c r="H31" s="52"/>
      <c r="I31" s="52"/>
      <c r="J31" s="52"/>
      <c r="K31" s="52"/>
      <c r="L31" s="52"/>
    </row>
    <row r="32" spans="1:12" x14ac:dyDescent="0.2">
      <c r="A32" s="2" t="s">
        <v>30</v>
      </c>
      <c r="B32" s="53">
        <f t="shared" ref="B32:F32" si="2">SUM(B25:B31)</f>
        <v>0</v>
      </c>
      <c r="C32" s="53">
        <f t="shared" si="2"/>
        <v>9</v>
      </c>
      <c r="D32" s="53">
        <f t="shared" si="2"/>
        <v>11587</v>
      </c>
      <c r="E32" s="53">
        <f t="shared" si="2"/>
        <v>10355</v>
      </c>
      <c r="F32" s="53">
        <f t="shared" si="2"/>
        <v>12791</v>
      </c>
      <c r="G32" s="53">
        <f t="shared" ref="G32:L32" si="3">SUM(G25:G31)</f>
        <v>-2936</v>
      </c>
      <c r="H32" s="53">
        <f t="shared" si="3"/>
        <v>11874</v>
      </c>
      <c r="I32" s="53">
        <f t="shared" si="3"/>
        <v>14393</v>
      </c>
      <c r="J32" s="53">
        <f t="shared" si="3"/>
        <v>15680</v>
      </c>
      <c r="K32" s="53">
        <f t="shared" si="3"/>
        <v>13435</v>
      </c>
      <c r="L32" s="53">
        <f t="shared" si="3"/>
        <v>-7936</v>
      </c>
    </row>
    <row r="33" spans="1:12" x14ac:dyDescent="0.2">
      <c r="B33" s="52"/>
      <c r="C33" s="52"/>
      <c r="D33" s="52"/>
      <c r="E33" s="52"/>
      <c r="F33" s="52"/>
      <c r="G33" s="52"/>
      <c r="H33" s="52"/>
      <c r="I33" s="52"/>
      <c r="J33" s="52"/>
      <c r="K33" s="52"/>
      <c r="L33" s="52"/>
    </row>
    <row r="34" spans="1:12" ht="25.5" x14ac:dyDescent="0.2">
      <c r="A34" s="55" t="s">
        <v>174</v>
      </c>
      <c r="B34" s="53">
        <f t="shared" ref="B34:L34" si="4">B13+B22+B32</f>
        <v>0</v>
      </c>
      <c r="C34" s="53">
        <f t="shared" si="4"/>
        <v>2046</v>
      </c>
      <c r="D34" s="53">
        <f t="shared" si="4"/>
        <v>-97</v>
      </c>
      <c r="E34" s="53">
        <f t="shared" si="4"/>
        <v>2039</v>
      </c>
      <c r="F34" s="53">
        <f t="shared" si="4"/>
        <v>2932</v>
      </c>
      <c r="G34" s="53">
        <f t="shared" si="4"/>
        <v>-9687</v>
      </c>
      <c r="H34" s="53">
        <f t="shared" si="4"/>
        <v>1409</v>
      </c>
      <c r="I34" s="53">
        <f t="shared" si="4"/>
        <v>1035</v>
      </c>
      <c r="J34" s="53">
        <f t="shared" si="4"/>
        <v>2631</v>
      </c>
      <c r="K34" s="53">
        <f t="shared" si="4"/>
        <v>7679</v>
      </c>
      <c r="L34" s="53">
        <f t="shared" si="4"/>
        <v>-7521</v>
      </c>
    </row>
    <row r="35" spans="1:12" x14ac:dyDescent="0.2">
      <c r="A35" s="54"/>
      <c r="B35" s="52"/>
      <c r="C35" s="52"/>
      <c r="D35" s="52"/>
      <c r="E35" s="52"/>
      <c r="F35" s="52"/>
      <c r="G35" s="52"/>
      <c r="H35" s="52"/>
      <c r="I35" s="52"/>
      <c r="J35" s="52"/>
      <c r="K35" s="52"/>
      <c r="L35" s="52"/>
    </row>
    <row r="36" spans="1:12" x14ac:dyDescent="0.2">
      <c r="A36" s="54"/>
      <c r="B36" s="52"/>
      <c r="C36" s="52"/>
      <c r="D36" s="52"/>
      <c r="E36" s="52"/>
      <c r="F36" s="52"/>
      <c r="G36" s="52"/>
      <c r="H36" s="52"/>
      <c r="I36" s="52"/>
      <c r="J36" s="52"/>
      <c r="K36" s="52"/>
      <c r="L36" s="52"/>
    </row>
    <row r="37" spans="1:12" ht="25.5" x14ac:dyDescent="0.2">
      <c r="A37" s="54" t="s">
        <v>134</v>
      </c>
      <c r="B37" s="52"/>
      <c r="C37" s="52">
        <v>3956</v>
      </c>
      <c r="D37" s="52">
        <v>6002</v>
      </c>
      <c r="E37" s="52">
        <v>5905</v>
      </c>
      <c r="F37" s="52">
        <v>7944</v>
      </c>
      <c r="G37" s="52">
        <v>10876</v>
      </c>
      <c r="H37" s="52">
        <v>1189</v>
      </c>
      <c r="I37" s="52">
        <v>2598</v>
      </c>
      <c r="J37" s="52">
        <v>3633</v>
      </c>
      <c r="K37" s="52">
        <v>6264</v>
      </c>
      <c r="L37" s="52">
        <v>13943</v>
      </c>
    </row>
    <row r="38" spans="1:12" x14ac:dyDescent="0.2">
      <c r="A38" s="54"/>
      <c r="B38" s="52"/>
      <c r="C38" s="52"/>
      <c r="D38" s="52"/>
      <c r="E38" s="52"/>
      <c r="F38" s="52"/>
      <c r="G38" s="52"/>
      <c r="H38" s="52"/>
      <c r="I38" s="52"/>
      <c r="J38" s="52"/>
      <c r="K38" s="52"/>
      <c r="L38" s="52"/>
    </row>
    <row r="39" spans="1:12" ht="25.5" x14ac:dyDescent="0.2">
      <c r="A39" s="55" t="s">
        <v>135</v>
      </c>
      <c r="B39" s="52">
        <f t="shared" ref="B39:J39" si="5">B34+B36+B37</f>
        <v>0</v>
      </c>
      <c r="C39" s="52">
        <f t="shared" si="5"/>
        <v>6002</v>
      </c>
      <c r="D39" s="52">
        <f t="shared" si="5"/>
        <v>5905</v>
      </c>
      <c r="E39" s="52">
        <f t="shared" si="5"/>
        <v>7944</v>
      </c>
      <c r="F39" s="52">
        <f t="shared" si="5"/>
        <v>10876</v>
      </c>
      <c r="G39" s="52">
        <f t="shared" si="5"/>
        <v>1189</v>
      </c>
      <c r="H39" s="52">
        <f t="shared" si="5"/>
        <v>2598</v>
      </c>
      <c r="I39" s="52">
        <f t="shared" si="5"/>
        <v>3633</v>
      </c>
      <c r="J39" s="52">
        <f t="shared" si="5"/>
        <v>6264</v>
      </c>
      <c r="K39" s="52">
        <f>K34+K36+K37</f>
        <v>13943</v>
      </c>
      <c r="L39" s="52">
        <f>L34+L36+L37</f>
        <v>6422</v>
      </c>
    </row>
  </sheetData>
  <mergeCells count="1">
    <mergeCell ref="A1:L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A0FFA0"/>
  </sheetPr>
  <dimension ref="A1:A46"/>
  <sheetViews>
    <sheetView tabSelected="1" workbookViewId="0"/>
  </sheetViews>
  <sheetFormatPr defaultRowHeight="12.75" x14ac:dyDescent="0.2"/>
  <cols>
    <col min="1" max="1" width="121" style="63" customWidth="1"/>
    <col min="2" max="16384" width="9.140625" style="61"/>
  </cols>
  <sheetData>
    <row r="1" spans="1:1" ht="15" x14ac:dyDescent="0.2">
      <c r="A1" s="60" t="s">
        <v>266</v>
      </c>
    </row>
    <row r="4" spans="1:1" x14ac:dyDescent="0.2">
      <c r="A4" s="62" t="s">
        <v>81</v>
      </c>
    </row>
    <row r="5" spans="1:1" ht="178.5" x14ac:dyDescent="0.2">
      <c r="A5" s="63" t="s">
        <v>269</v>
      </c>
    </row>
    <row r="8" spans="1:1" x14ac:dyDescent="0.2">
      <c r="A8" s="62" t="s">
        <v>117</v>
      </c>
    </row>
    <row r="9" spans="1:1" ht="51" x14ac:dyDescent="0.2">
      <c r="A9" s="63" t="s">
        <v>138</v>
      </c>
    </row>
    <row r="11" spans="1:1" x14ac:dyDescent="0.2">
      <c r="A11" s="62" t="s">
        <v>118</v>
      </c>
    </row>
    <row r="12" spans="1:1" ht="25.5" x14ac:dyDescent="0.2">
      <c r="A12" s="63" t="s">
        <v>139</v>
      </c>
    </row>
    <row r="14" spans="1:1" x14ac:dyDescent="0.2">
      <c r="A14" s="62" t="s">
        <v>119</v>
      </c>
    </row>
    <row r="15" spans="1:1" ht="89.25" x14ac:dyDescent="0.2">
      <c r="A15" s="63" t="s">
        <v>140</v>
      </c>
    </row>
    <row r="17" spans="1:1" x14ac:dyDescent="0.2">
      <c r="A17" s="62" t="s">
        <v>268</v>
      </c>
    </row>
    <row r="18" spans="1:1" ht="25.5" x14ac:dyDescent="0.2">
      <c r="A18" s="63" t="s">
        <v>270</v>
      </c>
    </row>
    <row r="21" spans="1:1" x14ac:dyDescent="0.2">
      <c r="A21" s="62" t="s">
        <v>248</v>
      </c>
    </row>
    <row r="22" spans="1:1" ht="63.75" x14ac:dyDescent="0.2">
      <c r="A22" s="63" t="s">
        <v>141</v>
      </c>
    </row>
    <row r="25" spans="1:1" x14ac:dyDescent="0.2">
      <c r="A25" s="62" t="s">
        <v>125</v>
      </c>
    </row>
    <row r="26" spans="1:1" ht="382.5" x14ac:dyDescent="0.2">
      <c r="A26" s="63" t="s">
        <v>267</v>
      </c>
    </row>
    <row r="29" spans="1:1" x14ac:dyDescent="0.2">
      <c r="A29" s="62" t="s">
        <v>251</v>
      </c>
    </row>
    <row r="30" spans="1:1" ht="153" x14ac:dyDescent="0.2">
      <c r="A30" s="63" t="s">
        <v>254</v>
      </c>
    </row>
    <row r="33" spans="1:1" x14ac:dyDescent="0.2">
      <c r="A33" s="62" t="s">
        <v>252</v>
      </c>
    </row>
    <row r="34" spans="1:1" ht="51" x14ac:dyDescent="0.2">
      <c r="A34" s="63" t="s">
        <v>253</v>
      </c>
    </row>
    <row r="37" spans="1:1" x14ac:dyDescent="0.2">
      <c r="A37" s="62" t="s">
        <v>249</v>
      </c>
    </row>
    <row r="38" spans="1:1" x14ac:dyDescent="0.2">
      <c r="A38" s="63" t="s">
        <v>250</v>
      </c>
    </row>
    <row r="41" spans="1:1" x14ac:dyDescent="0.2">
      <c r="A41" s="62" t="s">
        <v>120</v>
      </c>
    </row>
    <row r="42" spans="1:1" ht="76.5" x14ac:dyDescent="0.2">
      <c r="A42" s="63" t="s">
        <v>247</v>
      </c>
    </row>
    <row r="45" spans="1:1" x14ac:dyDescent="0.2">
      <c r="A45" s="86" t="s">
        <v>271</v>
      </c>
    </row>
    <row r="46" spans="1:1" ht="127.5" x14ac:dyDescent="0.2">
      <c r="A46" s="63" t="s">
        <v>255</v>
      </c>
    </row>
  </sheetData>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9632"/>
  </sheetPr>
  <dimension ref="A1:BJ67"/>
  <sheetViews>
    <sheetView topLeftCell="A4" zoomScaleNormal="100" workbookViewId="0">
      <pane xSplit="2" ySplit="2" topLeftCell="H6" activePane="bottomRight" state="frozen"/>
      <selection activeCell="A4" sqref="A4"/>
      <selection pane="topRight" activeCell="C4" sqref="C4"/>
      <selection pane="bottomLeft" activeCell="A6" sqref="A6"/>
      <selection pane="bottomRight" activeCell="A4" sqref="A4"/>
    </sheetView>
  </sheetViews>
  <sheetFormatPr defaultRowHeight="15" x14ac:dyDescent="0.2"/>
  <cols>
    <col min="1" max="1" width="23.7109375" style="20" customWidth="1"/>
    <col min="2" max="2" width="8.7109375" style="20" customWidth="1"/>
    <col min="3" max="7" width="9.140625" style="19" hidden="1" customWidth="1"/>
    <col min="8" max="41" width="30.7109375" style="19" customWidth="1"/>
    <col min="42" max="45" width="37.7109375" style="19" customWidth="1"/>
    <col min="46" max="53" width="38.7109375" style="19" customWidth="1"/>
    <col min="54" max="58" width="0" style="19" hidden="1" customWidth="1"/>
    <col min="59" max="16384" width="9.140625" style="19"/>
  </cols>
  <sheetData>
    <row r="1" spans="1:62" x14ac:dyDescent="0.2">
      <c r="A1" s="20" t="s">
        <v>114</v>
      </c>
    </row>
    <row r="2" spans="1:62" x14ac:dyDescent="0.2">
      <c r="A2" s="28"/>
      <c r="B2" s="67"/>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6"/>
    </row>
    <row r="3" spans="1:62" x14ac:dyDescent="0.2">
      <c r="A3" s="30" t="s">
        <v>113</v>
      </c>
      <c r="B3" s="66"/>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3"/>
    </row>
    <row r="4" spans="1:62" x14ac:dyDescent="0.2">
      <c r="A4" s="30"/>
      <c r="B4" s="66"/>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3"/>
    </row>
    <row r="5" spans="1:62" s="20" customFormat="1" x14ac:dyDescent="0.2">
      <c r="A5" s="28" t="s">
        <v>124</v>
      </c>
      <c r="B5" s="29"/>
      <c r="C5" s="104">
        <v>2008</v>
      </c>
      <c r="D5" s="96"/>
      <c r="E5" s="96"/>
      <c r="F5" s="96"/>
      <c r="G5" s="97"/>
      <c r="H5" s="104">
        <v>2009</v>
      </c>
      <c r="I5" s="96"/>
      <c r="J5" s="96"/>
      <c r="K5" s="96"/>
      <c r="L5" s="97"/>
      <c r="M5" s="104">
        <v>2010</v>
      </c>
      <c r="N5" s="96"/>
      <c r="O5" s="96"/>
      <c r="P5" s="96"/>
      <c r="Q5" s="97"/>
      <c r="R5" s="104">
        <v>2011</v>
      </c>
      <c r="S5" s="96"/>
      <c r="T5" s="96"/>
      <c r="U5" s="96"/>
      <c r="V5" s="97"/>
      <c r="W5" s="104">
        <v>2012</v>
      </c>
      <c r="X5" s="96"/>
      <c r="Y5" s="96"/>
      <c r="Z5" s="96"/>
      <c r="AA5" s="97"/>
      <c r="AB5" s="104">
        <v>2013</v>
      </c>
      <c r="AC5" s="96"/>
      <c r="AD5" s="96"/>
      <c r="AE5" s="96"/>
      <c r="AF5" s="97"/>
      <c r="AG5" s="104">
        <v>2014</v>
      </c>
      <c r="AH5" s="96"/>
      <c r="AI5" s="96"/>
      <c r="AJ5" s="96"/>
      <c r="AK5" s="96"/>
      <c r="AL5" s="96"/>
      <c r="AM5" s="96"/>
      <c r="AN5" s="96"/>
      <c r="AO5" s="97"/>
      <c r="AP5" s="104">
        <v>2015</v>
      </c>
      <c r="AQ5" s="96"/>
      <c r="AR5" s="96"/>
      <c r="AS5" s="97"/>
      <c r="AT5" s="104">
        <v>2016</v>
      </c>
      <c r="AU5" s="96"/>
      <c r="AV5" s="96"/>
      <c r="AW5" s="97"/>
      <c r="AX5" s="104">
        <v>2017</v>
      </c>
      <c r="AY5" s="96"/>
      <c r="AZ5" s="96"/>
      <c r="BA5" s="97"/>
      <c r="BB5" s="96">
        <v>2018</v>
      </c>
      <c r="BC5" s="96"/>
      <c r="BD5" s="96"/>
      <c r="BE5" s="96"/>
      <c r="BF5" s="97"/>
    </row>
    <row r="6" spans="1:62" x14ac:dyDescent="0.2">
      <c r="A6" s="28" t="s">
        <v>123</v>
      </c>
      <c r="B6" s="29"/>
      <c r="C6" s="119"/>
      <c r="D6" s="120"/>
      <c r="E6" s="120"/>
      <c r="F6" s="120"/>
      <c r="G6" s="121"/>
      <c r="H6" s="98" t="s">
        <v>191</v>
      </c>
      <c r="I6" s="98"/>
      <c r="J6" s="98"/>
      <c r="K6" s="98"/>
      <c r="L6" s="98"/>
      <c r="M6" s="103" t="s">
        <v>192</v>
      </c>
      <c r="N6" s="98"/>
      <c r="O6" s="98"/>
      <c r="P6" s="98"/>
      <c r="Q6" s="99"/>
      <c r="R6" s="98" t="s">
        <v>199</v>
      </c>
      <c r="S6" s="98"/>
      <c r="T6" s="98"/>
      <c r="U6" s="98"/>
      <c r="V6" s="98"/>
      <c r="W6" s="98" t="s">
        <v>199</v>
      </c>
      <c r="X6" s="98"/>
      <c r="Y6" s="98"/>
      <c r="Z6" s="98"/>
      <c r="AA6" s="98"/>
      <c r="AB6" s="98" t="s">
        <v>199</v>
      </c>
      <c r="AC6" s="98"/>
      <c r="AD6" s="98"/>
      <c r="AE6" s="98"/>
      <c r="AF6" s="98"/>
      <c r="AG6" s="103" t="s">
        <v>199</v>
      </c>
      <c r="AH6" s="98"/>
      <c r="AI6" s="98"/>
      <c r="AJ6" s="98"/>
      <c r="AK6" s="98"/>
      <c r="AL6" s="98"/>
      <c r="AM6" s="98"/>
      <c r="AN6" s="98"/>
      <c r="AO6" s="99"/>
      <c r="AP6" s="98" t="s">
        <v>226</v>
      </c>
      <c r="AQ6" s="98"/>
      <c r="AR6" s="98"/>
      <c r="AS6" s="98"/>
      <c r="AT6" s="103" t="s">
        <v>226</v>
      </c>
      <c r="AU6" s="98"/>
      <c r="AV6" s="98"/>
      <c r="AW6" s="99"/>
      <c r="AX6" s="103" t="s">
        <v>226</v>
      </c>
      <c r="AY6" s="98"/>
      <c r="AZ6" s="98"/>
      <c r="BA6" s="99"/>
      <c r="BB6" s="98"/>
      <c r="BC6" s="98"/>
      <c r="BD6" s="98"/>
      <c r="BE6" s="98"/>
      <c r="BF6" s="99"/>
      <c r="BG6" s="65"/>
      <c r="BH6" s="65"/>
      <c r="BI6" s="65"/>
      <c r="BJ6" s="65"/>
    </row>
    <row r="7" spans="1:62" x14ac:dyDescent="0.2">
      <c r="A7" s="30" t="s">
        <v>121</v>
      </c>
      <c r="B7" s="31"/>
      <c r="C7" s="95"/>
      <c r="D7" s="91"/>
      <c r="E7" s="91"/>
      <c r="F7" s="91"/>
      <c r="G7" s="92"/>
      <c r="H7" s="100" t="s">
        <v>180</v>
      </c>
      <c r="I7" s="100"/>
      <c r="J7" s="100"/>
      <c r="K7" s="100"/>
      <c r="L7" s="100"/>
      <c r="M7" s="105" t="s">
        <v>180</v>
      </c>
      <c r="N7" s="100"/>
      <c r="O7" s="100"/>
      <c r="P7" s="100"/>
      <c r="Q7" s="101"/>
      <c r="R7" s="100" t="s">
        <v>198</v>
      </c>
      <c r="S7" s="100"/>
      <c r="T7" s="100"/>
      <c r="U7" s="100"/>
      <c r="V7" s="100"/>
      <c r="W7" s="100" t="s">
        <v>198</v>
      </c>
      <c r="X7" s="100"/>
      <c r="Y7" s="100"/>
      <c r="Z7" s="100"/>
      <c r="AA7" s="100"/>
      <c r="AB7" s="100" t="s">
        <v>198</v>
      </c>
      <c r="AC7" s="100"/>
      <c r="AD7" s="100"/>
      <c r="AE7" s="100"/>
      <c r="AF7" s="100"/>
      <c r="AG7" s="105" t="s">
        <v>198</v>
      </c>
      <c r="AH7" s="100"/>
      <c r="AI7" s="100"/>
      <c r="AJ7" s="100"/>
      <c r="AK7" s="100"/>
      <c r="AL7" s="100"/>
      <c r="AM7" s="100"/>
      <c r="AN7" s="100"/>
      <c r="AO7" s="101"/>
      <c r="AP7" s="100" t="s">
        <v>198</v>
      </c>
      <c r="AQ7" s="100"/>
      <c r="AR7" s="100"/>
      <c r="AS7" s="100"/>
      <c r="AT7" s="105" t="s">
        <v>237</v>
      </c>
      <c r="AU7" s="100"/>
      <c r="AV7" s="100"/>
      <c r="AW7" s="101"/>
      <c r="AX7" s="105" t="s">
        <v>237</v>
      </c>
      <c r="AY7" s="100"/>
      <c r="AZ7" s="100"/>
      <c r="BA7" s="101"/>
      <c r="BB7" s="100"/>
      <c r="BC7" s="100"/>
      <c r="BD7" s="100"/>
      <c r="BE7" s="100"/>
      <c r="BF7" s="101"/>
      <c r="BG7" s="65"/>
      <c r="BH7" s="65"/>
      <c r="BI7" s="65"/>
      <c r="BJ7" s="65"/>
    </row>
    <row r="8" spans="1:62" x14ac:dyDescent="0.2">
      <c r="A8" s="32" t="s">
        <v>122</v>
      </c>
      <c r="B8" s="33"/>
      <c r="C8" s="116"/>
      <c r="D8" s="117"/>
      <c r="E8" s="117"/>
      <c r="F8" s="117"/>
      <c r="G8" s="118"/>
      <c r="H8" s="93" t="s">
        <v>181</v>
      </c>
      <c r="I8" s="93"/>
      <c r="J8" s="93"/>
      <c r="K8" s="93"/>
      <c r="L8" s="93"/>
      <c r="M8" s="102" t="s">
        <v>181</v>
      </c>
      <c r="N8" s="93"/>
      <c r="O8" s="93"/>
      <c r="P8" s="93"/>
      <c r="Q8" s="94"/>
      <c r="R8" s="93" t="s">
        <v>181</v>
      </c>
      <c r="S8" s="93"/>
      <c r="T8" s="93"/>
      <c r="U8" s="93"/>
      <c r="V8" s="93"/>
      <c r="W8" s="93" t="s">
        <v>181</v>
      </c>
      <c r="X8" s="93"/>
      <c r="Y8" s="93"/>
      <c r="Z8" s="93"/>
      <c r="AA8" s="93"/>
      <c r="AB8" s="93" t="s">
        <v>181</v>
      </c>
      <c r="AC8" s="93"/>
      <c r="AD8" s="93"/>
      <c r="AE8" s="93"/>
      <c r="AF8" s="93"/>
      <c r="AG8" s="102" t="s">
        <v>181</v>
      </c>
      <c r="AH8" s="93"/>
      <c r="AI8" s="93"/>
      <c r="AJ8" s="93"/>
      <c r="AK8" s="93"/>
      <c r="AL8" s="93"/>
      <c r="AM8" s="93"/>
      <c r="AN8" s="93"/>
      <c r="AO8" s="94"/>
      <c r="AP8" s="93" t="s">
        <v>181</v>
      </c>
      <c r="AQ8" s="93"/>
      <c r="AR8" s="93"/>
      <c r="AS8" s="93"/>
      <c r="AT8" s="102" t="s">
        <v>238</v>
      </c>
      <c r="AU8" s="93"/>
      <c r="AV8" s="93"/>
      <c r="AW8" s="94"/>
      <c r="AX8" s="102" t="s">
        <v>238</v>
      </c>
      <c r="AY8" s="93"/>
      <c r="AZ8" s="93"/>
      <c r="BA8" s="94"/>
      <c r="BB8" s="93"/>
      <c r="BC8" s="93"/>
      <c r="BD8" s="93"/>
      <c r="BE8" s="93"/>
      <c r="BF8" s="94"/>
      <c r="BG8" s="65"/>
      <c r="BH8" s="65"/>
      <c r="BI8" s="65"/>
      <c r="BJ8" s="65"/>
    </row>
    <row r="9" spans="1:62" x14ac:dyDescent="0.2">
      <c r="A9" s="28"/>
      <c r="B9" s="29"/>
      <c r="C9" s="34"/>
      <c r="D9" s="35"/>
      <c r="E9" s="35"/>
      <c r="F9" s="35"/>
      <c r="G9" s="36"/>
      <c r="H9" s="35"/>
      <c r="I9" s="35"/>
      <c r="J9" s="35"/>
      <c r="K9" s="35"/>
      <c r="L9" s="35"/>
      <c r="M9" s="34"/>
      <c r="N9" s="35"/>
      <c r="O9" s="35"/>
      <c r="P9" s="35"/>
      <c r="Q9" s="36"/>
      <c r="R9" s="35"/>
      <c r="S9" s="35"/>
      <c r="T9" s="35"/>
      <c r="U9" s="35"/>
      <c r="V9" s="35"/>
      <c r="W9" s="34"/>
      <c r="X9" s="35"/>
      <c r="Y9" s="35"/>
      <c r="Z9" s="35"/>
      <c r="AA9" s="36"/>
      <c r="AB9" s="35"/>
      <c r="AC9" s="35"/>
      <c r="AD9" s="35"/>
      <c r="AE9" s="35"/>
      <c r="AF9" s="35"/>
      <c r="AG9" s="34"/>
      <c r="AH9" s="35"/>
      <c r="AI9" s="35"/>
      <c r="AJ9" s="35"/>
      <c r="AK9" s="35"/>
      <c r="AL9" s="35"/>
      <c r="AM9" s="35"/>
      <c r="AN9" s="35"/>
      <c r="AO9" s="36"/>
      <c r="AP9" s="35"/>
      <c r="AQ9" s="35"/>
      <c r="AR9" s="35"/>
      <c r="AS9" s="35"/>
      <c r="AT9" s="34"/>
      <c r="AU9" s="35"/>
      <c r="AV9" s="35"/>
      <c r="AW9" s="36"/>
      <c r="AX9" s="34"/>
      <c r="AY9" s="35"/>
      <c r="AZ9" s="35"/>
      <c r="BA9" s="36"/>
      <c r="BB9" s="35"/>
      <c r="BC9" s="35"/>
      <c r="BD9" s="35"/>
      <c r="BE9" s="35"/>
      <c r="BF9" s="36"/>
    </row>
    <row r="10" spans="1:62" x14ac:dyDescent="0.2">
      <c r="A10" s="37" t="s">
        <v>112</v>
      </c>
      <c r="B10" s="38"/>
      <c r="C10" s="39"/>
      <c r="D10" s="40"/>
      <c r="E10" s="40"/>
      <c r="F10" s="40"/>
      <c r="G10" s="41"/>
      <c r="H10" s="40"/>
      <c r="I10" s="40"/>
      <c r="J10" s="40"/>
      <c r="K10" s="40"/>
      <c r="L10" s="40"/>
      <c r="M10" s="39"/>
      <c r="N10" s="40"/>
      <c r="O10" s="40"/>
      <c r="P10" s="40"/>
      <c r="Q10" s="41"/>
      <c r="R10" s="40"/>
      <c r="S10" s="40"/>
      <c r="T10" s="40"/>
      <c r="U10" s="40"/>
      <c r="V10" s="40"/>
      <c r="W10" s="39"/>
      <c r="X10" s="40"/>
      <c r="Y10" s="40"/>
      <c r="Z10" s="40"/>
      <c r="AA10" s="41"/>
      <c r="AB10" s="40"/>
      <c r="AC10" s="40"/>
      <c r="AD10" s="40"/>
      <c r="AE10" s="40"/>
      <c r="AF10" s="40"/>
      <c r="AG10" s="39"/>
      <c r="AH10" s="40"/>
      <c r="AI10" s="40"/>
      <c r="AJ10" s="40"/>
      <c r="AK10" s="40"/>
      <c r="AL10" s="40"/>
      <c r="AM10" s="40"/>
      <c r="AN10" s="40"/>
      <c r="AO10" s="41"/>
      <c r="AP10" s="40"/>
      <c r="AQ10" s="40"/>
      <c r="AR10" s="40"/>
      <c r="AS10" s="40"/>
      <c r="AT10" s="39"/>
      <c r="AU10" s="40"/>
      <c r="AV10" s="40"/>
      <c r="AW10" s="41"/>
      <c r="AX10" s="39"/>
      <c r="AY10" s="40"/>
      <c r="AZ10" s="40"/>
      <c r="BA10" s="41"/>
      <c r="BB10" s="40"/>
      <c r="BC10" s="40"/>
      <c r="BD10" s="40"/>
      <c r="BE10" s="40"/>
      <c r="BF10" s="41"/>
    </row>
    <row r="11" spans="1:62" x14ac:dyDescent="0.2">
      <c r="A11" s="83" t="s">
        <v>111</v>
      </c>
      <c r="B11" s="84"/>
      <c r="C11" s="95"/>
      <c r="D11" s="91"/>
      <c r="E11" s="91"/>
      <c r="F11" s="91"/>
      <c r="G11" s="92"/>
      <c r="H11" s="106" t="s">
        <v>193</v>
      </c>
      <c r="I11" s="107"/>
      <c r="J11" s="107"/>
      <c r="K11" s="107"/>
      <c r="L11" s="108"/>
      <c r="M11" s="103" t="s">
        <v>194</v>
      </c>
      <c r="N11" s="98"/>
      <c r="O11" s="98"/>
      <c r="P11" s="98"/>
      <c r="Q11" s="99"/>
      <c r="R11" s="117"/>
      <c r="S11" s="117"/>
      <c r="T11" s="117"/>
      <c r="U11" s="117"/>
      <c r="V11" s="117"/>
      <c r="W11" s="102" t="s">
        <v>202</v>
      </c>
      <c r="X11" s="93"/>
      <c r="Y11" s="93"/>
      <c r="Z11" s="93"/>
      <c r="AA11" s="94"/>
      <c r="AB11" s="102" t="s">
        <v>202</v>
      </c>
      <c r="AC11" s="93"/>
      <c r="AD11" s="93"/>
      <c r="AE11" s="93"/>
      <c r="AF11" s="94"/>
      <c r="AG11" s="106" t="s">
        <v>202</v>
      </c>
      <c r="AH11" s="107"/>
      <c r="AI11" s="107"/>
      <c r="AJ11" s="107"/>
      <c r="AK11" s="107"/>
      <c r="AL11" s="107"/>
      <c r="AM11" s="107"/>
      <c r="AN11" s="107"/>
      <c r="AO11" s="108"/>
      <c r="AP11" s="106" t="s">
        <v>202</v>
      </c>
      <c r="AQ11" s="107"/>
      <c r="AR11" s="107"/>
      <c r="AS11" s="108"/>
      <c r="AT11" s="106" t="s">
        <v>202</v>
      </c>
      <c r="AU11" s="107"/>
      <c r="AV11" s="107"/>
      <c r="AW11" s="108"/>
      <c r="AX11" s="102" t="s">
        <v>256</v>
      </c>
      <c r="AY11" s="93"/>
      <c r="AZ11" s="93"/>
      <c r="BA11" s="94"/>
      <c r="BB11" s="91"/>
      <c r="BC11" s="91"/>
      <c r="BD11" s="91"/>
      <c r="BE11" s="91"/>
      <c r="BF11" s="92"/>
    </row>
    <row r="12" spans="1:62" s="82" customFormat="1" ht="57" x14ac:dyDescent="0.2">
      <c r="A12" s="78" t="s">
        <v>206</v>
      </c>
      <c r="C12" s="79"/>
      <c r="D12" s="80"/>
      <c r="E12" s="80"/>
      <c r="F12" s="80"/>
      <c r="G12" s="81"/>
      <c r="H12" s="80"/>
      <c r="I12" s="80"/>
      <c r="J12" s="80"/>
      <c r="K12" s="80"/>
      <c r="L12" s="80"/>
      <c r="M12" s="79"/>
      <c r="N12" s="80"/>
      <c r="O12" s="80"/>
      <c r="P12" s="80"/>
      <c r="Q12" s="81"/>
      <c r="R12" s="80"/>
      <c r="S12" s="80"/>
      <c r="T12" s="80"/>
      <c r="U12" s="80"/>
      <c r="V12" s="80"/>
      <c r="W12" s="79"/>
      <c r="X12" s="80"/>
      <c r="Y12" s="80"/>
      <c r="Z12" s="80"/>
      <c r="AA12" s="81"/>
      <c r="AB12" s="80"/>
      <c r="AC12" s="80"/>
      <c r="AD12" s="80"/>
      <c r="AE12" s="80"/>
      <c r="AF12" s="80"/>
      <c r="AG12" s="79" t="s">
        <v>205</v>
      </c>
      <c r="AH12" s="80" t="s">
        <v>210</v>
      </c>
      <c r="AI12" s="80" t="s">
        <v>211</v>
      </c>
      <c r="AJ12" s="80" t="s">
        <v>212</v>
      </c>
      <c r="AK12" s="80" t="s">
        <v>213</v>
      </c>
      <c r="AL12" s="80" t="s">
        <v>219</v>
      </c>
      <c r="AM12" s="80" t="s">
        <v>218</v>
      </c>
      <c r="AN12" s="80" t="s">
        <v>217</v>
      </c>
      <c r="AO12" s="81" t="s">
        <v>216</v>
      </c>
      <c r="AP12" s="80" t="s">
        <v>227</v>
      </c>
      <c r="AQ12" s="80" t="s">
        <v>230</v>
      </c>
      <c r="AR12" s="80" t="s">
        <v>231</v>
      </c>
      <c r="AS12" s="80" t="s">
        <v>232</v>
      </c>
      <c r="AT12" s="79" t="s">
        <v>240</v>
      </c>
      <c r="AU12" s="80" t="s">
        <v>242</v>
      </c>
      <c r="AV12" s="80" t="s">
        <v>244</v>
      </c>
      <c r="AW12" s="81" t="s">
        <v>246</v>
      </c>
      <c r="AX12" s="79" t="s">
        <v>261</v>
      </c>
      <c r="AY12" s="80" t="s">
        <v>262</v>
      </c>
      <c r="AZ12" s="80" t="s">
        <v>263</v>
      </c>
      <c r="BA12" s="81" t="s">
        <v>264</v>
      </c>
      <c r="BB12" s="80"/>
      <c r="BC12" s="80"/>
      <c r="BD12" s="80"/>
      <c r="BE12" s="80"/>
      <c r="BF12" s="81"/>
    </row>
    <row r="13" spans="1:62" ht="327.75" x14ac:dyDescent="0.2">
      <c r="A13" s="30"/>
      <c r="B13" s="31" t="s">
        <v>102</v>
      </c>
      <c r="C13" s="21"/>
      <c r="D13" s="22"/>
      <c r="E13" s="22"/>
      <c r="F13" s="22"/>
      <c r="G13" s="23"/>
      <c r="H13" s="22"/>
      <c r="I13" s="22"/>
      <c r="J13" s="22"/>
      <c r="K13" s="22"/>
      <c r="L13" s="22"/>
      <c r="M13" s="21"/>
      <c r="N13" s="22"/>
      <c r="O13" s="22"/>
      <c r="P13" s="22"/>
      <c r="Q13" s="23"/>
      <c r="R13" s="22"/>
      <c r="S13" s="22"/>
      <c r="T13" s="22"/>
      <c r="U13" s="22"/>
      <c r="V13" s="22"/>
      <c r="W13" s="21"/>
      <c r="X13" s="22"/>
      <c r="Y13" s="22"/>
      <c r="Z13" s="22"/>
      <c r="AA13" s="23"/>
      <c r="AB13" s="22"/>
      <c r="AC13" s="22"/>
      <c r="AD13" s="22"/>
      <c r="AE13" s="22"/>
      <c r="AF13" s="22"/>
      <c r="AG13" s="79" t="s">
        <v>207</v>
      </c>
      <c r="AH13" s="80" t="s">
        <v>208</v>
      </c>
      <c r="AI13" s="80" t="s">
        <v>209</v>
      </c>
      <c r="AJ13" s="80" t="s">
        <v>214</v>
      </c>
      <c r="AK13" s="80" t="s">
        <v>215</v>
      </c>
      <c r="AL13" s="80" t="s">
        <v>220</v>
      </c>
      <c r="AM13" s="80" t="s">
        <v>221</v>
      </c>
      <c r="AN13" s="80" t="s">
        <v>222</v>
      </c>
      <c r="AO13" s="81" t="s">
        <v>223</v>
      </c>
      <c r="AP13" s="80" t="s">
        <v>228</v>
      </c>
      <c r="AQ13" s="80" t="s">
        <v>229</v>
      </c>
      <c r="AR13" s="80" t="s">
        <v>233</v>
      </c>
      <c r="AS13" s="80" t="s">
        <v>234</v>
      </c>
      <c r="AT13" s="79" t="s">
        <v>241</v>
      </c>
      <c r="AU13" s="80" t="s">
        <v>243</v>
      </c>
      <c r="AV13" s="80" t="s">
        <v>245</v>
      </c>
      <c r="AW13" s="81"/>
      <c r="AX13" s="79" t="s">
        <v>257</v>
      </c>
      <c r="AY13" s="80" t="s">
        <v>258</v>
      </c>
      <c r="AZ13" s="80" t="s">
        <v>259</v>
      </c>
      <c r="BA13" s="81" t="s">
        <v>260</v>
      </c>
      <c r="BB13" s="22"/>
      <c r="BC13" s="22"/>
      <c r="BD13" s="22"/>
      <c r="BE13" s="22"/>
      <c r="BF13" s="23"/>
    </row>
    <row r="14" spans="1:62" x14ac:dyDescent="0.2">
      <c r="A14" s="30"/>
      <c r="B14" s="31" t="s">
        <v>101</v>
      </c>
      <c r="C14" s="21"/>
      <c r="D14" s="22"/>
      <c r="E14" s="22"/>
      <c r="F14" s="22"/>
      <c r="G14" s="23"/>
      <c r="H14" s="22"/>
      <c r="I14" s="22"/>
      <c r="J14" s="22"/>
      <c r="K14" s="22"/>
      <c r="L14" s="22"/>
      <c r="M14" s="21"/>
      <c r="N14" s="22"/>
      <c r="O14" s="22"/>
      <c r="P14" s="22"/>
      <c r="Q14" s="23"/>
      <c r="R14" s="22"/>
      <c r="S14" s="22"/>
      <c r="T14" s="22"/>
      <c r="U14" s="22"/>
      <c r="V14" s="22"/>
      <c r="W14" s="21"/>
      <c r="X14" s="22"/>
      <c r="Y14" s="22"/>
      <c r="Z14" s="22"/>
      <c r="AA14" s="23"/>
      <c r="AB14" s="22"/>
      <c r="AC14" s="22"/>
      <c r="AD14" s="22"/>
      <c r="AE14" s="22"/>
      <c r="AF14" s="22"/>
      <c r="AG14" s="79"/>
      <c r="AH14" s="80"/>
      <c r="AI14" s="80"/>
      <c r="AJ14" s="80"/>
      <c r="AK14" s="80"/>
      <c r="AL14" s="80"/>
      <c r="AM14" s="80"/>
      <c r="AN14" s="80"/>
      <c r="AO14" s="81"/>
      <c r="AP14" s="80"/>
      <c r="AQ14" s="80"/>
      <c r="AR14" s="80"/>
      <c r="AS14" s="80"/>
      <c r="AT14" s="21"/>
      <c r="AU14" s="22"/>
      <c r="AV14" s="22"/>
      <c r="AW14" s="23"/>
      <c r="AX14" s="21"/>
      <c r="AY14" s="22"/>
      <c r="AZ14" s="22"/>
      <c r="BA14" s="23"/>
      <c r="BB14" s="22"/>
      <c r="BC14" s="22"/>
      <c r="BD14" s="22"/>
      <c r="BE14" s="22"/>
      <c r="BF14" s="23"/>
    </row>
    <row r="15" spans="1:62" x14ac:dyDescent="0.2">
      <c r="A15" s="30" t="s">
        <v>104</v>
      </c>
      <c r="B15" s="31"/>
      <c r="C15" s="95"/>
      <c r="D15" s="91"/>
      <c r="E15" s="91"/>
      <c r="F15" s="91"/>
      <c r="G15" s="92"/>
      <c r="H15" s="91"/>
      <c r="I15" s="91"/>
      <c r="J15" s="91"/>
      <c r="K15" s="91"/>
      <c r="L15" s="91"/>
      <c r="M15" s="95"/>
      <c r="N15" s="91"/>
      <c r="O15" s="91"/>
      <c r="P15" s="91"/>
      <c r="Q15" s="92"/>
      <c r="R15" s="91"/>
      <c r="S15" s="91"/>
      <c r="T15" s="91"/>
      <c r="U15" s="91"/>
      <c r="V15" s="91"/>
      <c r="W15" s="95"/>
      <c r="X15" s="91"/>
      <c r="Y15" s="91"/>
      <c r="Z15" s="91"/>
      <c r="AA15" s="92"/>
      <c r="AB15" s="91"/>
      <c r="AC15" s="91"/>
      <c r="AD15" s="91"/>
      <c r="AE15" s="91"/>
      <c r="AF15" s="91"/>
      <c r="AG15" s="95"/>
      <c r="AH15" s="91"/>
      <c r="AI15" s="91"/>
      <c r="AJ15" s="91"/>
      <c r="AK15" s="91"/>
      <c r="AL15" s="91"/>
      <c r="AM15" s="91"/>
      <c r="AN15" s="91"/>
      <c r="AO15" s="92"/>
      <c r="AP15" s="91"/>
      <c r="AQ15" s="91"/>
      <c r="AR15" s="91"/>
      <c r="AS15" s="91"/>
      <c r="AT15" s="95"/>
      <c r="AU15" s="91"/>
      <c r="AV15" s="91"/>
      <c r="AW15" s="92"/>
      <c r="AX15" s="95"/>
      <c r="AY15" s="91"/>
      <c r="AZ15" s="91"/>
      <c r="BA15" s="92"/>
      <c r="BB15" s="91"/>
      <c r="BC15" s="91"/>
      <c r="BD15" s="91"/>
      <c r="BE15" s="91"/>
      <c r="BF15" s="92"/>
    </row>
    <row r="16" spans="1:62" x14ac:dyDescent="0.2">
      <c r="A16" s="30"/>
      <c r="B16" s="31"/>
      <c r="C16" s="75"/>
      <c r="D16" s="76"/>
      <c r="E16" s="76"/>
      <c r="F16" s="76"/>
      <c r="G16" s="77"/>
      <c r="H16" s="76"/>
      <c r="I16" s="76"/>
      <c r="J16" s="76"/>
      <c r="K16" s="76"/>
      <c r="L16" s="76"/>
      <c r="M16" s="75"/>
      <c r="N16" s="76"/>
      <c r="O16" s="76"/>
      <c r="P16" s="76"/>
      <c r="Q16" s="77"/>
      <c r="R16" s="76"/>
      <c r="S16" s="76"/>
      <c r="T16" s="76"/>
      <c r="U16" s="76"/>
      <c r="V16" s="76"/>
      <c r="W16" s="75"/>
      <c r="X16" s="76"/>
      <c r="Y16" s="76"/>
      <c r="Z16" s="76"/>
      <c r="AA16" s="77"/>
      <c r="AB16" s="76"/>
      <c r="AC16" s="76"/>
      <c r="AD16" s="76"/>
      <c r="AE16" s="76"/>
      <c r="AF16" s="76"/>
      <c r="AG16" s="75"/>
      <c r="AH16" s="76"/>
      <c r="AI16" s="76"/>
      <c r="AJ16" s="76"/>
      <c r="AK16" s="76"/>
      <c r="AL16" s="76"/>
      <c r="AM16" s="76"/>
      <c r="AN16" s="76"/>
      <c r="AO16" s="77"/>
      <c r="AP16" s="76"/>
      <c r="AQ16" s="76"/>
      <c r="AR16" s="76"/>
      <c r="AS16" s="76"/>
      <c r="AT16" s="75"/>
      <c r="AU16" s="76"/>
      <c r="AV16" s="76"/>
      <c r="AW16" s="77"/>
      <c r="AX16" s="75"/>
      <c r="AY16" s="76"/>
      <c r="AZ16" s="76"/>
      <c r="BA16" s="77"/>
      <c r="BB16" s="76"/>
      <c r="BC16" s="76"/>
      <c r="BD16" s="76"/>
      <c r="BE16" s="76"/>
      <c r="BF16" s="77"/>
    </row>
    <row r="17" spans="1:58" x14ac:dyDescent="0.2">
      <c r="A17" s="30"/>
      <c r="B17" s="31"/>
      <c r="C17" s="21"/>
      <c r="D17" s="22"/>
      <c r="E17" s="22"/>
      <c r="F17" s="22"/>
      <c r="G17" s="23"/>
      <c r="H17" s="22"/>
      <c r="I17" s="22"/>
      <c r="J17" s="22"/>
      <c r="K17" s="22"/>
      <c r="L17" s="22"/>
      <c r="M17" s="21"/>
      <c r="N17" s="22"/>
      <c r="O17" s="22"/>
      <c r="P17" s="22"/>
      <c r="Q17" s="23"/>
      <c r="R17" s="22"/>
      <c r="S17" s="22"/>
      <c r="T17" s="22"/>
      <c r="U17" s="22"/>
      <c r="V17" s="22"/>
      <c r="W17" s="21"/>
      <c r="X17" s="22"/>
      <c r="Y17" s="22"/>
      <c r="Z17" s="22"/>
      <c r="AA17" s="23"/>
      <c r="AB17" s="22"/>
      <c r="AC17" s="22"/>
      <c r="AD17" s="22"/>
      <c r="AE17" s="22"/>
      <c r="AF17" s="22"/>
      <c r="AG17" s="21"/>
      <c r="AH17" s="22"/>
      <c r="AI17" s="22"/>
      <c r="AJ17" s="22"/>
      <c r="AK17" s="22"/>
      <c r="AL17" s="22"/>
      <c r="AM17" s="22"/>
      <c r="AN17" s="22"/>
      <c r="AO17" s="23"/>
      <c r="AP17" s="22"/>
      <c r="AQ17" s="22"/>
      <c r="AR17" s="22"/>
      <c r="AS17" s="22"/>
      <c r="AT17" s="21"/>
      <c r="AU17" s="22"/>
      <c r="AV17" s="22"/>
      <c r="AW17" s="23"/>
      <c r="AX17" s="21"/>
      <c r="AY17" s="22"/>
      <c r="AZ17" s="22"/>
      <c r="BA17" s="23"/>
      <c r="BB17" s="22"/>
      <c r="BC17" s="22"/>
      <c r="BD17" s="22"/>
      <c r="BE17" s="22"/>
      <c r="BF17" s="23"/>
    </row>
    <row r="18" spans="1:58" x14ac:dyDescent="0.2">
      <c r="A18" s="68" t="s">
        <v>116</v>
      </c>
      <c r="B18" s="69"/>
      <c r="C18" s="70"/>
      <c r="D18" s="71"/>
      <c r="E18" s="71"/>
      <c r="F18" s="71"/>
      <c r="G18" s="72"/>
      <c r="H18" s="71"/>
      <c r="I18" s="71"/>
      <c r="J18" s="71"/>
      <c r="K18" s="71"/>
      <c r="L18" s="71"/>
      <c r="M18" s="70"/>
      <c r="N18" s="71"/>
      <c r="O18" s="71"/>
      <c r="P18" s="71"/>
      <c r="Q18" s="72"/>
      <c r="R18" s="71"/>
      <c r="S18" s="71"/>
      <c r="T18" s="71"/>
      <c r="U18" s="71"/>
      <c r="V18" s="71"/>
      <c r="W18" s="70"/>
      <c r="X18" s="71"/>
      <c r="Y18" s="71"/>
      <c r="Z18" s="71"/>
      <c r="AA18" s="72"/>
      <c r="AB18" s="71"/>
      <c r="AC18" s="71"/>
      <c r="AD18" s="71"/>
      <c r="AE18" s="71"/>
      <c r="AF18" s="71"/>
      <c r="AG18" s="70"/>
      <c r="AH18" s="71"/>
      <c r="AI18" s="71"/>
      <c r="AJ18" s="71"/>
      <c r="AK18" s="71"/>
      <c r="AL18" s="71"/>
      <c r="AM18" s="71"/>
      <c r="AN18" s="71"/>
      <c r="AO18" s="72"/>
      <c r="AP18" s="71"/>
      <c r="AQ18" s="71"/>
      <c r="AR18" s="71"/>
      <c r="AS18" s="71"/>
      <c r="AT18" s="70"/>
      <c r="AU18" s="71"/>
      <c r="AV18" s="71"/>
      <c r="AW18" s="72"/>
      <c r="AX18" s="70"/>
      <c r="AY18" s="71"/>
      <c r="AZ18" s="71"/>
      <c r="BA18" s="72"/>
      <c r="BB18" s="50"/>
      <c r="BC18" s="50"/>
      <c r="BD18" s="50"/>
      <c r="BE18" s="50"/>
      <c r="BF18" s="51"/>
    </row>
    <row r="19" spans="1:58" x14ac:dyDescent="0.2">
      <c r="A19" s="47" t="s">
        <v>115</v>
      </c>
      <c r="B19" s="48"/>
      <c r="C19" s="116"/>
      <c r="D19" s="117"/>
      <c r="E19" s="117"/>
      <c r="F19" s="117"/>
      <c r="G19" s="118"/>
      <c r="H19" s="106" t="s">
        <v>193</v>
      </c>
      <c r="I19" s="107"/>
      <c r="J19" s="107"/>
      <c r="K19" s="107"/>
      <c r="L19" s="107"/>
      <c r="M19" s="106" t="s">
        <v>194</v>
      </c>
      <c r="N19" s="107"/>
      <c r="O19" s="107"/>
      <c r="P19" s="107"/>
      <c r="Q19" s="108"/>
      <c r="R19" s="107" t="s">
        <v>278</v>
      </c>
      <c r="S19" s="107"/>
      <c r="T19" s="107"/>
      <c r="U19" s="107"/>
      <c r="V19" s="107"/>
      <c r="W19" s="106" t="s">
        <v>202</v>
      </c>
      <c r="X19" s="107"/>
      <c r="Y19" s="107"/>
      <c r="Z19" s="107"/>
      <c r="AA19" s="108"/>
      <c r="AB19" s="106" t="s">
        <v>202</v>
      </c>
      <c r="AC19" s="107"/>
      <c r="AD19" s="107"/>
      <c r="AE19" s="107"/>
      <c r="AF19" s="108"/>
      <c r="AG19" s="106" t="s">
        <v>202</v>
      </c>
      <c r="AH19" s="107"/>
      <c r="AI19" s="107"/>
      <c r="AJ19" s="107"/>
      <c r="AK19" s="107"/>
      <c r="AL19" s="107"/>
      <c r="AM19" s="107"/>
      <c r="AN19" s="107"/>
      <c r="AO19" s="108"/>
      <c r="AP19" s="106" t="s">
        <v>202</v>
      </c>
      <c r="AQ19" s="107"/>
      <c r="AR19" s="107"/>
      <c r="AS19" s="108"/>
      <c r="AT19" s="106" t="s">
        <v>202</v>
      </c>
      <c r="AU19" s="107"/>
      <c r="AV19" s="107"/>
      <c r="AW19" s="108"/>
      <c r="AX19" s="106" t="s">
        <v>256</v>
      </c>
      <c r="AY19" s="107"/>
      <c r="AZ19" s="107"/>
      <c r="BA19" s="108"/>
      <c r="BB19" s="91"/>
      <c r="BC19" s="91"/>
      <c r="BD19" s="91"/>
      <c r="BE19" s="91"/>
      <c r="BF19" s="92"/>
    </row>
    <row r="20" spans="1:58" ht="300" customHeight="1" x14ac:dyDescent="0.2">
      <c r="A20" s="30"/>
      <c r="B20" s="31"/>
      <c r="C20" s="21"/>
      <c r="D20" s="22"/>
      <c r="E20" s="22"/>
      <c r="F20" s="22"/>
      <c r="G20" s="23"/>
      <c r="H20" s="109" t="s">
        <v>290</v>
      </c>
      <c r="I20" s="110"/>
      <c r="J20" s="110"/>
      <c r="K20" s="110"/>
      <c r="L20" s="111"/>
      <c r="M20" s="109" t="s">
        <v>275</v>
      </c>
      <c r="N20" s="110"/>
      <c r="O20" s="110"/>
      <c r="P20" s="110"/>
      <c r="Q20" s="111"/>
      <c r="R20" s="109" t="s">
        <v>279</v>
      </c>
      <c r="S20" s="110"/>
      <c r="T20" s="110"/>
      <c r="U20" s="110"/>
      <c r="V20" s="111"/>
      <c r="W20" s="109" t="s">
        <v>280</v>
      </c>
      <c r="X20" s="110"/>
      <c r="Y20" s="110"/>
      <c r="Z20" s="110"/>
      <c r="AA20" s="111"/>
      <c r="AB20" s="109"/>
      <c r="AC20" s="110"/>
      <c r="AD20" s="110"/>
      <c r="AE20" s="110"/>
      <c r="AF20" s="111"/>
      <c r="AG20" s="109" t="s">
        <v>224</v>
      </c>
      <c r="AH20" s="110"/>
      <c r="AI20" s="110"/>
      <c r="AJ20" s="110"/>
      <c r="AK20" s="110"/>
      <c r="AL20" s="110"/>
      <c r="AM20" s="110"/>
      <c r="AN20" s="110"/>
      <c r="AO20" s="111"/>
      <c r="AP20" s="109" t="s">
        <v>283</v>
      </c>
      <c r="AQ20" s="110"/>
      <c r="AR20" s="110"/>
      <c r="AS20" s="111"/>
      <c r="AT20" s="109" t="s">
        <v>286</v>
      </c>
      <c r="AU20" s="110"/>
      <c r="AV20" s="110"/>
      <c r="AW20" s="111"/>
      <c r="AX20" s="109" t="s">
        <v>289</v>
      </c>
      <c r="AY20" s="110"/>
      <c r="AZ20" s="110"/>
      <c r="BA20" s="111"/>
      <c r="BB20" s="22"/>
      <c r="BC20" s="22"/>
      <c r="BD20" s="22"/>
      <c r="BE20" s="22"/>
      <c r="BF20" s="23"/>
    </row>
    <row r="21" spans="1:58" x14ac:dyDescent="0.2">
      <c r="A21" s="32"/>
      <c r="B21" s="33"/>
      <c r="C21" s="25"/>
      <c r="D21" s="26"/>
      <c r="E21" s="26"/>
      <c r="F21" s="26"/>
      <c r="G21" s="27"/>
      <c r="H21" s="26"/>
      <c r="I21" s="26"/>
      <c r="J21" s="26"/>
      <c r="K21" s="26"/>
      <c r="L21" s="26"/>
      <c r="M21" s="25"/>
      <c r="N21" s="26"/>
      <c r="O21" s="26"/>
      <c r="P21" s="26"/>
      <c r="Q21" s="27"/>
      <c r="R21" s="26"/>
      <c r="S21" s="26"/>
      <c r="T21" s="26"/>
      <c r="U21" s="26"/>
      <c r="V21" s="26"/>
      <c r="W21" s="25"/>
      <c r="X21" s="26"/>
      <c r="Y21" s="26"/>
      <c r="Z21" s="26"/>
      <c r="AA21" s="27"/>
      <c r="AB21" s="26"/>
      <c r="AC21" s="26"/>
      <c r="AD21" s="26"/>
      <c r="AE21" s="26"/>
      <c r="AF21" s="26"/>
      <c r="AG21" s="25"/>
      <c r="AH21" s="26"/>
      <c r="AI21" s="26"/>
      <c r="AJ21" s="26"/>
      <c r="AK21" s="26"/>
      <c r="AL21" s="26"/>
      <c r="AM21" s="26"/>
      <c r="AN21" s="26"/>
      <c r="AO21" s="27"/>
      <c r="AP21" s="26"/>
      <c r="AQ21" s="26"/>
      <c r="AR21" s="26"/>
      <c r="AS21" s="26"/>
      <c r="AT21" s="25"/>
      <c r="AU21" s="26"/>
      <c r="AV21" s="26"/>
      <c r="AW21" s="27"/>
      <c r="AX21" s="25"/>
      <c r="AY21" s="26"/>
      <c r="AZ21" s="26"/>
      <c r="BA21" s="27"/>
      <c r="BB21" s="26"/>
      <c r="BC21" s="26"/>
      <c r="BD21" s="26"/>
      <c r="BE21" s="26"/>
      <c r="BF21" s="27"/>
    </row>
    <row r="22" spans="1:58" x14ac:dyDescent="0.2">
      <c r="A22" s="30"/>
      <c r="B22" s="31"/>
      <c r="C22" s="21"/>
      <c r="D22" s="22"/>
      <c r="E22" s="22"/>
      <c r="F22" s="22"/>
      <c r="G22" s="23"/>
      <c r="H22" s="22"/>
      <c r="I22" s="22"/>
      <c r="J22" s="22"/>
      <c r="K22" s="22"/>
      <c r="L22" s="22"/>
      <c r="M22" s="21"/>
      <c r="N22" s="22"/>
      <c r="O22" s="22"/>
      <c r="P22" s="22"/>
      <c r="Q22" s="23"/>
      <c r="R22" s="22"/>
      <c r="S22" s="22"/>
      <c r="T22" s="22"/>
      <c r="U22" s="22"/>
      <c r="V22" s="22"/>
      <c r="W22" s="21"/>
      <c r="X22" s="22"/>
      <c r="Y22" s="22"/>
      <c r="Z22" s="22"/>
      <c r="AA22" s="23"/>
      <c r="AB22" s="22"/>
      <c r="AC22" s="22"/>
      <c r="AD22" s="22"/>
      <c r="AE22" s="22"/>
      <c r="AF22" s="22"/>
      <c r="AG22" s="21"/>
      <c r="AH22" s="22"/>
      <c r="AI22" s="22"/>
      <c r="AJ22" s="22"/>
      <c r="AK22" s="22"/>
      <c r="AL22" s="22"/>
      <c r="AM22" s="22"/>
      <c r="AN22" s="22"/>
      <c r="AO22" s="23"/>
      <c r="AP22" s="22"/>
      <c r="AQ22" s="22"/>
      <c r="AR22" s="22"/>
      <c r="AS22" s="22"/>
      <c r="AT22" s="21"/>
      <c r="AU22" s="22"/>
      <c r="AV22" s="22"/>
      <c r="AW22" s="23"/>
      <c r="AX22" s="21"/>
      <c r="AY22" s="22"/>
      <c r="AZ22" s="22"/>
      <c r="BA22" s="23"/>
      <c r="BB22" s="22"/>
      <c r="BC22" s="22"/>
      <c r="BD22" s="22"/>
      <c r="BE22" s="22"/>
      <c r="BF22" s="23"/>
    </row>
    <row r="23" spans="1:58" x14ac:dyDescent="0.2">
      <c r="A23" s="30"/>
      <c r="B23" s="31"/>
      <c r="C23" s="21"/>
      <c r="D23" s="22"/>
      <c r="E23" s="22"/>
      <c r="F23" s="22"/>
      <c r="G23" s="23"/>
      <c r="H23" s="22"/>
      <c r="I23" s="22"/>
      <c r="J23" s="22"/>
      <c r="K23" s="22"/>
      <c r="L23" s="22"/>
      <c r="M23" s="21"/>
      <c r="N23" s="22"/>
      <c r="O23" s="22"/>
      <c r="P23" s="22"/>
      <c r="Q23" s="23"/>
      <c r="R23" s="22"/>
      <c r="S23" s="22"/>
      <c r="T23" s="22"/>
      <c r="U23" s="22"/>
      <c r="V23" s="22"/>
      <c r="W23" s="21"/>
      <c r="X23" s="22"/>
      <c r="Y23" s="22"/>
      <c r="Z23" s="22"/>
      <c r="AA23" s="23"/>
      <c r="AB23" s="22"/>
      <c r="AC23" s="22"/>
      <c r="AD23" s="22"/>
      <c r="AE23" s="22"/>
      <c r="AF23" s="22"/>
      <c r="AG23" s="21"/>
      <c r="AH23" s="22"/>
      <c r="AI23" s="22"/>
      <c r="AJ23" s="22"/>
      <c r="AK23" s="22"/>
      <c r="AL23" s="22"/>
      <c r="AM23" s="22"/>
      <c r="AN23" s="22"/>
      <c r="AO23" s="23"/>
      <c r="AP23" s="22"/>
      <c r="AQ23" s="22"/>
      <c r="AR23" s="22"/>
      <c r="AS23" s="22"/>
      <c r="AT23" s="21"/>
      <c r="AU23" s="22"/>
      <c r="AV23" s="22"/>
      <c r="AW23" s="23"/>
      <c r="AX23" s="21"/>
      <c r="AY23" s="22"/>
      <c r="AZ23" s="22"/>
      <c r="BA23" s="23"/>
      <c r="BB23" s="22"/>
      <c r="BC23" s="22"/>
      <c r="BD23" s="22"/>
      <c r="BE23" s="22"/>
      <c r="BF23" s="23"/>
    </row>
    <row r="24" spans="1:58" ht="288" customHeight="1" x14ac:dyDescent="0.2">
      <c r="A24" s="127" t="s">
        <v>183</v>
      </c>
      <c r="B24" s="128"/>
      <c r="C24" s="124" t="s">
        <v>184</v>
      </c>
      <c r="D24" s="125"/>
      <c r="E24" s="125"/>
      <c r="F24" s="125"/>
      <c r="G24" s="126"/>
      <c r="H24" s="129" t="s">
        <v>291</v>
      </c>
      <c r="I24" s="130"/>
      <c r="J24" s="130"/>
      <c r="K24" s="130"/>
      <c r="L24" s="131"/>
      <c r="M24" s="129" t="s">
        <v>276</v>
      </c>
      <c r="N24" s="130"/>
      <c r="O24" s="130"/>
      <c r="P24" s="130"/>
      <c r="Q24" s="131"/>
      <c r="R24" s="129" t="s">
        <v>201</v>
      </c>
      <c r="S24" s="130"/>
      <c r="T24" s="130"/>
      <c r="U24" s="130"/>
      <c r="V24" s="131"/>
      <c r="W24" s="129" t="s">
        <v>203</v>
      </c>
      <c r="X24" s="130"/>
      <c r="Y24" s="130"/>
      <c r="Z24" s="130"/>
      <c r="AA24" s="131"/>
      <c r="AB24" s="129" t="s">
        <v>204</v>
      </c>
      <c r="AC24" s="130"/>
      <c r="AD24" s="130"/>
      <c r="AE24" s="130"/>
      <c r="AF24" s="131"/>
      <c r="AG24" s="129" t="s">
        <v>225</v>
      </c>
      <c r="AH24" s="130"/>
      <c r="AI24" s="130"/>
      <c r="AJ24" s="130"/>
      <c r="AK24" s="130"/>
      <c r="AL24" s="130"/>
      <c r="AM24" s="130"/>
      <c r="AN24" s="130"/>
      <c r="AO24" s="131"/>
      <c r="AP24" s="129" t="s">
        <v>236</v>
      </c>
      <c r="AQ24" s="130"/>
      <c r="AR24" s="130"/>
      <c r="AS24" s="131"/>
      <c r="AT24" s="129" t="s">
        <v>287</v>
      </c>
      <c r="AU24" s="130"/>
      <c r="AV24" s="130"/>
      <c r="AW24" s="131"/>
      <c r="AX24" s="129" t="s">
        <v>265</v>
      </c>
      <c r="AY24" s="130"/>
      <c r="AZ24" s="130"/>
      <c r="BA24" s="131"/>
      <c r="BB24" s="95"/>
      <c r="BC24" s="91"/>
      <c r="BD24" s="91"/>
      <c r="BE24" s="91"/>
      <c r="BF24" s="92"/>
    </row>
    <row r="25" spans="1:58" ht="304.5" customHeight="1" x14ac:dyDescent="0.2">
      <c r="A25" s="132" t="s">
        <v>185</v>
      </c>
      <c r="B25" s="133"/>
      <c r="C25" s="112" t="s">
        <v>186</v>
      </c>
      <c r="D25" s="113"/>
      <c r="E25" s="113"/>
      <c r="F25" s="113"/>
      <c r="G25" s="114"/>
      <c r="H25" s="112" t="s">
        <v>190</v>
      </c>
      <c r="I25" s="113"/>
      <c r="J25" s="113"/>
      <c r="K25" s="113"/>
      <c r="L25" s="114"/>
      <c r="M25" s="112" t="s">
        <v>277</v>
      </c>
      <c r="N25" s="113"/>
      <c r="O25" s="113"/>
      <c r="P25" s="113"/>
      <c r="Q25" s="114"/>
      <c r="R25" s="112" t="s">
        <v>200</v>
      </c>
      <c r="S25" s="113"/>
      <c r="T25" s="113"/>
      <c r="U25" s="113"/>
      <c r="V25" s="114"/>
      <c r="W25" s="112" t="s">
        <v>282</v>
      </c>
      <c r="X25" s="113"/>
      <c r="Y25" s="113"/>
      <c r="Z25" s="113"/>
      <c r="AA25" s="114"/>
      <c r="AB25" s="112" t="s">
        <v>281</v>
      </c>
      <c r="AC25" s="113"/>
      <c r="AD25" s="113"/>
      <c r="AE25" s="113"/>
      <c r="AF25" s="114"/>
      <c r="AG25" s="112" t="s">
        <v>189</v>
      </c>
      <c r="AH25" s="113"/>
      <c r="AI25" s="113"/>
      <c r="AJ25" s="113"/>
      <c r="AK25" s="113"/>
      <c r="AL25" s="113"/>
      <c r="AM25" s="113"/>
      <c r="AN25" s="113"/>
      <c r="AO25" s="114"/>
      <c r="AP25" s="112" t="s">
        <v>284</v>
      </c>
      <c r="AQ25" s="113"/>
      <c r="AR25" s="113"/>
      <c r="AS25" s="114"/>
      <c r="AT25" s="112" t="s">
        <v>285</v>
      </c>
      <c r="AU25" s="113"/>
      <c r="AV25" s="113"/>
      <c r="AW25" s="114"/>
      <c r="AX25" s="112" t="s">
        <v>288</v>
      </c>
      <c r="AY25" s="113"/>
      <c r="AZ25" s="113"/>
      <c r="BA25" s="114"/>
      <c r="BB25" s="58"/>
      <c r="BC25" s="57"/>
      <c r="BD25" s="57"/>
      <c r="BE25" s="57"/>
      <c r="BF25" s="59"/>
    </row>
    <row r="26" spans="1:58" ht="191.25" customHeight="1" x14ac:dyDescent="0.2">
      <c r="A26" s="134" t="s">
        <v>187</v>
      </c>
      <c r="B26" s="135"/>
      <c r="C26" s="124" t="s">
        <v>188</v>
      </c>
      <c r="D26" s="125"/>
      <c r="E26" s="125"/>
      <c r="F26" s="125"/>
      <c r="G26" s="126"/>
      <c r="H26" s="109" t="s">
        <v>189</v>
      </c>
      <c r="I26" s="110"/>
      <c r="J26" s="110"/>
      <c r="K26" s="110"/>
      <c r="L26" s="111"/>
      <c r="M26" s="109" t="s">
        <v>189</v>
      </c>
      <c r="N26" s="110"/>
      <c r="O26" s="110"/>
      <c r="P26" s="110"/>
      <c r="Q26" s="111"/>
      <c r="R26" s="109" t="s">
        <v>189</v>
      </c>
      <c r="S26" s="110"/>
      <c r="T26" s="110"/>
      <c r="U26" s="110"/>
      <c r="V26" s="111"/>
      <c r="W26" s="109" t="s">
        <v>189</v>
      </c>
      <c r="X26" s="110"/>
      <c r="Y26" s="110"/>
      <c r="Z26" s="110"/>
      <c r="AA26" s="111"/>
      <c r="AB26" s="109" t="s">
        <v>189</v>
      </c>
      <c r="AC26" s="110"/>
      <c r="AD26" s="110"/>
      <c r="AE26" s="110"/>
      <c r="AF26" s="111"/>
      <c r="AG26" s="109" t="s">
        <v>189</v>
      </c>
      <c r="AH26" s="110"/>
      <c r="AI26" s="110"/>
      <c r="AJ26" s="110"/>
      <c r="AK26" s="110"/>
      <c r="AL26" s="110"/>
      <c r="AM26" s="110"/>
      <c r="AN26" s="110"/>
      <c r="AO26" s="111"/>
      <c r="AP26" s="115" t="s">
        <v>235</v>
      </c>
      <c r="AQ26" s="110"/>
      <c r="AR26" s="110"/>
      <c r="AS26" s="111"/>
      <c r="AT26" s="109" t="s">
        <v>239</v>
      </c>
      <c r="AU26" s="110"/>
      <c r="AV26" s="110"/>
      <c r="AW26" s="111"/>
      <c r="AX26" s="109" t="s">
        <v>189</v>
      </c>
      <c r="AY26" s="110"/>
      <c r="AZ26" s="110"/>
      <c r="BA26" s="111"/>
      <c r="BB26" s="58"/>
      <c r="BC26" s="57"/>
      <c r="BD26" s="57"/>
      <c r="BE26" s="57"/>
      <c r="BF26" s="59"/>
    </row>
    <row r="27" spans="1:58" x14ac:dyDescent="0.2">
      <c r="A27" s="30"/>
      <c r="B27" s="31"/>
      <c r="C27" s="21"/>
      <c r="D27" s="22"/>
      <c r="E27" s="22"/>
      <c r="F27" s="22"/>
      <c r="G27" s="23"/>
      <c r="H27" s="22"/>
      <c r="I27" s="22"/>
      <c r="J27" s="22"/>
      <c r="K27" s="22"/>
      <c r="L27" s="22"/>
      <c r="M27" s="21"/>
      <c r="N27" s="22"/>
      <c r="O27" s="22"/>
      <c r="P27" s="22"/>
      <c r="Q27" s="23"/>
      <c r="R27" s="22"/>
      <c r="S27" s="22"/>
      <c r="T27" s="22"/>
      <c r="U27" s="22"/>
      <c r="V27" s="22"/>
      <c r="W27" s="21"/>
      <c r="X27" s="22"/>
      <c r="Y27" s="22"/>
      <c r="Z27" s="22"/>
      <c r="AA27" s="23"/>
      <c r="AB27" s="22"/>
      <c r="AC27" s="22"/>
      <c r="AD27" s="22"/>
      <c r="AE27" s="22"/>
      <c r="AF27" s="22"/>
      <c r="AG27" s="21"/>
      <c r="AH27" s="22"/>
      <c r="AI27" s="22"/>
      <c r="AJ27" s="22"/>
      <c r="AK27" s="22"/>
      <c r="AL27" s="22"/>
      <c r="AM27" s="22"/>
      <c r="AN27" s="22"/>
      <c r="AO27" s="23"/>
      <c r="AP27" s="22"/>
      <c r="AQ27" s="22"/>
      <c r="AR27" s="22"/>
      <c r="AS27" s="22"/>
      <c r="AT27" s="21"/>
      <c r="AU27" s="22"/>
      <c r="AV27" s="22"/>
      <c r="AW27" s="23"/>
      <c r="AX27" s="21"/>
      <c r="AY27" s="22"/>
      <c r="AZ27" s="22"/>
      <c r="BA27" s="23"/>
      <c r="BB27" s="22"/>
      <c r="BC27" s="22"/>
      <c r="BD27" s="22"/>
      <c r="BE27" s="22"/>
      <c r="BF27" s="23"/>
    </row>
    <row r="28" spans="1:58" hidden="1" x14ac:dyDescent="0.2">
      <c r="A28" s="30"/>
      <c r="B28" s="31"/>
      <c r="C28" s="21"/>
      <c r="D28" s="22"/>
      <c r="E28" s="22"/>
      <c r="F28" s="22"/>
      <c r="G28" s="23"/>
      <c r="H28" s="22"/>
      <c r="I28" s="22"/>
      <c r="J28" s="22"/>
      <c r="K28" s="22"/>
      <c r="L28" s="22"/>
      <c r="M28" s="21"/>
      <c r="N28" s="22"/>
      <c r="O28" s="22"/>
      <c r="P28" s="22"/>
      <c r="Q28" s="23"/>
      <c r="R28" s="22"/>
      <c r="S28" s="22"/>
      <c r="T28" s="22"/>
      <c r="U28" s="22"/>
      <c r="V28" s="22"/>
      <c r="W28" s="21"/>
      <c r="X28" s="22"/>
      <c r="Y28" s="22"/>
      <c r="Z28" s="22"/>
      <c r="AA28" s="23"/>
      <c r="AB28" s="22"/>
      <c r="AC28" s="22"/>
      <c r="AD28" s="22"/>
      <c r="AE28" s="22"/>
      <c r="AF28" s="22"/>
      <c r="AG28" s="21"/>
      <c r="AH28" s="22"/>
      <c r="AI28" s="22"/>
      <c r="AJ28" s="22"/>
      <c r="AK28" s="22"/>
      <c r="AL28" s="22"/>
      <c r="AM28" s="22"/>
      <c r="AN28" s="22"/>
      <c r="AO28" s="23"/>
      <c r="AP28" s="22"/>
      <c r="AQ28" s="22"/>
      <c r="AR28" s="22"/>
      <c r="AS28" s="22"/>
      <c r="AT28" s="21"/>
      <c r="AU28" s="22"/>
      <c r="AV28" s="22"/>
      <c r="AW28" s="23"/>
      <c r="AX28" s="21"/>
      <c r="AY28" s="22"/>
      <c r="AZ28" s="22"/>
      <c r="BA28" s="23"/>
      <c r="BB28" s="22"/>
      <c r="BC28" s="22"/>
      <c r="BD28" s="22"/>
      <c r="BE28" s="22"/>
      <c r="BF28" s="23"/>
    </row>
    <row r="29" spans="1:58" hidden="1" x14ac:dyDescent="0.2">
      <c r="A29" s="42" t="s">
        <v>110</v>
      </c>
      <c r="B29" s="43"/>
      <c r="C29" s="44"/>
      <c r="D29" s="45"/>
      <c r="E29" s="45"/>
      <c r="F29" s="45"/>
      <c r="G29" s="46"/>
      <c r="H29" s="45"/>
      <c r="I29" s="45"/>
      <c r="J29" s="45"/>
      <c r="K29" s="45"/>
      <c r="L29" s="45"/>
      <c r="M29" s="44"/>
      <c r="N29" s="45"/>
      <c r="O29" s="45"/>
      <c r="P29" s="45"/>
      <c r="Q29" s="46"/>
      <c r="R29" s="45"/>
      <c r="S29" s="45"/>
      <c r="T29" s="45"/>
      <c r="U29" s="45"/>
      <c r="V29" s="45"/>
      <c r="W29" s="44"/>
      <c r="X29" s="45"/>
      <c r="Y29" s="45"/>
      <c r="Z29" s="45"/>
      <c r="AA29" s="46"/>
      <c r="AB29" s="45"/>
      <c r="AC29" s="45"/>
      <c r="AD29" s="45"/>
      <c r="AE29" s="45"/>
      <c r="AF29" s="45"/>
      <c r="AG29" s="44"/>
      <c r="AH29" s="45"/>
      <c r="AI29" s="45"/>
      <c r="AJ29" s="45"/>
      <c r="AK29" s="45"/>
      <c r="AL29" s="45"/>
      <c r="AM29" s="45"/>
      <c r="AN29" s="45"/>
      <c r="AO29" s="46"/>
      <c r="AP29" s="45"/>
      <c r="AQ29" s="45"/>
      <c r="AR29" s="45"/>
      <c r="AS29" s="45"/>
      <c r="AT29" s="44"/>
      <c r="AU29" s="45"/>
      <c r="AV29" s="45"/>
      <c r="AW29" s="46"/>
      <c r="AX29" s="44"/>
      <c r="AY29" s="45"/>
      <c r="AZ29" s="45"/>
      <c r="BA29" s="46"/>
      <c r="BB29" s="45"/>
      <c r="BC29" s="45"/>
      <c r="BD29" s="45"/>
      <c r="BE29" s="45"/>
      <c r="BF29" s="46"/>
    </row>
    <row r="30" spans="1:58" hidden="1" x14ac:dyDescent="0.2">
      <c r="A30" s="28"/>
      <c r="B30" s="29"/>
      <c r="C30" s="34"/>
      <c r="D30" s="35"/>
      <c r="E30" s="35"/>
      <c r="F30" s="35"/>
      <c r="G30" s="36"/>
      <c r="H30" s="35"/>
      <c r="I30" s="35"/>
      <c r="J30" s="35"/>
      <c r="K30" s="35"/>
      <c r="L30" s="35"/>
      <c r="M30" s="34"/>
      <c r="N30" s="35"/>
      <c r="O30" s="35"/>
      <c r="P30" s="35"/>
      <c r="Q30" s="36"/>
      <c r="R30" s="35"/>
      <c r="S30" s="35"/>
      <c r="T30" s="35"/>
      <c r="U30" s="35"/>
      <c r="V30" s="35"/>
      <c r="W30" s="34"/>
      <c r="X30" s="35"/>
      <c r="Y30" s="35"/>
      <c r="Z30" s="35"/>
      <c r="AA30" s="36"/>
      <c r="AB30" s="35"/>
      <c r="AC30" s="35"/>
      <c r="AD30" s="35"/>
      <c r="AE30" s="35"/>
      <c r="AF30" s="35"/>
      <c r="AG30" s="34"/>
      <c r="AH30" s="35"/>
      <c r="AI30" s="35"/>
      <c r="AJ30" s="35"/>
      <c r="AK30" s="35"/>
      <c r="AL30" s="35"/>
      <c r="AM30" s="35"/>
      <c r="AN30" s="35"/>
      <c r="AO30" s="36"/>
      <c r="AP30" s="35"/>
      <c r="AQ30" s="35"/>
      <c r="AR30" s="35"/>
      <c r="AS30" s="35"/>
      <c r="AT30" s="34"/>
      <c r="AU30" s="35"/>
      <c r="AV30" s="35"/>
      <c r="AW30" s="36"/>
      <c r="AX30" s="34"/>
      <c r="AY30" s="35"/>
      <c r="AZ30" s="35"/>
      <c r="BA30" s="36"/>
      <c r="BB30" s="35"/>
      <c r="BC30" s="35"/>
      <c r="BD30" s="35"/>
      <c r="BE30" s="35"/>
      <c r="BF30" s="36"/>
    </row>
    <row r="31" spans="1:58" hidden="1" x14ac:dyDescent="0.2">
      <c r="A31" s="47" t="s">
        <v>109</v>
      </c>
      <c r="B31" s="48"/>
      <c r="C31" s="49"/>
      <c r="D31" s="50"/>
      <c r="E31" s="50"/>
      <c r="F31" s="50"/>
      <c r="G31" s="51"/>
      <c r="H31" s="50"/>
      <c r="I31" s="50"/>
      <c r="J31" s="50"/>
      <c r="K31" s="50"/>
      <c r="L31" s="50"/>
      <c r="M31" s="49"/>
      <c r="N31" s="50"/>
      <c r="O31" s="50"/>
      <c r="P31" s="50"/>
      <c r="Q31" s="51"/>
      <c r="R31" s="50"/>
      <c r="S31" s="50"/>
      <c r="T31" s="50"/>
      <c r="U31" s="50"/>
      <c r="V31" s="50"/>
      <c r="W31" s="49"/>
      <c r="X31" s="50"/>
      <c r="Y31" s="50"/>
      <c r="Z31" s="50"/>
      <c r="AA31" s="51"/>
      <c r="AB31" s="50"/>
      <c r="AC31" s="50"/>
      <c r="AD31" s="50"/>
      <c r="AE31" s="50"/>
      <c r="AF31" s="50"/>
      <c r="AG31" s="49"/>
      <c r="AH31" s="50"/>
      <c r="AI31" s="50"/>
      <c r="AJ31" s="50"/>
      <c r="AK31" s="50"/>
      <c r="AL31" s="50"/>
      <c r="AM31" s="50"/>
      <c r="AN31" s="50"/>
      <c r="AO31" s="51"/>
      <c r="AP31" s="50"/>
      <c r="AQ31" s="50"/>
      <c r="AR31" s="50"/>
      <c r="AS31" s="50"/>
      <c r="AT31" s="49"/>
      <c r="AU31" s="50"/>
      <c r="AV31" s="50"/>
      <c r="AW31" s="51"/>
      <c r="AX31" s="49"/>
      <c r="AY31" s="50"/>
      <c r="AZ31" s="50"/>
      <c r="BA31" s="51"/>
      <c r="BB31" s="50"/>
      <c r="BC31" s="50"/>
      <c r="BD31" s="50"/>
      <c r="BE31" s="50"/>
      <c r="BF31" s="51"/>
    </row>
    <row r="32" spans="1:58" hidden="1" x14ac:dyDescent="0.2">
      <c r="A32" s="30" t="s">
        <v>108</v>
      </c>
      <c r="B32" s="31" t="s">
        <v>102</v>
      </c>
      <c r="C32" s="21"/>
      <c r="D32" s="22"/>
      <c r="E32" s="22"/>
      <c r="F32" s="22"/>
      <c r="G32" s="23"/>
      <c r="H32" s="22"/>
      <c r="I32" s="22"/>
      <c r="J32" s="22"/>
      <c r="K32" s="22"/>
      <c r="L32" s="22"/>
      <c r="M32" s="21"/>
      <c r="N32" s="22"/>
      <c r="O32" s="22"/>
      <c r="P32" s="22"/>
      <c r="Q32" s="23"/>
      <c r="R32" s="22"/>
      <c r="S32" s="22"/>
      <c r="T32" s="22"/>
      <c r="U32" s="22"/>
      <c r="V32" s="22"/>
      <c r="W32" s="21"/>
      <c r="X32" s="22"/>
      <c r="Y32" s="22"/>
      <c r="Z32" s="22"/>
      <c r="AA32" s="23"/>
      <c r="AB32" s="22"/>
      <c r="AC32" s="22"/>
      <c r="AD32" s="22"/>
      <c r="AE32" s="22"/>
      <c r="AF32" s="22"/>
      <c r="AG32" s="21"/>
      <c r="AH32" s="22"/>
      <c r="AI32" s="22"/>
      <c r="AJ32" s="22"/>
      <c r="AK32" s="22"/>
      <c r="AL32" s="22"/>
      <c r="AM32" s="22"/>
      <c r="AN32" s="22"/>
      <c r="AO32" s="23"/>
      <c r="AP32" s="22"/>
      <c r="AQ32" s="22"/>
      <c r="AR32" s="22"/>
      <c r="AS32" s="22"/>
      <c r="AT32" s="21"/>
      <c r="AU32" s="22"/>
      <c r="AV32" s="22"/>
      <c r="AW32" s="23"/>
      <c r="AX32" s="21"/>
      <c r="AY32" s="22"/>
      <c r="AZ32" s="22"/>
      <c r="BA32" s="23"/>
      <c r="BB32" s="22"/>
      <c r="BC32" s="22"/>
      <c r="BD32" s="22"/>
      <c r="BE32" s="22"/>
      <c r="BF32" s="23"/>
    </row>
    <row r="33" spans="1:58" hidden="1" x14ac:dyDescent="0.2">
      <c r="A33" s="30"/>
      <c r="B33" s="31" t="s">
        <v>101</v>
      </c>
      <c r="C33" s="21"/>
      <c r="D33" s="22"/>
      <c r="E33" s="22"/>
      <c r="F33" s="22"/>
      <c r="G33" s="23"/>
      <c r="H33" s="22"/>
      <c r="I33" s="22"/>
      <c r="J33" s="22"/>
      <c r="K33" s="22"/>
      <c r="L33" s="22"/>
      <c r="M33" s="21"/>
      <c r="N33" s="22"/>
      <c r="O33" s="22"/>
      <c r="P33" s="22"/>
      <c r="Q33" s="23"/>
      <c r="R33" s="22"/>
      <c r="S33" s="22"/>
      <c r="T33" s="22"/>
      <c r="U33" s="22"/>
      <c r="V33" s="22"/>
      <c r="W33" s="21"/>
      <c r="X33" s="22"/>
      <c r="Y33" s="22"/>
      <c r="Z33" s="22"/>
      <c r="AA33" s="23"/>
      <c r="AB33" s="22"/>
      <c r="AC33" s="22"/>
      <c r="AD33" s="22"/>
      <c r="AE33" s="22"/>
      <c r="AF33" s="22"/>
      <c r="AG33" s="21"/>
      <c r="AH33" s="22"/>
      <c r="AI33" s="22"/>
      <c r="AJ33" s="22"/>
      <c r="AK33" s="22"/>
      <c r="AL33" s="22"/>
      <c r="AM33" s="22"/>
      <c r="AN33" s="22"/>
      <c r="AO33" s="23"/>
      <c r="AP33" s="22"/>
      <c r="AQ33" s="22"/>
      <c r="AR33" s="22"/>
      <c r="AS33" s="22"/>
      <c r="AT33" s="21"/>
      <c r="AU33" s="22"/>
      <c r="AV33" s="22"/>
      <c r="AW33" s="23"/>
      <c r="AX33" s="21"/>
      <c r="AY33" s="22"/>
      <c r="AZ33" s="22"/>
      <c r="BA33" s="23"/>
      <c r="BB33" s="22"/>
      <c r="BC33" s="22"/>
      <c r="BD33" s="22"/>
      <c r="BE33" s="22"/>
      <c r="BF33" s="23"/>
    </row>
    <row r="34" spans="1:58" hidden="1" x14ac:dyDescent="0.2">
      <c r="A34" s="30" t="s">
        <v>104</v>
      </c>
      <c r="B34" s="31"/>
      <c r="C34" s="95"/>
      <c r="D34" s="91"/>
      <c r="E34" s="91"/>
      <c r="F34" s="91"/>
      <c r="G34" s="92"/>
      <c r="H34" s="91"/>
      <c r="I34" s="91"/>
      <c r="J34" s="91"/>
      <c r="K34" s="91"/>
      <c r="L34" s="91"/>
      <c r="M34" s="95"/>
      <c r="N34" s="91"/>
      <c r="O34" s="91"/>
      <c r="P34" s="91"/>
      <c r="Q34" s="92"/>
      <c r="R34" s="91"/>
      <c r="S34" s="91"/>
      <c r="T34" s="91"/>
      <c r="U34" s="91"/>
      <c r="V34" s="91"/>
      <c r="W34" s="95"/>
      <c r="X34" s="91"/>
      <c r="Y34" s="91"/>
      <c r="Z34" s="91"/>
      <c r="AA34" s="92"/>
      <c r="AB34" s="91"/>
      <c r="AC34" s="91"/>
      <c r="AD34" s="91"/>
      <c r="AE34" s="91"/>
      <c r="AF34" s="91"/>
      <c r="AG34" s="95"/>
      <c r="AH34" s="91"/>
      <c r="AI34" s="91"/>
      <c r="AJ34" s="91"/>
      <c r="AK34" s="91"/>
      <c r="AL34" s="91"/>
      <c r="AM34" s="91"/>
      <c r="AN34" s="91"/>
      <c r="AO34" s="92"/>
      <c r="AP34" s="91"/>
      <c r="AQ34" s="91"/>
      <c r="AR34" s="91"/>
      <c r="AS34" s="91"/>
      <c r="AT34" s="95"/>
      <c r="AU34" s="91"/>
      <c r="AV34" s="91"/>
      <c r="AW34" s="92"/>
      <c r="AX34" s="95"/>
      <c r="AY34" s="91"/>
      <c r="AZ34" s="91"/>
      <c r="BA34" s="92"/>
      <c r="BB34" s="91"/>
      <c r="BC34" s="91"/>
      <c r="BD34" s="91"/>
      <c r="BE34" s="91"/>
      <c r="BF34" s="92"/>
    </row>
    <row r="35" spans="1:58" hidden="1" x14ac:dyDescent="0.2">
      <c r="A35" s="30" t="s">
        <v>107</v>
      </c>
      <c r="B35" s="31" t="s">
        <v>102</v>
      </c>
      <c r="C35" s="21"/>
      <c r="D35" s="22"/>
      <c r="E35" s="22"/>
      <c r="F35" s="22"/>
      <c r="G35" s="23"/>
      <c r="H35" s="22"/>
      <c r="I35" s="22"/>
      <c r="J35" s="22"/>
      <c r="K35" s="22"/>
      <c r="L35" s="22"/>
      <c r="M35" s="21"/>
      <c r="N35" s="22"/>
      <c r="O35" s="22"/>
      <c r="P35" s="22"/>
      <c r="Q35" s="23"/>
      <c r="R35" s="22"/>
      <c r="S35" s="22"/>
      <c r="T35" s="22"/>
      <c r="U35" s="22"/>
      <c r="V35" s="22"/>
      <c r="W35" s="21"/>
      <c r="X35" s="22"/>
      <c r="Y35" s="22"/>
      <c r="Z35" s="22"/>
      <c r="AA35" s="23"/>
      <c r="AB35" s="22"/>
      <c r="AC35" s="22"/>
      <c r="AD35" s="22"/>
      <c r="AE35" s="22"/>
      <c r="AF35" s="22"/>
      <c r="AG35" s="21"/>
      <c r="AH35" s="22"/>
      <c r="AI35" s="22"/>
      <c r="AJ35" s="22"/>
      <c r="AK35" s="22"/>
      <c r="AL35" s="22"/>
      <c r="AM35" s="22"/>
      <c r="AN35" s="22"/>
      <c r="AO35" s="23"/>
      <c r="AP35" s="22"/>
      <c r="AQ35" s="22"/>
      <c r="AR35" s="22"/>
      <c r="AS35" s="22"/>
      <c r="AT35" s="21"/>
      <c r="AU35" s="22"/>
      <c r="AV35" s="22"/>
      <c r="AW35" s="23"/>
      <c r="AX35" s="21"/>
      <c r="AY35" s="22"/>
      <c r="AZ35" s="22"/>
      <c r="BA35" s="23"/>
      <c r="BB35" s="22"/>
      <c r="BC35" s="22"/>
      <c r="BD35" s="22"/>
      <c r="BE35" s="22"/>
      <c r="BF35" s="23"/>
    </row>
    <row r="36" spans="1:58" hidden="1" x14ac:dyDescent="0.2">
      <c r="A36" s="30"/>
      <c r="B36" s="31" t="s">
        <v>101</v>
      </c>
      <c r="C36" s="21"/>
      <c r="D36" s="22"/>
      <c r="E36" s="22"/>
      <c r="F36" s="22"/>
      <c r="G36" s="23"/>
      <c r="H36" s="22"/>
      <c r="I36" s="22"/>
      <c r="J36" s="22"/>
      <c r="K36" s="22"/>
      <c r="L36" s="22"/>
      <c r="M36" s="21"/>
      <c r="N36" s="22"/>
      <c r="O36" s="22"/>
      <c r="P36" s="22"/>
      <c r="Q36" s="23"/>
      <c r="R36" s="22"/>
      <c r="S36" s="22"/>
      <c r="T36" s="22"/>
      <c r="U36" s="22"/>
      <c r="V36" s="22"/>
      <c r="W36" s="21"/>
      <c r="X36" s="22"/>
      <c r="Y36" s="22"/>
      <c r="Z36" s="22"/>
      <c r="AA36" s="23"/>
      <c r="AB36" s="22"/>
      <c r="AC36" s="22"/>
      <c r="AD36" s="22"/>
      <c r="AE36" s="22"/>
      <c r="AF36" s="22"/>
      <c r="AG36" s="21"/>
      <c r="AH36" s="22"/>
      <c r="AI36" s="22"/>
      <c r="AJ36" s="22"/>
      <c r="AK36" s="22"/>
      <c r="AL36" s="22"/>
      <c r="AM36" s="22"/>
      <c r="AN36" s="22"/>
      <c r="AO36" s="23"/>
      <c r="AP36" s="22"/>
      <c r="AQ36" s="22"/>
      <c r="AR36" s="22"/>
      <c r="AS36" s="22"/>
      <c r="AT36" s="21"/>
      <c r="AU36" s="22"/>
      <c r="AV36" s="22"/>
      <c r="AW36" s="23"/>
      <c r="AX36" s="21"/>
      <c r="AY36" s="22"/>
      <c r="AZ36" s="22"/>
      <c r="BA36" s="23"/>
      <c r="BB36" s="22"/>
      <c r="BC36" s="22"/>
      <c r="BD36" s="22"/>
      <c r="BE36" s="22"/>
      <c r="BF36" s="23"/>
    </row>
    <row r="37" spans="1:58" hidden="1" x14ac:dyDescent="0.2">
      <c r="A37" s="30" t="s">
        <v>104</v>
      </c>
      <c r="B37" s="31"/>
      <c r="C37" s="95"/>
      <c r="D37" s="91"/>
      <c r="E37" s="91"/>
      <c r="F37" s="91"/>
      <c r="G37" s="92"/>
      <c r="H37" s="91"/>
      <c r="I37" s="91"/>
      <c r="J37" s="91"/>
      <c r="K37" s="91"/>
      <c r="L37" s="91"/>
      <c r="M37" s="95"/>
      <c r="N37" s="91"/>
      <c r="O37" s="91"/>
      <c r="P37" s="91"/>
      <c r="Q37" s="92"/>
      <c r="R37" s="91"/>
      <c r="S37" s="91"/>
      <c r="T37" s="91"/>
      <c r="U37" s="91"/>
      <c r="V37" s="91"/>
      <c r="W37" s="95"/>
      <c r="X37" s="91"/>
      <c r="Y37" s="91"/>
      <c r="Z37" s="91"/>
      <c r="AA37" s="92"/>
      <c r="AB37" s="91"/>
      <c r="AC37" s="91"/>
      <c r="AD37" s="91"/>
      <c r="AE37" s="91"/>
      <c r="AF37" s="91"/>
      <c r="AG37" s="95"/>
      <c r="AH37" s="91"/>
      <c r="AI37" s="91"/>
      <c r="AJ37" s="91"/>
      <c r="AK37" s="91"/>
      <c r="AL37" s="91"/>
      <c r="AM37" s="91"/>
      <c r="AN37" s="91"/>
      <c r="AO37" s="92"/>
      <c r="AP37" s="91"/>
      <c r="AQ37" s="91"/>
      <c r="AR37" s="91"/>
      <c r="AS37" s="91"/>
      <c r="AT37" s="95"/>
      <c r="AU37" s="91"/>
      <c r="AV37" s="91"/>
      <c r="AW37" s="92"/>
      <c r="AX37" s="95"/>
      <c r="AY37" s="91"/>
      <c r="AZ37" s="91"/>
      <c r="BA37" s="92"/>
      <c r="BB37" s="91"/>
      <c r="BC37" s="91"/>
      <c r="BD37" s="91"/>
      <c r="BE37" s="91"/>
      <c r="BF37" s="92"/>
    </row>
    <row r="38" spans="1:58" hidden="1" x14ac:dyDescent="0.2">
      <c r="A38" s="30" t="s">
        <v>106</v>
      </c>
      <c r="B38" s="31" t="s">
        <v>102</v>
      </c>
      <c r="C38" s="21"/>
      <c r="D38" s="22"/>
      <c r="E38" s="22"/>
      <c r="F38" s="22"/>
      <c r="G38" s="23"/>
      <c r="H38" s="22"/>
      <c r="I38" s="22"/>
      <c r="J38" s="22"/>
      <c r="K38" s="22"/>
      <c r="L38" s="22"/>
      <c r="M38" s="21"/>
      <c r="N38" s="22"/>
      <c r="O38" s="22"/>
      <c r="P38" s="22"/>
      <c r="Q38" s="23"/>
      <c r="R38" s="22"/>
      <c r="S38" s="22"/>
      <c r="T38" s="22"/>
      <c r="U38" s="22"/>
      <c r="V38" s="22"/>
      <c r="W38" s="21"/>
      <c r="X38" s="22"/>
      <c r="Y38" s="22"/>
      <c r="Z38" s="22"/>
      <c r="AA38" s="23"/>
      <c r="AB38" s="22"/>
      <c r="AC38" s="22"/>
      <c r="AD38" s="22"/>
      <c r="AE38" s="22"/>
      <c r="AF38" s="22"/>
      <c r="AG38" s="21"/>
      <c r="AH38" s="22"/>
      <c r="AI38" s="22"/>
      <c r="AJ38" s="22"/>
      <c r="AK38" s="22"/>
      <c r="AL38" s="22"/>
      <c r="AM38" s="22"/>
      <c r="AN38" s="22"/>
      <c r="AO38" s="23"/>
      <c r="AP38" s="22"/>
      <c r="AQ38" s="22"/>
      <c r="AR38" s="22"/>
      <c r="AS38" s="22"/>
      <c r="AT38" s="21"/>
      <c r="AU38" s="22"/>
      <c r="AV38" s="22"/>
      <c r="AW38" s="23"/>
      <c r="AX38" s="21"/>
      <c r="AY38" s="22"/>
      <c r="AZ38" s="22"/>
      <c r="BA38" s="23"/>
      <c r="BB38" s="22"/>
      <c r="BC38" s="22"/>
      <c r="BD38" s="22"/>
      <c r="BE38" s="22"/>
      <c r="BF38" s="23"/>
    </row>
    <row r="39" spans="1:58" hidden="1" x14ac:dyDescent="0.2">
      <c r="A39" s="30"/>
      <c r="B39" s="31" t="s">
        <v>101</v>
      </c>
      <c r="C39" s="21"/>
      <c r="D39" s="22"/>
      <c r="E39" s="22"/>
      <c r="F39" s="22"/>
      <c r="G39" s="23"/>
      <c r="H39" s="22"/>
      <c r="I39" s="22"/>
      <c r="J39" s="22"/>
      <c r="K39" s="22"/>
      <c r="L39" s="22"/>
      <c r="M39" s="21"/>
      <c r="N39" s="22"/>
      <c r="O39" s="22"/>
      <c r="P39" s="22"/>
      <c r="Q39" s="23"/>
      <c r="R39" s="22"/>
      <c r="S39" s="22"/>
      <c r="T39" s="22"/>
      <c r="U39" s="22"/>
      <c r="V39" s="22"/>
      <c r="W39" s="21"/>
      <c r="X39" s="22"/>
      <c r="Y39" s="22"/>
      <c r="Z39" s="22"/>
      <c r="AA39" s="23"/>
      <c r="AB39" s="22"/>
      <c r="AC39" s="22"/>
      <c r="AD39" s="22"/>
      <c r="AE39" s="22"/>
      <c r="AF39" s="22"/>
      <c r="AG39" s="21"/>
      <c r="AH39" s="22"/>
      <c r="AI39" s="22"/>
      <c r="AJ39" s="22"/>
      <c r="AK39" s="22"/>
      <c r="AL39" s="22"/>
      <c r="AM39" s="22"/>
      <c r="AN39" s="22"/>
      <c r="AO39" s="23"/>
      <c r="AP39" s="22"/>
      <c r="AQ39" s="22"/>
      <c r="AR39" s="22"/>
      <c r="AS39" s="22"/>
      <c r="AT39" s="21"/>
      <c r="AU39" s="22"/>
      <c r="AV39" s="22"/>
      <c r="AW39" s="23"/>
      <c r="AX39" s="21"/>
      <c r="AY39" s="22"/>
      <c r="AZ39" s="22"/>
      <c r="BA39" s="23"/>
      <c r="BB39" s="22"/>
      <c r="BC39" s="22"/>
      <c r="BD39" s="22"/>
      <c r="BE39" s="22"/>
      <c r="BF39" s="23"/>
    </row>
    <row r="40" spans="1:58" hidden="1" x14ac:dyDescent="0.2">
      <c r="A40" s="30" t="s">
        <v>104</v>
      </c>
      <c r="B40" s="31"/>
      <c r="C40" s="95"/>
      <c r="D40" s="91"/>
      <c r="E40" s="91"/>
      <c r="F40" s="91"/>
      <c r="G40" s="92"/>
      <c r="H40" s="91"/>
      <c r="I40" s="91"/>
      <c r="J40" s="91"/>
      <c r="K40" s="91"/>
      <c r="L40" s="91"/>
      <c r="M40" s="95"/>
      <c r="N40" s="91"/>
      <c r="O40" s="91"/>
      <c r="P40" s="91"/>
      <c r="Q40" s="92"/>
      <c r="R40" s="91"/>
      <c r="S40" s="91"/>
      <c r="T40" s="91"/>
      <c r="U40" s="91"/>
      <c r="V40" s="91"/>
      <c r="W40" s="95"/>
      <c r="X40" s="91"/>
      <c r="Y40" s="91"/>
      <c r="Z40" s="91"/>
      <c r="AA40" s="92"/>
      <c r="AB40" s="91"/>
      <c r="AC40" s="91"/>
      <c r="AD40" s="91"/>
      <c r="AE40" s="91"/>
      <c r="AF40" s="91"/>
      <c r="AG40" s="95"/>
      <c r="AH40" s="91"/>
      <c r="AI40" s="91"/>
      <c r="AJ40" s="91"/>
      <c r="AK40" s="91"/>
      <c r="AL40" s="91"/>
      <c r="AM40" s="91"/>
      <c r="AN40" s="91"/>
      <c r="AO40" s="92"/>
      <c r="AP40" s="91"/>
      <c r="AQ40" s="91"/>
      <c r="AR40" s="91"/>
      <c r="AS40" s="91"/>
      <c r="AT40" s="95"/>
      <c r="AU40" s="91"/>
      <c r="AV40" s="91"/>
      <c r="AW40" s="92"/>
      <c r="AX40" s="95"/>
      <c r="AY40" s="91"/>
      <c r="AZ40" s="91"/>
      <c r="BA40" s="92"/>
      <c r="BB40" s="91"/>
      <c r="BC40" s="91"/>
      <c r="BD40" s="91"/>
      <c r="BE40" s="91"/>
      <c r="BF40" s="92"/>
    </row>
    <row r="41" spans="1:58" hidden="1" x14ac:dyDescent="0.2">
      <c r="A41" s="30" t="s">
        <v>105</v>
      </c>
      <c r="B41" s="31" t="s">
        <v>102</v>
      </c>
      <c r="C41" s="24" t="e">
        <f>C35/C32</f>
        <v>#DIV/0!</v>
      </c>
      <c r="D41" s="22"/>
      <c r="E41" s="22"/>
      <c r="F41" s="22"/>
      <c r="G41" s="23"/>
      <c r="H41" s="22"/>
      <c r="I41" s="22"/>
      <c r="J41" s="22"/>
      <c r="K41" s="22"/>
      <c r="L41" s="22"/>
      <c r="M41" s="21"/>
      <c r="N41" s="22"/>
      <c r="O41" s="22"/>
      <c r="P41" s="22"/>
      <c r="Q41" s="23"/>
      <c r="R41" s="22"/>
      <c r="S41" s="22"/>
      <c r="T41" s="22"/>
      <c r="U41" s="22"/>
      <c r="V41" s="22"/>
      <c r="W41" s="21"/>
      <c r="X41" s="22"/>
      <c r="Y41" s="22"/>
      <c r="Z41" s="22"/>
      <c r="AA41" s="23"/>
      <c r="AB41" s="22"/>
      <c r="AC41" s="22"/>
      <c r="AD41" s="22"/>
      <c r="AE41" s="22"/>
      <c r="AF41" s="22"/>
      <c r="AG41" s="21"/>
      <c r="AH41" s="22"/>
      <c r="AI41" s="22"/>
      <c r="AJ41" s="22"/>
      <c r="AK41" s="22"/>
      <c r="AL41" s="22"/>
      <c r="AM41" s="22"/>
      <c r="AN41" s="22"/>
      <c r="AO41" s="23"/>
      <c r="AP41" s="22"/>
      <c r="AQ41" s="22"/>
      <c r="AR41" s="22"/>
      <c r="AS41" s="22"/>
      <c r="AT41" s="21"/>
      <c r="AU41" s="22"/>
      <c r="AV41" s="22"/>
      <c r="AW41" s="23"/>
      <c r="AX41" s="21"/>
      <c r="AY41" s="22"/>
      <c r="AZ41" s="22"/>
      <c r="BA41" s="23"/>
      <c r="BB41" s="22"/>
      <c r="BC41" s="22"/>
      <c r="BD41" s="22"/>
      <c r="BE41" s="22"/>
      <c r="BF41" s="23"/>
    </row>
    <row r="42" spans="1:58" hidden="1" x14ac:dyDescent="0.2">
      <c r="A42" s="30"/>
      <c r="B42" s="31" t="s">
        <v>101</v>
      </c>
      <c r="C42" s="24" t="e">
        <f>C38/C33</f>
        <v>#DIV/0!</v>
      </c>
      <c r="D42" s="22"/>
      <c r="E42" s="22"/>
      <c r="F42" s="22"/>
      <c r="G42" s="23"/>
      <c r="H42" s="22"/>
      <c r="I42" s="22"/>
      <c r="J42" s="22"/>
      <c r="K42" s="22"/>
      <c r="L42" s="22"/>
      <c r="M42" s="21"/>
      <c r="N42" s="22"/>
      <c r="O42" s="22"/>
      <c r="P42" s="22"/>
      <c r="Q42" s="23"/>
      <c r="R42" s="22"/>
      <c r="S42" s="22"/>
      <c r="T42" s="22"/>
      <c r="U42" s="22"/>
      <c r="V42" s="22"/>
      <c r="W42" s="21"/>
      <c r="X42" s="22"/>
      <c r="Y42" s="22"/>
      <c r="Z42" s="22"/>
      <c r="AA42" s="23"/>
      <c r="AB42" s="22"/>
      <c r="AC42" s="22"/>
      <c r="AD42" s="22"/>
      <c r="AE42" s="22"/>
      <c r="AF42" s="22"/>
      <c r="AG42" s="21"/>
      <c r="AH42" s="22"/>
      <c r="AI42" s="22"/>
      <c r="AJ42" s="22"/>
      <c r="AK42" s="22"/>
      <c r="AL42" s="22"/>
      <c r="AM42" s="22"/>
      <c r="AN42" s="22"/>
      <c r="AO42" s="23"/>
      <c r="AP42" s="22"/>
      <c r="AQ42" s="22"/>
      <c r="AR42" s="22"/>
      <c r="AS42" s="22"/>
      <c r="AT42" s="21"/>
      <c r="AU42" s="22"/>
      <c r="AV42" s="22"/>
      <c r="AW42" s="23"/>
      <c r="AX42" s="21"/>
      <c r="AY42" s="22"/>
      <c r="AZ42" s="22"/>
      <c r="BA42" s="23"/>
      <c r="BB42" s="22"/>
      <c r="BC42" s="22"/>
      <c r="BD42" s="22"/>
      <c r="BE42" s="22"/>
      <c r="BF42" s="23"/>
    </row>
    <row r="43" spans="1:58" hidden="1" x14ac:dyDescent="0.2">
      <c r="A43" s="30" t="s">
        <v>104</v>
      </c>
      <c r="B43" s="31"/>
      <c r="C43" s="95"/>
      <c r="D43" s="91"/>
      <c r="E43" s="91"/>
      <c r="F43" s="91"/>
      <c r="G43" s="92"/>
      <c r="H43" s="91"/>
      <c r="I43" s="91"/>
      <c r="J43" s="91"/>
      <c r="K43" s="91"/>
      <c r="L43" s="91"/>
      <c r="M43" s="95"/>
      <c r="N43" s="91"/>
      <c r="O43" s="91"/>
      <c r="P43" s="91"/>
      <c r="Q43" s="92"/>
      <c r="R43" s="91"/>
      <c r="S43" s="91"/>
      <c r="T43" s="91"/>
      <c r="U43" s="91"/>
      <c r="V43" s="91"/>
      <c r="W43" s="95"/>
      <c r="X43" s="91"/>
      <c r="Y43" s="91"/>
      <c r="Z43" s="91"/>
      <c r="AA43" s="92"/>
      <c r="AB43" s="91"/>
      <c r="AC43" s="91"/>
      <c r="AD43" s="91"/>
      <c r="AE43" s="91"/>
      <c r="AF43" s="91"/>
      <c r="AG43" s="95"/>
      <c r="AH43" s="91"/>
      <c r="AI43" s="91"/>
      <c r="AJ43" s="91"/>
      <c r="AK43" s="91"/>
      <c r="AL43" s="91"/>
      <c r="AM43" s="91"/>
      <c r="AN43" s="91"/>
      <c r="AO43" s="92"/>
      <c r="AP43" s="91"/>
      <c r="AQ43" s="91"/>
      <c r="AR43" s="91"/>
      <c r="AS43" s="91"/>
      <c r="AT43" s="95"/>
      <c r="AU43" s="91"/>
      <c r="AV43" s="91"/>
      <c r="AW43" s="92"/>
      <c r="AX43" s="95"/>
      <c r="AY43" s="91"/>
      <c r="AZ43" s="91"/>
      <c r="BA43" s="92"/>
      <c r="BB43" s="91"/>
      <c r="BC43" s="91"/>
      <c r="BD43" s="91"/>
      <c r="BE43" s="91"/>
      <c r="BF43" s="92"/>
    </row>
    <row r="44" spans="1:58" hidden="1" x14ac:dyDescent="0.2">
      <c r="A44" s="30" t="s">
        <v>103</v>
      </c>
      <c r="B44" s="31" t="s">
        <v>102</v>
      </c>
      <c r="C44" s="24" t="e">
        <f>C38/C32</f>
        <v>#DIV/0!</v>
      </c>
      <c r="D44" s="22"/>
      <c r="E44" s="22"/>
      <c r="F44" s="22"/>
      <c r="G44" s="23"/>
      <c r="H44" s="22"/>
      <c r="I44" s="22"/>
      <c r="J44" s="22"/>
      <c r="K44" s="22"/>
      <c r="L44" s="22"/>
      <c r="M44" s="21"/>
      <c r="N44" s="22"/>
      <c r="O44" s="22"/>
      <c r="P44" s="22"/>
      <c r="Q44" s="23"/>
      <c r="R44" s="22"/>
      <c r="S44" s="22"/>
      <c r="T44" s="22"/>
      <c r="U44" s="22"/>
      <c r="V44" s="22"/>
      <c r="W44" s="21"/>
      <c r="X44" s="22"/>
      <c r="Y44" s="22"/>
      <c r="Z44" s="22"/>
      <c r="AA44" s="23"/>
      <c r="AB44" s="22"/>
      <c r="AC44" s="22"/>
      <c r="AD44" s="22"/>
      <c r="AE44" s="22"/>
      <c r="AF44" s="22"/>
      <c r="AG44" s="21"/>
      <c r="AH44" s="22"/>
      <c r="AI44" s="22"/>
      <c r="AJ44" s="22"/>
      <c r="AK44" s="22"/>
      <c r="AL44" s="22"/>
      <c r="AM44" s="22"/>
      <c r="AN44" s="22"/>
      <c r="AO44" s="23"/>
      <c r="AP44" s="22"/>
      <c r="AQ44" s="22"/>
      <c r="AR44" s="22"/>
      <c r="AS44" s="22"/>
      <c r="AT44" s="21"/>
      <c r="AU44" s="22"/>
      <c r="AV44" s="22"/>
      <c r="AW44" s="23"/>
      <c r="AX44" s="21"/>
      <c r="AY44" s="22"/>
      <c r="AZ44" s="22"/>
      <c r="BA44" s="23"/>
      <c r="BB44" s="22"/>
      <c r="BC44" s="22"/>
      <c r="BD44" s="22"/>
      <c r="BE44" s="22"/>
      <c r="BF44" s="23"/>
    </row>
    <row r="45" spans="1:58" hidden="1" x14ac:dyDescent="0.2">
      <c r="A45" s="30"/>
      <c r="B45" s="31" t="s">
        <v>101</v>
      </c>
      <c r="C45" s="24" t="e">
        <f>C39/C33</f>
        <v>#DIV/0!</v>
      </c>
      <c r="D45" s="22"/>
      <c r="E45" s="22"/>
      <c r="F45" s="22"/>
      <c r="G45" s="23"/>
      <c r="H45" s="22"/>
      <c r="I45" s="22"/>
      <c r="J45" s="22"/>
      <c r="K45" s="22"/>
      <c r="L45" s="22"/>
      <c r="M45" s="21"/>
      <c r="N45" s="22"/>
      <c r="O45" s="22"/>
      <c r="P45" s="22"/>
      <c r="Q45" s="23"/>
      <c r="R45" s="22"/>
      <c r="S45" s="22"/>
      <c r="T45" s="22"/>
      <c r="U45" s="22"/>
      <c r="V45" s="22"/>
      <c r="W45" s="21"/>
      <c r="X45" s="22"/>
      <c r="Y45" s="22"/>
      <c r="Z45" s="22"/>
      <c r="AA45" s="23"/>
      <c r="AB45" s="22"/>
      <c r="AC45" s="22"/>
      <c r="AD45" s="22"/>
      <c r="AE45" s="22"/>
      <c r="AF45" s="22"/>
      <c r="AG45" s="21"/>
      <c r="AH45" s="22"/>
      <c r="AI45" s="22"/>
      <c r="AJ45" s="22"/>
      <c r="AK45" s="22"/>
      <c r="AL45" s="22"/>
      <c r="AM45" s="22"/>
      <c r="AN45" s="22"/>
      <c r="AO45" s="23"/>
      <c r="AP45" s="22"/>
      <c r="AQ45" s="22"/>
      <c r="AR45" s="22"/>
      <c r="AS45" s="22"/>
      <c r="AT45" s="21"/>
      <c r="AU45" s="22"/>
      <c r="AV45" s="22"/>
      <c r="AW45" s="23"/>
      <c r="AX45" s="21"/>
      <c r="AY45" s="22"/>
      <c r="AZ45" s="22"/>
      <c r="BA45" s="23"/>
      <c r="BB45" s="22"/>
      <c r="BC45" s="22"/>
      <c r="BD45" s="22"/>
      <c r="BE45" s="22"/>
      <c r="BF45" s="23"/>
    </row>
    <row r="46" spans="1:58" hidden="1" x14ac:dyDescent="0.2">
      <c r="A46" s="28"/>
      <c r="B46" s="29"/>
      <c r="C46" s="34"/>
      <c r="D46" s="35"/>
      <c r="E46" s="35"/>
      <c r="F46" s="35"/>
      <c r="G46" s="36"/>
      <c r="H46" s="35"/>
      <c r="I46" s="35"/>
      <c r="J46" s="35"/>
      <c r="K46" s="35"/>
      <c r="L46" s="35"/>
      <c r="M46" s="34"/>
      <c r="N46" s="35"/>
      <c r="O46" s="35"/>
      <c r="P46" s="35"/>
      <c r="Q46" s="36"/>
      <c r="R46" s="35"/>
      <c r="S46" s="35"/>
      <c r="T46" s="35"/>
      <c r="U46" s="35"/>
      <c r="V46" s="35"/>
      <c r="W46" s="34"/>
      <c r="X46" s="35"/>
      <c r="Y46" s="35"/>
      <c r="Z46" s="35"/>
      <c r="AA46" s="36"/>
      <c r="AB46" s="35"/>
      <c r="AC46" s="35"/>
      <c r="AD46" s="35"/>
      <c r="AE46" s="35"/>
      <c r="AF46" s="35"/>
      <c r="AG46" s="34"/>
      <c r="AH46" s="35"/>
      <c r="AI46" s="35"/>
      <c r="AJ46" s="35"/>
      <c r="AK46" s="35"/>
      <c r="AL46" s="35"/>
      <c r="AM46" s="35"/>
      <c r="AN46" s="35"/>
      <c r="AO46" s="36"/>
      <c r="AP46" s="35"/>
      <c r="AQ46" s="35"/>
      <c r="AR46" s="35"/>
      <c r="AS46" s="35"/>
      <c r="AT46" s="34"/>
      <c r="AU46" s="35"/>
      <c r="AV46" s="35"/>
      <c r="AW46" s="36"/>
      <c r="AX46" s="34"/>
      <c r="AY46" s="35"/>
      <c r="AZ46" s="35"/>
      <c r="BA46" s="36"/>
      <c r="BB46" s="35"/>
      <c r="BC46" s="35"/>
      <c r="BD46" s="35"/>
      <c r="BE46" s="35"/>
      <c r="BF46" s="36"/>
    </row>
    <row r="47" spans="1:58" hidden="1" x14ac:dyDescent="0.2">
      <c r="A47" s="47" t="s">
        <v>100</v>
      </c>
      <c r="B47" s="48"/>
      <c r="C47" s="49"/>
      <c r="D47" s="50"/>
      <c r="E47" s="50"/>
      <c r="F47" s="50"/>
      <c r="G47" s="51"/>
      <c r="H47" s="50"/>
      <c r="I47" s="50"/>
      <c r="J47" s="50"/>
      <c r="K47" s="50"/>
      <c r="L47" s="50"/>
      <c r="M47" s="49"/>
      <c r="N47" s="50"/>
      <c r="O47" s="50"/>
      <c r="P47" s="50"/>
      <c r="Q47" s="51"/>
      <c r="R47" s="50"/>
      <c r="S47" s="50"/>
      <c r="T47" s="50"/>
      <c r="U47" s="50"/>
      <c r="V47" s="50"/>
      <c r="W47" s="49"/>
      <c r="X47" s="50"/>
      <c r="Y47" s="50"/>
      <c r="Z47" s="50"/>
      <c r="AA47" s="51"/>
      <c r="AB47" s="50"/>
      <c r="AC47" s="50"/>
      <c r="AD47" s="50"/>
      <c r="AE47" s="50"/>
      <c r="AF47" s="50"/>
      <c r="AG47" s="49"/>
      <c r="AH47" s="50"/>
      <c r="AI47" s="50"/>
      <c r="AJ47" s="50"/>
      <c r="AK47" s="50"/>
      <c r="AL47" s="50"/>
      <c r="AM47" s="50"/>
      <c r="AN47" s="50"/>
      <c r="AO47" s="51"/>
      <c r="AP47" s="50"/>
      <c r="AQ47" s="50"/>
      <c r="AR47" s="50"/>
      <c r="AS47" s="50"/>
      <c r="AT47" s="49"/>
      <c r="AU47" s="50"/>
      <c r="AV47" s="50"/>
      <c r="AW47" s="51"/>
      <c r="AX47" s="49"/>
      <c r="AY47" s="50"/>
      <c r="AZ47" s="50"/>
      <c r="BA47" s="51"/>
      <c r="BB47" s="50"/>
      <c r="BC47" s="50"/>
      <c r="BD47" s="50"/>
      <c r="BE47" s="50"/>
      <c r="BF47" s="51"/>
    </row>
    <row r="48" spans="1:58" hidden="1" x14ac:dyDescent="0.2">
      <c r="A48" s="30"/>
      <c r="B48" s="31"/>
      <c r="C48" s="95"/>
      <c r="D48" s="91"/>
      <c r="E48" s="91"/>
      <c r="F48" s="91"/>
      <c r="G48" s="92"/>
      <c r="H48" s="91"/>
      <c r="I48" s="91"/>
      <c r="J48" s="91"/>
      <c r="K48" s="91"/>
      <c r="L48" s="91"/>
      <c r="M48" s="95"/>
      <c r="N48" s="91"/>
      <c r="O48" s="91"/>
      <c r="P48" s="91"/>
      <c r="Q48" s="92"/>
      <c r="R48" s="91"/>
      <c r="S48" s="91"/>
      <c r="T48" s="91"/>
      <c r="U48" s="91"/>
      <c r="V48" s="91"/>
      <c r="W48" s="95"/>
      <c r="X48" s="91"/>
      <c r="Y48" s="91"/>
      <c r="Z48" s="91"/>
      <c r="AA48" s="92"/>
      <c r="AB48" s="91"/>
      <c r="AC48" s="91"/>
      <c r="AD48" s="91"/>
      <c r="AE48" s="91"/>
      <c r="AF48" s="91"/>
      <c r="AG48" s="95"/>
      <c r="AH48" s="91"/>
      <c r="AI48" s="91"/>
      <c r="AJ48" s="91"/>
      <c r="AK48" s="91"/>
      <c r="AL48" s="91"/>
      <c r="AM48" s="91"/>
      <c r="AN48" s="91"/>
      <c r="AO48" s="92"/>
      <c r="AP48" s="91"/>
      <c r="AQ48" s="91"/>
      <c r="AR48" s="91"/>
      <c r="AS48" s="91"/>
      <c r="AT48" s="95"/>
      <c r="AU48" s="91"/>
      <c r="AV48" s="91"/>
      <c r="AW48" s="92"/>
      <c r="AX48" s="95"/>
      <c r="AY48" s="91"/>
      <c r="AZ48" s="91"/>
      <c r="BA48" s="92"/>
      <c r="BB48" s="91"/>
      <c r="BC48" s="91"/>
      <c r="BD48" s="91"/>
      <c r="BE48" s="91"/>
      <c r="BF48" s="92"/>
    </row>
    <row r="49" spans="1:58" hidden="1" x14ac:dyDescent="0.2">
      <c r="A49" s="30"/>
      <c r="B49" s="31"/>
      <c r="C49" s="21"/>
      <c r="D49" s="22"/>
      <c r="E49" s="22"/>
      <c r="F49" s="22"/>
      <c r="G49" s="23"/>
      <c r="H49" s="22"/>
      <c r="I49" s="22"/>
      <c r="J49" s="22"/>
      <c r="K49" s="22"/>
      <c r="L49" s="22"/>
      <c r="M49" s="21"/>
      <c r="N49" s="22"/>
      <c r="O49" s="22"/>
      <c r="P49" s="22"/>
      <c r="Q49" s="23"/>
      <c r="R49" s="22"/>
      <c r="S49" s="22"/>
      <c r="T49" s="22"/>
      <c r="U49" s="22"/>
      <c r="V49" s="22"/>
      <c r="W49" s="21"/>
      <c r="X49" s="22"/>
      <c r="Y49" s="22"/>
      <c r="Z49" s="22"/>
      <c r="AA49" s="23"/>
      <c r="AB49" s="22"/>
      <c r="AC49" s="22"/>
      <c r="AD49" s="22"/>
      <c r="AE49" s="22"/>
      <c r="AF49" s="22"/>
      <c r="AG49" s="21"/>
      <c r="AH49" s="22"/>
      <c r="AI49" s="22"/>
      <c r="AJ49" s="22"/>
      <c r="AK49" s="22"/>
      <c r="AL49" s="22"/>
      <c r="AM49" s="22"/>
      <c r="AN49" s="22"/>
      <c r="AO49" s="23"/>
      <c r="AP49" s="22"/>
      <c r="AQ49" s="22"/>
      <c r="AR49" s="22"/>
      <c r="AS49" s="22"/>
      <c r="AT49" s="21"/>
      <c r="AU49" s="22"/>
      <c r="AV49" s="22"/>
      <c r="AW49" s="23"/>
      <c r="AX49" s="21"/>
      <c r="AY49" s="22"/>
      <c r="AZ49" s="22"/>
      <c r="BA49" s="23"/>
      <c r="BB49" s="22"/>
      <c r="BC49" s="22"/>
      <c r="BD49" s="22"/>
      <c r="BE49" s="22"/>
      <c r="BF49" s="23"/>
    </row>
    <row r="50" spans="1:58" hidden="1" x14ac:dyDescent="0.2">
      <c r="A50" s="30"/>
      <c r="B50" s="31"/>
      <c r="C50" s="21"/>
      <c r="D50" s="22"/>
      <c r="E50" s="22"/>
      <c r="F50" s="22"/>
      <c r="G50" s="23"/>
      <c r="H50" s="22"/>
      <c r="I50" s="22"/>
      <c r="J50" s="22"/>
      <c r="K50" s="22"/>
      <c r="L50" s="22"/>
      <c r="M50" s="21"/>
      <c r="N50" s="22"/>
      <c r="O50" s="22"/>
      <c r="P50" s="22"/>
      <c r="Q50" s="23"/>
      <c r="R50" s="22"/>
      <c r="S50" s="22"/>
      <c r="T50" s="22"/>
      <c r="U50" s="22"/>
      <c r="V50" s="22"/>
      <c r="W50" s="21"/>
      <c r="X50" s="22"/>
      <c r="Y50" s="22"/>
      <c r="Z50" s="22"/>
      <c r="AA50" s="23"/>
      <c r="AB50" s="22"/>
      <c r="AC50" s="22"/>
      <c r="AD50" s="22"/>
      <c r="AE50" s="22"/>
      <c r="AF50" s="22"/>
      <c r="AG50" s="21"/>
      <c r="AH50" s="22"/>
      <c r="AI50" s="22"/>
      <c r="AJ50" s="22"/>
      <c r="AK50" s="22"/>
      <c r="AL50" s="22"/>
      <c r="AM50" s="22"/>
      <c r="AN50" s="22"/>
      <c r="AO50" s="23"/>
      <c r="AP50" s="22"/>
      <c r="AQ50" s="22"/>
      <c r="AR50" s="22"/>
      <c r="AS50" s="22"/>
      <c r="AT50" s="21"/>
      <c r="AU50" s="22"/>
      <c r="AV50" s="22"/>
      <c r="AW50" s="23"/>
      <c r="AX50" s="21"/>
      <c r="AY50" s="22"/>
      <c r="AZ50" s="22"/>
      <c r="BA50" s="23"/>
      <c r="BB50" s="22"/>
      <c r="BC50" s="22"/>
      <c r="BD50" s="22"/>
      <c r="BE50" s="22"/>
      <c r="BF50" s="23"/>
    </row>
    <row r="51" spans="1:58" hidden="1" x14ac:dyDescent="0.2">
      <c r="A51" s="28"/>
      <c r="B51" s="29"/>
      <c r="C51" s="34"/>
      <c r="D51" s="35"/>
      <c r="E51" s="35"/>
      <c r="F51" s="35"/>
      <c r="G51" s="36"/>
      <c r="H51" s="35"/>
      <c r="I51" s="35"/>
      <c r="J51" s="35"/>
      <c r="K51" s="35"/>
      <c r="L51" s="35"/>
      <c r="M51" s="34"/>
      <c r="N51" s="35"/>
      <c r="O51" s="35"/>
      <c r="P51" s="35"/>
      <c r="Q51" s="36"/>
      <c r="R51" s="35"/>
      <c r="S51" s="35"/>
      <c r="T51" s="35"/>
      <c r="U51" s="35"/>
      <c r="V51" s="35"/>
      <c r="W51" s="34"/>
      <c r="X51" s="35"/>
      <c r="Y51" s="35"/>
      <c r="Z51" s="35"/>
      <c r="AA51" s="36"/>
      <c r="AB51" s="35"/>
      <c r="AC51" s="35"/>
      <c r="AD51" s="35"/>
      <c r="AE51" s="35"/>
      <c r="AF51" s="35"/>
      <c r="AG51" s="34"/>
      <c r="AH51" s="35"/>
      <c r="AI51" s="35"/>
      <c r="AJ51" s="35"/>
      <c r="AK51" s="35"/>
      <c r="AL51" s="35"/>
      <c r="AM51" s="35"/>
      <c r="AN51" s="35"/>
      <c r="AO51" s="36"/>
      <c r="AP51" s="35"/>
      <c r="AQ51" s="35"/>
      <c r="AR51" s="35"/>
      <c r="AS51" s="35"/>
      <c r="AT51" s="34"/>
      <c r="AU51" s="35"/>
      <c r="AV51" s="35"/>
      <c r="AW51" s="36"/>
      <c r="AX51" s="34"/>
      <c r="AY51" s="35"/>
      <c r="AZ51" s="35"/>
      <c r="BA51" s="36"/>
      <c r="BB51" s="35"/>
      <c r="BC51" s="35"/>
      <c r="BD51" s="35"/>
      <c r="BE51" s="35"/>
      <c r="BF51" s="36"/>
    </row>
    <row r="52" spans="1:58" hidden="1" x14ac:dyDescent="0.2">
      <c r="A52" s="47" t="s">
        <v>99</v>
      </c>
      <c r="B52" s="48"/>
      <c r="C52" s="49"/>
      <c r="D52" s="50"/>
      <c r="E52" s="50"/>
      <c r="F52" s="50"/>
      <c r="G52" s="51"/>
      <c r="H52" s="50"/>
      <c r="I52" s="50"/>
      <c r="J52" s="50"/>
      <c r="K52" s="50"/>
      <c r="L52" s="50"/>
      <c r="M52" s="49"/>
      <c r="N52" s="50"/>
      <c r="O52" s="50"/>
      <c r="P52" s="50"/>
      <c r="Q52" s="51"/>
      <c r="R52" s="50"/>
      <c r="S52" s="50"/>
      <c r="T52" s="50"/>
      <c r="U52" s="50"/>
      <c r="V52" s="50"/>
      <c r="W52" s="49"/>
      <c r="X52" s="50"/>
      <c r="Y52" s="50"/>
      <c r="Z52" s="50"/>
      <c r="AA52" s="51"/>
      <c r="AB52" s="50"/>
      <c r="AC52" s="50"/>
      <c r="AD52" s="50"/>
      <c r="AE52" s="50"/>
      <c r="AF52" s="50"/>
      <c r="AG52" s="49"/>
      <c r="AH52" s="50"/>
      <c r="AI52" s="50"/>
      <c r="AJ52" s="50"/>
      <c r="AK52" s="50"/>
      <c r="AL52" s="50"/>
      <c r="AM52" s="50"/>
      <c r="AN52" s="50"/>
      <c r="AO52" s="51"/>
      <c r="AP52" s="50"/>
      <c r="AQ52" s="50"/>
      <c r="AR52" s="50"/>
      <c r="AS52" s="50"/>
      <c r="AT52" s="49"/>
      <c r="AU52" s="50"/>
      <c r="AV52" s="50"/>
      <c r="AW52" s="51"/>
      <c r="AX52" s="49"/>
      <c r="AY52" s="50"/>
      <c r="AZ52" s="50"/>
      <c r="BA52" s="51"/>
      <c r="BB52" s="50"/>
      <c r="BC52" s="50"/>
      <c r="BD52" s="50"/>
      <c r="BE52" s="50"/>
      <c r="BF52" s="51"/>
    </row>
    <row r="53" spans="1:58" hidden="1" x14ac:dyDescent="0.2">
      <c r="A53" s="30"/>
      <c r="B53" s="31"/>
      <c r="C53" s="95"/>
      <c r="D53" s="91"/>
      <c r="E53" s="91"/>
      <c r="F53" s="91"/>
      <c r="G53" s="92"/>
      <c r="H53" s="91"/>
      <c r="I53" s="91"/>
      <c r="J53" s="91"/>
      <c r="K53" s="91"/>
      <c r="L53" s="91"/>
      <c r="M53" s="95"/>
      <c r="N53" s="91"/>
      <c r="O53" s="91"/>
      <c r="P53" s="91"/>
      <c r="Q53" s="92"/>
      <c r="R53" s="91"/>
      <c r="S53" s="91"/>
      <c r="T53" s="91"/>
      <c r="U53" s="91"/>
      <c r="V53" s="91"/>
      <c r="W53" s="95"/>
      <c r="X53" s="91"/>
      <c r="Y53" s="91"/>
      <c r="Z53" s="91"/>
      <c r="AA53" s="92"/>
      <c r="AB53" s="91"/>
      <c r="AC53" s="91"/>
      <c r="AD53" s="91"/>
      <c r="AE53" s="91"/>
      <c r="AF53" s="91"/>
      <c r="AG53" s="95"/>
      <c r="AH53" s="91"/>
      <c r="AI53" s="91"/>
      <c r="AJ53" s="91"/>
      <c r="AK53" s="91"/>
      <c r="AL53" s="91"/>
      <c r="AM53" s="91"/>
      <c r="AN53" s="91"/>
      <c r="AO53" s="92"/>
      <c r="AP53" s="91"/>
      <c r="AQ53" s="91"/>
      <c r="AR53" s="91"/>
      <c r="AS53" s="91"/>
      <c r="AT53" s="95"/>
      <c r="AU53" s="91"/>
      <c r="AV53" s="91"/>
      <c r="AW53" s="92"/>
      <c r="AX53" s="95"/>
      <c r="AY53" s="91"/>
      <c r="AZ53" s="91"/>
      <c r="BA53" s="92"/>
      <c r="BB53" s="91"/>
      <c r="BC53" s="91"/>
      <c r="BD53" s="91"/>
      <c r="BE53" s="91"/>
      <c r="BF53" s="92"/>
    </row>
    <row r="54" spans="1:58" hidden="1" x14ac:dyDescent="0.2">
      <c r="A54" s="30"/>
      <c r="B54" s="31"/>
      <c r="C54" s="21"/>
      <c r="D54" s="22"/>
      <c r="E54" s="22"/>
      <c r="F54" s="22"/>
      <c r="G54" s="23"/>
      <c r="H54" s="22"/>
      <c r="I54" s="22"/>
      <c r="J54" s="22"/>
      <c r="K54" s="22"/>
      <c r="L54" s="22"/>
      <c r="M54" s="21"/>
      <c r="N54" s="22"/>
      <c r="O54" s="22"/>
      <c r="P54" s="22"/>
      <c r="Q54" s="23"/>
      <c r="R54" s="22"/>
      <c r="S54" s="22"/>
      <c r="T54" s="22"/>
      <c r="U54" s="22"/>
      <c r="V54" s="22"/>
      <c r="W54" s="21"/>
      <c r="X54" s="22"/>
      <c r="Y54" s="22"/>
      <c r="Z54" s="22"/>
      <c r="AA54" s="23"/>
      <c r="AB54" s="22"/>
      <c r="AC54" s="22"/>
      <c r="AD54" s="22"/>
      <c r="AE54" s="22"/>
      <c r="AF54" s="22"/>
      <c r="AG54" s="21"/>
      <c r="AH54" s="22"/>
      <c r="AI54" s="22"/>
      <c r="AJ54" s="22"/>
      <c r="AK54" s="22"/>
      <c r="AL54" s="22"/>
      <c r="AM54" s="22"/>
      <c r="AN54" s="22"/>
      <c r="AO54" s="23"/>
      <c r="AP54" s="22"/>
      <c r="AQ54" s="22"/>
      <c r="AR54" s="22"/>
      <c r="AS54" s="22"/>
      <c r="AT54" s="21"/>
      <c r="AU54" s="22"/>
      <c r="AV54" s="22"/>
      <c r="AW54" s="23"/>
      <c r="AX54" s="21"/>
      <c r="AY54" s="22"/>
      <c r="AZ54" s="22"/>
      <c r="BA54" s="23"/>
      <c r="BB54" s="22"/>
      <c r="BC54" s="22"/>
      <c r="BD54" s="22"/>
      <c r="BE54" s="22"/>
      <c r="BF54" s="23"/>
    </row>
    <row r="55" spans="1:58" hidden="1" x14ac:dyDescent="0.2">
      <c r="A55" s="30"/>
      <c r="B55" s="31"/>
      <c r="C55" s="21"/>
      <c r="D55" s="22"/>
      <c r="E55" s="22"/>
      <c r="F55" s="22"/>
      <c r="G55" s="23"/>
      <c r="H55" s="22"/>
      <c r="I55" s="22"/>
      <c r="J55" s="22"/>
      <c r="K55" s="22"/>
      <c r="L55" s="22"/>
      <c r="M55" s="21"/>
      <c r="N55" s="22"/>
      <c r="O55" s="22"/>
      <c r="P55" s="22"/>
      <c r="Q55" s="23"/>
      <c r="R55" s="22"/>
      <c r="S55" s="22"/>
      <c r="T55" s="22"/>
      <c r="U55" s="22"/>
      <c r="V55" s="22"/>
      <c r="W55" s="21"/>
      <c r="X55" s="22"/>
      <c r="Y55" s="22"/>
      <c r="Z55" s="22"/>
      <c r="AA55" s="23"/>
      <c r="AB55" s="22"/>
      <c r="AC55" s="22"/>
      <c r="AD55" s="22"/>
      <c r="AE55" s="22"/>
      <c r="AF55" s="22"/>
      <c r="AG55" s="21"/>
      <c r="AH55" s="22"/>
      <c r="AI55" s="22"/>
      <c r="AJ55" s="22"/>
      <c r="AK55" s="22"/>
      <c r="AL55" s="22"/>
      <c r="AM55" s="22"/>
      <c r="AN55" s="22"/>
      <c r="AO55" s="23"/>
      <c r="AP55" s="22"/>
      <c r="AQ55" s="22"/>
      <c r="AR55" s="22"/>
      <c r="AS55" s="22"/>
      <c r="AT55" s="21"/>
      <c r="AU55" s="22"/>
      <c r="AV55" s="22"/>
      <c r="AW55" s="23"/>
      <c r="AX55" s="21"/>
      <c r="AY55" s="22"/>
      <c r="AZ55" s="22"/>
      <c r="BA55" s="23"/>
      <c r="BB55" s="22"/>
      <c r="BC55" s="22"/>
      <c r="BD55" s="22"/>
      <c r="BE55" s="22"/>
      <c r="BF55" s="23"/>
    </row>
    <row r="56" spans="1:58" hidden="1" x14ac:dyDescent="0.2">
      <c r="A56" s="28"/>
      <c r="B56" s="29"/>
      <c r="C56" s="34"/>
      <c r="D56" s="35"/>
      <c r="E56" s="35"/>
      <c r="F56" s="35"/>
      <c r="G56" s="36"/>
      <c r="H56" s="35"/>
      <c r="I56" s="35"/>
      <c r="J56" s="35"/>
      <c r="K56" s="35"/>
      <c r="L56" s="35"/>
      <c r="M56" s="34"/>
      <c r="N56" s="35"/>
      <c r="O56" s="35"/>
      <c r="P56" s="35"/>
      <c r="Q56" s="36"/>
      <c r="R56" s="35"/>
      <c r="S56" s="35"/>
      <c r="T56" s="35"/>
      <c r="U56" s="35"/>
      <c r="V56" s="35"/>
      <c r="W56" s="34"/>
      <c r="X56" s="35"/>
      <c r="Y56" s="35"/>
      <c r="Z56" s="35"/>
      <c r="AA56" s="36"/>
      <c r="AB56" s="35"/>
      <c r="AC56" s="35"/>
      <c r="AD56" s="35"/>
      <c r="AE56" s="35"/>
      <c r="AF56" s="35"/>
      <c r="AG56" s="34"/>
      <c r="AH56" s="35"/>
      <c r="AI56" s="35"/>
      <c r="AJ56" s="35"/>
      <c r="AK56" s="35"/>
      <c r="AL56" s="35"/>
      <c r="AM56" s="35"/>
      <c r="AN56" s="35"/>
      <c r="AO56" s="36"/>
      <c r="AP56" s="35"/>
      <c r="AQ56" s="35"/>
      <c r="AR56" s="35"/>
      <c r="AS56" s="35"/>
      <c r="AT56" s="34"/>
      <c r="AU56" s="35"/>
      <c r="AV56" s="35"/>
      <c r="AW56" s="36"/>
      <c r="AX56" s="34"/>
      <c r="AY56" s="35"/>
      <c r="AZ56" s="35"/>
      <c r="BA56" s="36"/>
      <c r="BB56" s="35"/>
      <c r="BC56" s="35"/>
      <c r="BD56" s="35"/>
      <c r="BE56" s="35"/>
      <c r="BF56" s="36"/>
    </row>
    <row r="57" spans="1:58" hidden="1" x14ac:dyDescent="0.2">
      <c r="A57" s="47" t="s">
        <v>98</v>
      </c>
      <c r="B57" s="48"/>
      <c r="C57" s="49"/>
      <c r="D57" s="50"/>
      <c r="E57" s="50"/>
      <c r="F57" s="50"/>
      <c r="G57" s="51"/>
      <c r="H57" s="50"/>
      <c r="I57" s="50"/>
      <c r="J57" s="50"/>
      <c r="K57" s="50"/>
      <c r="L57" s="50"/>
      <c r="M57" s="49"/>
      <c r="N57" s="50"/>
      <c r="O57" s="50"/>
      <c r="P57" s="50"/>
      <c r="Q57" s="51"/>
      <c r="R57" s="50"/>
      <c r="S57" s="50"/>
      <c r="T57" s="50"/>
      <c r="U57" s="50"/>
      <c r="V57" s="50"/>
      <c r="W57" s="49"/>
      <c r="X57" s="50"/>
      <c r="Y57" s="50"/>
      <c r="Z57" s="50"/>
      <c r="AA57" s="51"/>
      <c r="AB57" s="50"/>
      <c r="AC57" s="50"/>
      <c r="AD57" s="50"/>
      <c r="AE57" s="50"/>
      <c r="AF57" s="50"/>
      <c r="AG57" s="49"/>
      <c r="AH57" s="50"/>
      <c r="AI57" s="50"/>
      <c r="AJ57" s="50"/>
      <c r="AK57" s="50"/>
      <c r="AL57" s="50"/>
      <c r="AM57" s="50"/>
      <c r="AN57" s="50"/>
      <c r="AO57" s="51"/>
      <c r="AP57" s="50"/>
      <c r="AQ57" s="50"/>
      <c r="AR57" s="50"/>
      <c r="AS57" s="50"/>
      <c r="AT57" s="49"/>
      <c r="AU57" s="50"/>
      <c r="AV57" s="50"/>
      <c r="AW57" s="51"/>
      <c r="AX57" s="49"/>
      <c r="AY57" s="50"/>
      <c r="AZ57" s="50"/>
      <c r="BA57" s="51"/>
      <c r="BB57" s="50"/>
      <c r="BC57" s="50"/>
      <c r="BD57" s="50"/>
      <c r="BE57" s="50"/>
      <c r="BF57" s="51"/>
    </row>
    <row r="58" spans="1:58" hidden="1" x14ac:dyDescent="0.2">
      <c r="A58" s="30"/>
      <c r="B58" s="31"/>
      <c r="C58" s="95"/>
      <c r="D58" s="91"/>
      <c r="E58" s="91"/>
      <c r="F58" s="91"/>
      <c r="G58" s="92"/>
      <c r="H58" s="91"/>
      <c r="I58" s="91"/>
      <c r="J58" s="91"/>
      <c r="K58" s="91"/>
      <c r="L58" s="91"/>
      <c r="M58" s="95"/>
      <c r="N58" s="91"/>
      <c r="O58" s="91"/>
      <c r="P58" s="91"/>
      <c r="Q58" s="92"/>
      <c r="R58" s="91"/>
      <c r="S58" s="91"/>
      <c r="T58" s="91"/>
      <c r="U58" s="91"/>
      <c r="V58" s="91"/>
      <c r="W58" s="95"/>
      <c r="X58" s="91"/>
      <c r="Y58" s="91"/>
      <c r="Z58" s="91"/>
      <c r="AA58" s="92"/>
      <c r="AB58" s="91"/>
      <c r="AC58" s="91"/>
      <c r="AD58" s="91"/>
      <c r="AE58" s="91"/>
      <c r="AF58" s="91"/>
      <c r="AG58" s="95"/>
      <c r="AH58" s="91"/>
      <c r="AI58" s="91"/>
      <c r="AJ58" s="91"/>
      <c r="AK58" s="91"/>
      <c r="AL58" s="91"/>
      <c r="AM58" s="91"/>
      <c r="AN58" s="91"/>
      <c r="AO58" s="92"/>
      <c r="AP58" s="91"/>
      <c r="AQ58" s="91"/>
      <c r="AR58" s="91"/>
      <c r="AS58" s="91"/>
      <c r="AT58" s="95"/>
      <c r="AU58" s="91"/>
      <c r="AV58" s="91"/>
      <c r="AW58" s="92"/>
      <c r="AX58" s="95"/>
      <c r="AY58" s="91"/>
      <c r="AZ58" s="91"/>
      <c r="BA58" s="92"/>
      <c r="BB58" s="91"/>
      <c r="BC58" s="91"/>
      <c r="BD58" s="91"/>
      <c r="BE58" s="91"/>
      <c r="BF58" s="92"/>
    </row>
    <row r="59" spans="1:58" hidden="1" x14ac:dyDescent="0.2">
      <c r="A59" s="30"/>
      <c r="B59" s="31"/>
      <c r="C59" s="21"/>
      <c r="D59" s="22"/>
      <c r="E59" s="22"/>
      <c r="F59" s="22"/>
      <c r="G59" s="23"/>
      <c r="H59" s="22"/>
      <c r="I59" s="22"/>
      <c r="J59" s="22"/>
      <c r="K59" s="22"/>
      <c r="L59" s="22"/>
      <c r="M59" s="21"/>
      <c r="N59" s="22"/>
      <c r="O59" s="22"/>
      <c r="P59" s="22"/>
      <c r="Q59" s="23"/>
      <c r="R59" s="22"/>
      <c r="S59" s="22"/>
      <c r="T59" s="22"/>
      <c r="U59" s="22"/>
      <c r="V59" s="22"/>
      <c r="W59" s="21"/>
      <c r="X59" s="22"/>
      <c r="Y59" s="22"/>
      <c r="Z59" s="22"/>
      <c r="AA59" s="23"/>
      <c r="AB59" s="22"/>
      <c r="AC59" s="22"/>
      <c r="AD59" s="22"/>
      <c r="AE59" s="22"/>
      <c r="AF59" s="22"/>
      <c r="AG59" s="21"/>
      <c r="AH59" s="22"/>
      <c r="AI59" s="22"/>
      <c r="AJ59" s="22"/>
      <c r="AK59" s="22"/>
      <c r="AL59" s="22"/>
      <c r="AM59" s="22"/>
      <c r="AN59" s="22"/>
      <c r="AO59" s="23"/>
      <c r="AP59" s="22"/>
      <c r="AQ59" s="22"/>
      <c r="AR59" s="22"/>
      <c r="AS59" s="22"/>
      <c r="AT59" s="21"/>
      <c r="AU59" s="22"/>
      <c r="AV59" s="22"/>
      <c r="AW59" s="23"/>
      <c r="AX59" s="21"/>
      <c r="AY59" s="22"/>
      <c r="AZ59" s="22"/>
      <c r="BA59" s="23"/>
      <c r="BB59" s="22"/>
      <c r="BC59" s="22"/>
      <c r="BD59" s="22"/>
      <c r="BE59" s="22"/>
      <c r="BF59" s="23"/>
    </row>
    <row r="60" spans="1:58" hidden="1" x14ac:dyDescent="0.2">
      <c r="A60" s="30"/>
      <c r="B60" s="31"/>
      <c r="C60" s="21"/>
      <c r="D60" s="22"/>
      <c r="E60" s="22"/>
      <c r="F60" s="22"/>
      <c r="G60" s="23"/>
      <c r="H60" s="22"/>
      <c r="I60" s="22"/>
      <c r="J60" s="22"/>
      <c r="K60" s="22"/>
      <c r="L60" s="22"/>
      <c r="M60" s="21"/>
      <c r="N60" s="22"/>
      <c r="O60" s="22"/>
      <c r="P60" s="22"/>
      <c r="Q60" s="23"/>
      <c r="R60" s="22"/>
      <c r="S60" s="22"/>
      <c r="T60" s="22"/>
      <c r="U60" s="22"/>
      <c r="V60" s="22"/>
      <c r="W60" s="21"/>
      <c r="X60" s="22"/>
      <c r="Y60" s="22"/>
      <c r="Z60" s="22"/>
      <c r="AA60" s="23"/>
      <c r="AB60" s="22"/>
      <c r="AC60" s="22"/>
      <c r="AD60" s="22"/>
      <c r="AE60" s="22"/>
      <c r="AF60" s="22"/>
      <c r="AG60" s="21"/>
      <c r="AH60" s="22"/>
      <c r="AI60" s="22"/>
      <c r="AJ60" s="22"/>
      <c r="AK60" s="22"/>
      <c r="AL60" s="22"/>
      <c r="AM60" s="22"/>
      <c r="AN60" s="22"/>
      <c r="AO60" s="23"/>
      <c r="AP60" s="22"/>
      <c r="AQ60" s="22"/>
      <c r="AR60" s="22"/>
      <c r="AS60" s="22"/>
      <c r="AT60" s="21"/>
      <c r="AU60" s="22"/>
      <c r="AV60" s="22"/>
      <c r="AW60" s="23"/>
      <c r="AX60" s="21"/>
      <c r="AY60" s="22"/>
      <c r="AZ60" s="22"/>
      <c r="BA60" s="23"/>
      <c r="BB60" s="22"/>
      <c r="BC60" s="22"/>
      <c r="BD60" s="22"/>
      <c r="BE60" s="22"/>
      <c r="BF60" s="23"/>
    </row>
    <row r="61" spans="1:58" hidden="1" x14ac:dyDescent="0.2">
      <c r="A61" s="30"/>
      <c r="B61" s="31"/>
      <c r="C61" s="21"/>
      <c r="D61" s="22"/>
      <c r="E61" s="22"/>
      <c r="F61" s="22"/>
      <c r="G61" s="23"/>
      <c r="H61" s="22"/>
      <c r="I61" s="22"/>
      <c r="J61" s="22"/>
      <c r="K61" s="22"/>
      <c r="L61" s="22"/>
      <c r="M61" s="21"/>
      <c r="N61" s="22"/>
      <c r="O61" s="22"/>
      <c r="P61" s="22"/>
      <c r="Q61" s="23"/>
      <c r="R61" s="22"/>
      <c r="S61" s="22"/>
      <c r="T61" s="22"/>
      <c r="U61" s="22"/>
      <c r="V61" s="22"/>
      <c r="W61" s="21"/>
      <c r="X61" s="22"/>
      <c r="Y61" s="22"/>
      <c r="Z61" s="22"/>
      <c r="AA61" s="23"/>
      <c r="AB61" s="22"/>
      <c r="AC61" s="22"/>
      <c r="AD61" s="22"/>
      <c r="AE61" s="22"/>
      <c r="AF61" s="22"/>
      <c r="AG61" s="21"/>
      <c r="AH61" s="22"/>
      <c r="AI61" s="22"/>
      <c r="AJ61" s="22"/>
      <c r="AK61" s="22"/>
      <c r="AL61" s="22"/>
      <c r="AM61" s="22"/>
      <c r="AN61" s="22"/>
      <c r="AO61" s="23"/>
      <c r="AP61" s="22"/>
      <c r="AQ61" s="22"/>
      <c r="AR61" s="22"/>
      <c r="AS61" s="22"/>
      <c r="AT61" s="21"/>
      <c r="AU61" s="22"/>
      <c r="AV61" s="22"/>
      <c r="AW61" s="23"/>
      <c r="AX61" s="21"/>
      <c r="AY61" s="22"/>
      <c r="AZ61" s="22"/>
      <c r="BA61" s="23"/>
      <c r="BB61" s="22"/>
      <c r="BC61" s="22"/>
      <c r="BD61" s="22"/>
      <c r="BE61" s="22"/>
      <c r="BF61" s="23"/>
    </row>
    <row r="62" spans="1:58" hidden="1" x14ac:dyDescent="0.2">
      <c r="A62" s="32"/>
      <c r="B62" s="33"/>
      <c r="C62" s="25"/>
      <c r="D62" s="26"/>
      <c r="E62" s="26"/>
      <c r="F62" s="26"/>
      <c r="G62" s="27"/>
      <c r="H62" s="26"/>
      <c r="I62" s="26"/>
      <c r="J62" s="26"/>
      <c r="K62" s="26"/>
      <c r="L62" s="26"/>
      <c r="M62" s="25"/>
      <c r="N62" s="26"/>
      <c r="O62" s="26"/>
      <c r="P62" s="26"/>
      <c r="Q62" s="27"/>
      <c r="R62" s="26"/>
      <c r="S62" s="26"/>
      <c r="T62" s="26"/>
      <c r="U62" s="26"/>
      <c r="V62" s="26"/>
      <c r="W62" s="25"/>
      <c r="X62" s="26"/>
      <c r="Y62" s="26"/>
      <c r="Z62" s="26"/>
      <c r="AA62" s="27"/>
      <c r="AB62" s="26"/>
      <c r="AC62" s="26"/>
      <c r="AD62" s="26"/>
      <c r="AE62" s="26"/>
      <c r="AF62" s="26"/>
      <c r="AG62" s="25"/>
      <c r="AH62" s="26"/>
      <c r="AI62" s="26"/>
      <c r="AJ62" s="26"/>
      <c r="AK62" s="26"/>
      <c r="AL62" s="26"/>
      <c r="AM62" s="26"/>
      <c r="AN62" s="26"/>
      <c r="AO62" s="27"/>
      <c r="AP62" s="26"/>
      <c r="AQ62" s="26"/>
      <c r="AR62" s="26"/>
      <c r="AS62" s="26"/>
      <c r="AT62" s="25"/>
      <c r="AU62" s="26"/>
      <c r="AV62" s="26"/>
      <c r="AW62" s="27"/>
      <c r="AX62" s="25"/>
      <c r="AY62" s="26"/>
      <c r="AZ62" s="26"/>
      <c r="BA62" s="27"/>
      <c r="BB62" s="22"/>
      <c r="BC62" s="22"/>
      <c r="BD62" s="22"/>
      <c r="BE62" s="22"/>
      <c r="BF62" s="23"/>
    </row>
    <row r="63" spans="1:58" s="22" customFormat="1" hidden="1" x14ac:dyDescent="0.2">
      <c r="A63" s="66"/>
      <c r="B63" s="66"/>
    </row>
    <row r="65" spans="1:53" x14ac:dyDescent="0.2">
      <c r="A65" s="73" t="s">
        <v>182</v>
      </c>
      <c r="B65" s="74"/>
      <c r="C65" s="70"/>
      <c r="D65" s="71"/>
      <c r="E65" s="71"/>
      <c r="F65" s="71"/>
      <c r="G65" s="72"/>
      <c r="H65" s="71"/>
      <c r="I65" s="71"/>
      <c r="J65" s="71"/>
      <c r="K65" s="71"/>
      <c r="L65" s="71"/>
      <c r="M65" s="70"/>
      <c r="N65" s="71"/>
      <c r="O65" s="71"/>
      <c r="P65" s="71"/>
      <c r="Q65" s="72"/>
      <c r="R65" s="71"/>
      <c r="S65" s="71"/>
      <c r="T65" s="71"/>
      <c r="U65" s="71"/>
      <c r="V65" s="71"/>
      <c r="W65" s="70"/>
      <c r="X65" s="71"/>
      <c r="Y65" s="71"/>
      <c r="Z65" s="71"/>
      <c r="AA65" s="72"/>
      <c r="AB65" s="71"/>
      <c r="AC65" s="71"/>
      <c r="AD65" s="71"/>
      <c r="AE65" s="71"/>
      <c r="AF65" s="71"/>
      <c r="AG65" s="70"/>
      <c r="AH65" s="71"/>
      <c r="AI65" s="71"/>
      <c r="AJ65" s="71"/>
      <c r="AK65" s="71"/>
      <c r="AL65" s="71"/>
      <c r="AM65" s="71"/>
      <c r="AN65" s="71"/>
      <c r="AO65" s="72"/>
      <c r="AP65" s="71"/>
      <c r="AQ65" s="71"/>
      <c r="AR65" s="71"/>
      <c r="AS65" s="71"/>
      <c r="AT65" s="70"/>
      <c r="AU65" s="71"/>
      <c r="AV65" s="71"/>
      <c r="AW65" s="72"/>
      <c r="AX65" s="70"/>
      <c r="AY65" s="71"/>
      <c r="AZ65" s="71"/>
      <c r="BA65" s="72"/>
    </row>
    <row r="66" spans="1:53" ht="165.75" customHeight="1" x14ac:dyDescent="0.2">
      <c r="A66" s="122"/>
      <c r="B66" s="123"/>
      <c r="C66" s="124"/>
      <c r="D66" s="125"/>
      <c r="E66" s="125"/>
      <c r="F66" s="125"/>
      <c r="G66" s="126"/>
      <c r="H66" s="124" t="s">
        <v>197</v>
      </c>
      <c r="I66" s="125"/>
      <c r="J66" s="125"/>
      <c r="K66" s="125"/>
      <c r="L66" s="126"/>
      <c r="M66" s="124" t="s">
        <v>195</v>
      </c>
      <c r="N66" s="125"/>
      <c r="O66" s="125"/>
      <c r="P66" s="125"/>
      <c r="Q66" s="126"/>
      <c r="R66" s="124" t="s">
        <v>196</v>
      </c>
      <c r="S66" s="125"/>
      <c r="T66" s="125"/>
      <c r="U66" s="125"/>
      <c r="V66" s="126"/>
      <c r="W66" s="124" t="s">
        <v>196</v>
      </c>
      <c r="X66" s="125"/>
      <c r="Y66" s="125"/>
      <c r="Z66" s="125"/>
      <c r="AA66" s="126"/>
      <c r="AB66" s="124" t="s">
        <v>196</v>
      </c>
      <c r="AC66" s="125"/>
      <c r="AD66" s="125"/>
      <c r="AE66" s="125"/>
      <c r="AF66" s="126"/>
      <c r="AG66" s="129" t="s">
        <v>196</v>
      </c>
      <c r="AH66" s="98"/>
      <c r="AI66" s="98"/>
      <c r="AJ66" s="98"/>
      <c r="AK66" s="98"/>
      <c r="AL66" s="98"/>
      <c r="AM66" s="98"/>
      <c r="AN66" s="98"/>
      <c r="AO66" s="99"/>
      <c r="AP66" s="124" t="s">
        <v>196</v>
      </c>
      <c r="AQ66" s="125"/>
      <c r="AR66" s="125"/>
      <c r="AS66" s="126"/>
      <c r="AT66" s="124" t="s">
        <v>196</v>
      </c>
      <c r="AU66" s="125"/>
      <c r="AV66" s="125"/>
      <c r="AW66" s="126"/>
      <c r="AX66" s="124" t="s">
        <v>196</v>
      </c>
      <c r="AY66" s="125"/>
      <c r="AZ66" s="125"/>
      <c r="BA66" s="126"/>
    </row>
    <row r="67" spans="1:53" x14ac:dyDescent="0.2">
      <c r="A67" s="32"/>
      <c r="B67" s="33"/>
      <c r="C67" s="25"/>
      <c r="D67" s="26"/>
      <c r="E67" s="26"/>
      <c r="F67" s="26"/>
      <c r="G67" s="27"/>
      <c r="H67" s="26"/>
      <c r="I67" s="26"/>
      <c r="J67" s="26"/>
      <c r="K67" s="26"/>
      <c r="L67" s="26"/>
      <c r="M67" s="25"/>
      <c r="N67" s="26"/>
      <c r="O67" s="26"/>
      <c r="P67" s="26"/>
      <c r="Q67" s="27"/>
      <c r="R67" s="26"/>
      <c r="S67" s="26"/>
      <c r="T67" s="26"/>
      <c r="U67" s="26"/>
      <c r="V67" s="26"/>
      <c r="W67" s="25"/>
      <c r="X67" s="26"/>
      <c r="Y67" s="26"/>
      <c r="Z67" s="26"/>
      <c r="AA67" s="27"/>
      <c r="AB67" s="26"/>
      <c r="AC67" s="26"/>
      <c r="AD67" s="26"/>
      <c r="AE67" s="26"/>
      <c r="AF67" s="26"/>
      <c r="AG67" s="25"/>
      <c r="AH67" s="26"/>
      <c r="AI67" s="26"/>
      <c r="AJ67" s="26"/>
      <c r="AK67" s="26"/>
      <c r="AL67" s="26"/>
      <c r="AM67" s="26"/>
      <c r="AN67" s="26"/>
      <c r="AO67" s="27"/>
      <c r="AP67" s="26"/>
      <c r="AQ67" s="26"/>
      <c r="AR67" s="26"/>
      <c r="AS67" s="26"/>
      <c r="AT67" s="25"/>
      <c r="AU67" s="26"/>
      <c r="AV67" s="26"/>
      <c r="AW67" s="27"/>
      <c r="AX67" s="25"/>
      <c r="AY67" s="26"/>
      <c r="AZ67" s="26"/>
      <c r="BA67" s="27"/>
    </row>
  </sheetData>
  <mergeCells count="208">
    <mergeCell ref="AB66:AF66"/>
    <mergeCell ref="AX25:BA25"/>
    <mergeCell ref="AX26:BA26"/>
    <mergeCell ref="H20:L20"/>
    <mergeCell ref="M20:Q20"/>
    <mergeCell ref="R20:V20"/>
    <mergeCell ref="W20:AA20"/>
    <mergeCell ref="AB20:AF20"/>
    <mergeCell ref="AG20:AO20"/>
    <mergeCell ref="AP20:AS20"/>
    <mergeCell ref="AT20:AW20"/>
    <mergeCell ref="AX20:BA20"/>
    <mergeCell ref="AB24:AF24"/>
    <mergeCell ref="AG24:AO24"/>
    <mergeCell ref="AP24:AS24"/>
    <mergeCell ref="AT24:AW24"/>
    <mergeCell ref="AX24:BA24"/>
    <mergeCell ref="AX40:BA40"/>
    <mergeCell ref="AX37:BA37"/>
    <mergeCell ref="AX53:BA53"/>
    <mergeCell ref="AP66:AS66"/>
    <mergeCell ref="AT66:AW66"/>
    <mergeCell ref="AX66:BA66"/>
    <mergeCell ref="AG66:AO66"/>
    <mergeCell ref="A66:B66"/>
    <mergeCell ref="C66:G66"/>
    <mergeCell ref="H66:L66"/>
    <mergeCell ref="A24:B24"/>
    <mergeCell ref="C24:G24"/>
    <mergeCell ref="H24:L24"/>
    <mergeCell ref="M24:Q24"/>
    <mergeCell ref="R24:V24"/>
    <mergeCell ref="W24:AA24"/>
    <mergeCell ref="M66:Q66"/>
    <mergeCell ref="R66:V66"/>
    <mergeCell ref="A25:B25"/>
    <mergeCell ref="C25:G25"/>
    <mergeCell ref="H25:L25"/>
    <mergeCell ref="M25:Q25"/>
    <mergeCell ref="R25:V25"/>
    <mergeCell ref="W25:AA25"/>
    <mergeCell ref="A26:B26"/>
    <mergeCell ref="C26:G26"/>
    <mergeCell ref="H26:L26"/>
    <mergeCell ref="M26:Q26"/>
    <mergeCell ref="R26:V26"/>
    <mergeCell ref="W26:AA26"/>
    <mergeCell ref="W66:AA66"/>
    <mergeCell ref="C5:G5"/>
    <mergeCell ref="H5:L5"/>
    <mergeCell ref="M5:Q5"/>
    <mergeCell ref="R5:V5"/>
    <mergeCell ref="W5:AA5"/>
    <mergeCell ref="AB11:AF11"/>
    <mergeCell ref="AG11:AO11"/>
    <mergeCell ref="AP11:AS11"/>
    <mergeCell ref="AT11:AW11"/>
    <mergeCell ref="C8:G8"/>
    <mergeCell ref="H8:L8"/>
    <mergeCell ref="M8:Q8"/>
    <mergeCell ref="R8:V8"/>
    <mergeCell ref="W8:AA8"/>
    <mergeCell ref="C7:G7"/>
    <mergeCell ref="H7:L7"/>
    <mergeCell ref="M7:Q7"/>
    <mergeCell ref="R7:V7"/>
    <mergeCell ref="W7:AA7"/>
    <mergeCell ref="AB6:AF6"/>
    <mergeCell ref="AG6:AO6"/>
    <mergeCell ref="AP6:AS6"/>
    <mergeCell ref="AT6:AW6"/>
    <mergeCell ref="AB7:AF7"/>
    <mergeCell ref="AX34:BA34"/>
    <mergeCell ref="AB25:AF25"/>
    <mergeCell ref="AG25:AO25"/>
    <mergeCell ref="AT25:AW25"/>
    <mergeCell ref="AB26:AF26"/>
    <mergeCell ref="AX11:BA11"/>
    <mergeCell ref="C15:G15"/>
    <mergeCell ref="H15:L15"/>
    <mergeCell ref="M15:Q15"/>
    <mergeCell ref="R15:V15"/>
    <mergeCell ref="W15:AA15"/>
    <mergeCell ref="C11:G11"/>
    <mergeCell ref="H11:L11"/>
    <mergeCell ref="M11:Q11"/>
    <mergeCell ref="R11:V11"/>
    <mergeCell ref="W11:AA11"/>
    <mergeCell ref="AB15:AF15"/>
    <mergeCell ref="AG15:AO15"/>
    <mergeCell ref="AP15:AS15"/>
    <mergeCell ref="AT15:AW15"/>
    <mergeCell ref="AX15:BA15"/>
    <mergeCell ref="AX19:BA19"/>
    <mergeCell ref="AG19:AO19"/>
    <mergeCell ref="AP19:AS19"/>
    <mergeCell ref="W40:AA40"/>
    <mergeCell ref="AB40:AF40"/>
    <mergeCell ref="AG40:AO40"/>
    <mergeCell ref="AP40:AS40"/>
    <mergeCell ref="AT40:AW40"/>
    <mergeCell ref="C34:G34"/>
    <mergeCell ref="H34:L34"/>
    <mergeCell ref="M34:Q34"/>
    <mergeCell ref="R34:V34"/>
    <mergeCell ref="W34:AA34"/>
    <mergeCell ref="AB34:AF34"/>
    <mergeCell ref="AG34:AO34"/>
    <mergeCell ref="AP34:AS34"/>
    <mergeCell ref="AT34:AW34"/>
    <mergeCell ref="AX48:BA48"/>
    <mergeCell ref="AB43:AF43"/>
    <mergeCell ref="AG43:AO43"/>
    <mergeCell ref="AP43:AS43"/>
    <mergeCell ref="AT43:AW43"/>
    <mergeCell ref="AX43:BA43"/>
    <mergeCell ref="C48:G48"/>
    <mergeCell ref="H48:L48"/>
    <mergeCell ref="M48:Q48"/>
    <mergeCell ref="R48:V48"/>
    <mergeCell ref="W48:AA48"/>
    <mergeCell ref="AB48:AF48"/>
    <mergeCell ref="AG48:AO48"/>
    <mergeCell ref="AP48:AS48"/>
    <mergeCell ref="AT48:AW48"/>
    <mergeCell ref="C43:G43"/>
    <mergeCell ref="H43:L43"/>
    <mergeCell ref="M43:Q43"/>
    <mergeCell ref="R43:V43"/>
    <mergeCell ref="W43:AA43"/>
    <mergeCell ref="AX58:BA58"/>
    <mergeCell ref="C19:G19"/>
    <mergeCell ref="H19:L19"/>
    <mergeCell ref="M19:Q19"/>
    <mergeCell ref="R19:V19"/>
    <mergeCell ref="W19:AA19"/>
    <mergeCell ref="C6:G6"/>
    <mergeCell ref="H6:L6"/>
    <mergeCell ref="M6:Q6"/>
    <mergeCell ref="R6:V6"/>
    <mergeCell ref="W6:AA6"/>
    <mergeCell ref="AB58:AF58"/>
    <mergeCell ref="AG58:AO58"/>
    <mergeCell ref="AP58:AS58"/>
    <mergeCell ref="AT58:AW58"/>
    <mergeCell ref="AB53:AF53"/>
    <mergeCell ref="AG53:AO53"/>
    <mergeCell ref="AP53:AS53"/>
    <mergeCell ref="AT53:AW53"/>
    <mergeCell ref="C37:G37"/>
    <mergeCell ref="H37:L37"/>
    <mergeCell ref="M37:Q37"/>
    <mergeCell ref="R37:V37"/>
    <mergeCell ref="AB19:AF19"/>
    <mergeCell ref="AT19:AW19"/>
    <mergeCell ref="R58:V58"/>
    <mergeCell ref="W58:AA58"/>
    <mergeCell ref="C53:G53"/>
    <mergeCell ref="H53:L53"/>
    <mergeCell ref="M53:Q53"/>
    <mergeCell ref="R53:V53"/>
    <mergeCell ref="W53:AA53"/>
    <mergeCell ref="W37:AA37"/>
    <mergeCell ref="AG26:AO26"/>
    <mergeCell ref="AP25:AS25"/>
    <mergeCell ref="AP26:AS26"/>
    <mergeCell ref="AT26:AW26"/>
    <mergeCell ref="C58:G58"/>
    <mergeCell ref="H58:L58"/>
    <mergeCell ref="M58:Q58"/>
    <mergeCell ref="AB37:AF37"/>
    <mergeCell ref="AG37:AO37"/>
    <mergeCell ref="AP37:AS37"/>
    <mergeCell ref="AT37:AW37"/>
    <mergeCell ref="C40:G40"/>
    <mergeCell ref="H40:L40"/>
    <mergeCell ref="M40:Q40"/>
    <mergeCell ref="R40:V40"/>
    <mergeCell ref="BB5:BF5"/>
    <mergeCell ref="BB6:BF6"/>
    <mergeCell ref="BB7:BF7"/>
    <mergeCell ref="AB8:AF8"/>
    <mergeCell ref="AG8:AO8"/>
    <mergeCell ref="AP8:AS8"/>
    <mergeCell ref="AT8:AW8"/>
    <mergeCell ref="AX8:BA8"/>
    <mergeCell ref="AX6:BA6"/>
    <mergeCell ref="AB5:AF5"/>
    <mergeCell ref="AG5:AO5"/>
    <mergeCell ref="AP5:AS5"/>
    <mergeCell ref="AT5:AW5"/>
    <mergeCell ref="AX5:BA5"/>
    <mergeCell ref="AG7:AO7"/>
    <mergeCell ref="AP7:AS7"/>
    <mergeCell ref="AT7:AW7"/>
    <mergeCell ref="AX7:BA7"/>
    <mergeCell ref="BB40:BF40"/>
    <mergeCell ref="BB43:BF43"/>
    <mergeCell ref="BB48:BF48"/>
    <mergeCell ref="BB53:BF53"/>
    <mergeCell ref="BB58:BF58"/>
    <mergeCell ref="BB19:BF19"/>
    <mergeCell ref="BB8:BF8"/>
    <mergeCell ref="BB11:BF11"/>
    <mergeCell ref="BB15:BF15"/>
    <mergeCell ref="BB34:BF34"/>
    <mergeCell ref="BB37:BF37"/>
    <mergeCell ref="BB24:BF24"/>
  </mergeCell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00"/>
  </sheetPr>
  <dimension ref="A1:V54"/>
  <sheetViews>
    <sheetView showGridLines="0" workbookViewId="0">
      <selection sqref="A1:M1"/>
    </sheetView>
  </sheetViews>
  <sheetFormatPr defaultRowHeight="12.75" x14ac:dyDescent="0.2"/>
  <cols>
    <col min="1" max="1" width="30.7109375" style="1" bestFit="1" customWidth="1"/>
    <col min="2" max="2" width="0" style="1" hidden="1" customWidth="1"/>
    <col min="3" max="12" width="9.140625" style="1"/>
    <col min="13" max="13" width="9.140625" style="1" customWidth="1"/>
    <col min="14" max="14" width="18.28515625" style="1" customWidth="1"/>
    <col min="15" max="15" width="2.7109375" style="1" customWidth="1"/>
    <col min="16" max="16" width="16.140625" style="1" customWidth="1"/>
    <col min="17" max="17" width="2.7109375" style="1" customWidth="1"/>
    <col min="18" max="18" width="14.140625" style="1" customWidth="1"/>
    <col min="19" max="19" width="2.7109375" style="1" customWidth="1"/>
    <col min="20" max="20" width="16" style="1" customWidth="1"/>
    <col min="21" max="21" width="2.7109375" style="1" customWidth="1"/>
    <col min="22" max="22" width="18.42578125" style="1" customWidth="1"/>
    <col min="23" max="16384" width="9.140625" style="1"/>
  </cols>
  <sheetData>
    <row r="1" spans="1:18" ht="15" x14ac:dyDescent="0.2">
      <c r="A1" s="136" t="s">
        <v>95</v>
      </c>
      <c r="B1" s="136"/>
      <c r="C1" s="136"/>
      <c r="D1" s="136"/>
      <c r="E1" s="136"/>
      <c r="F1" s="136"/>
      <c r="G1" s="136"/>
      <c r="H1" s="136"/>
      <c r="I1" s="136"/>
      <c r="J1" s="136"/>
      <c r="K1" s="136"/>
      <c r="L1" s="136"/>
      <c r="M1" s="136"/>
      <c r="N1" s="12" t="s">
        <v>96</v>
      </c>
    </row>
    <row r="3" spans="1:18" s="2" customFormat="1" x14ac:dyDescent="0.2">
      <c r="A3" s="16" t="s">
        <v>272</v>
      </c>
      <c r="N3" s="16" t="s">
        <v>31</v>
      </c>
    </row>
    <row r="5" spans="1:18" x14ac:dyDescent="0.2">
      <c r="B5" s="2">
        <f>'Income Statement'!B3</f>
        <v>2007</v>
      </c>
      <c r="C5" s="2">
        <f>'Income Statement'!C3</f>
        <v>2008</v>
      </c>
      <c r="D5" s="2">
        <f>'Income Statement'!D3</f>
        <v>2009</v>
      </c>
      <c r="E5" s="2">
        <f>'Income Statement'!E3</f>
        <v>2010</v>
      </c>
      <c r="F5" s="2">
        <f>'Income Statement'!F3</f>
        <v>2011</v>
      </c>
      <c r="G5" s="2">
        <f>'Income Statement'!G3</f>
        <v>2012</v>
      </c>
      <c r="H5" s="2">
        <f>'Income Statement'!H3</f>
        <v>2013</v>
      </c>
      <c r="I5" s="2">
        <f>'Income Statement'!I3</f>
        <v>2014</v>
      </c>
      <c r="J5" s="2">
        <f>'Income Statement'!J3</f>
        <v>2015</v>
      </c>
      <c r="K5" s="2">
        <f>'Income Statement'!K3</f>
        <v>2016</v>
      </c>
      <c r="L5" s="2">
        <f>'Income Statement'!L3</f>
        <v>2017</v>
      </c>
      <c r="M5" s="2"/>
      <c r="N5" s="4" t="s">
        <v>39</v>
      </c>
    </row>
    <row r="6" spans="1:18" x14ac:dyDescent="0.2">
      <c r="A6" s="2" t="s">
        <v>65</v>
      </c>
      <c r="N6" s="13">
        <f>'Income Statement'!L4</f>
        <v>65478</v>
      </c>
    </row>
    <row r="7" spans="1:18" x14ac:dyDescent="0.2">
      <c r="A7" s="1" t="s">
        <v>64</v>
      </c>
      <c r="B7" s="5" t="e">
        <f>'Balance Sheet'!B27/'Balance Sheet'!B56</f>
        <v>#DIV/0!</v>
      </c>
      <c r="C7" s="5">
        <f>'Balance Sheet'!C27/'Balance Sheet'!C56</f>
        <v>5.05641235845673</v>
      </c>
      <c r="D7" s="5">
        <f>'Balance Sheet'!D27/'Balance Sheet'!D56</f>
        <v>6.9717680272909073</v>
      </c>
      <c r="E7" s="5">
        <f>'Balance Sheet'!E27/'Balance Sheet'!E56</f>
        <v>9.0425808971938277</v>
      </c>
      <c r="F7" s="5">
        <f>'Balance Sheet'!F27/'Balance Sheet'!F56</f>
        <v>8.0538951021982257</v>
      </c>
      <c r="G7" s="5">
        <f>'Balance Sheet'!G27/'Balance Sheet'!G56</f>
        <v>9.0643140849373669</v>
      </c>
      <c r="H7" s="5">
        <f>'Balance Sheet'!H27/'Balance Sheet'!H56</f>
        <v>9.995391930977009</v>
      </c>
      <c r="I7" s="5">
        <f>'Balance Sheet'!I27/'Balance Sheet'!I56</f>
        <v>9.5221698300114905</v>
      </c>
      <c r="J7" s="5">
        <f>'Balance Sheet'!J27/'Balance Sheet'!J56</f>
        <v>8.1583536191564416</v>
      </c>
      <c r="K7" s="5">
        <f>'Balance Sheet'!K27/'Balance Sheet'!K56</f>
        <v>8.5161652608186582</v>
      </c>
      <c r="L7" s="5">
        <f>'Balance Sheet'!L27/'Balance Sheet'!L56</f>
        <v>8.8933711019499739</v>
      </c>
      <c r="M7" s="5"/>
    </row>
    <row r="8" spans="1:18" x14ac:dyDescent="0.2">
      <c r="A8" s="1" t="s">
        <v>66</v>
      </c>
      <c r="B8" s="5" t="e">
        <f>('Balance Sheet'!B25-'Balance Sheet'!B17)/'Balance Sheet'!B56</f>
        <v>#DIV/0!</v>
      </c>
      <c r="C8" s="5">
        <f>('Balance Sheet'!C25-'Balance Sheet'!C17)/'Balance Sheet'!C56</f>
        <v>0.62238048880463182</v>
      </c>
      <c r="D8" s="5">
        <f>('Balance Sheet'!D25-'Balance Sheet'!D17)/'Balance Sheet'!D56</f>
        <v>0.73685448770732853</v>
      </c>
      <c r="E8" s="5">
        <f>('Balance Sheet'!E25-'Balance Sheet'!E17)/'Balance Sheet'!E56</f>
        <v>1.0412136206784295</v>
      </c>
      <c r="F8" s="5">
        <f>('Balance Sheet'!F25-'Balance Sheet'!F17)/'Balance Sheet'!F56</f>
        <v>0.89519861164674119</v>
      </c>
      <c r="G8" s="5">
        <f>('Balance Sheet'!G25-'Balance Sheet'!G17)/'Balance Sheet'!G56</f>
        <v>0.51094816172726343</v>
      </c>
      <c r="H8" s="5">
        <f>('Balance Sheet'!H25-'Balance Sheet'!H17)/'Balance Sheet'!H56</f>
        <v>0.51541742242266775</v>
      </c>
      <c r="I8" s="5">
        <f>('Balance Sheet'!I25-'Balance Sheet'!I17)/'Balance Sheet'!I56</f>
        <v>0.47580932757459288</v>
      </c>
      <c r="J8" s="5">
        <f>('Balance Sheet'!J25-'Balance Sheet'!J17)/'Balance Sheet'!J56</f>
        <v>0.47580605097123552</v>
      </c>
      <c r="K8" s="5">
        <f>('Balance Sheet'!K25-'Balance Sheet'!K17)/'Balance Sheet'!K56</f>
        <v>0.58799493416808046</v>
      </c>
      <c r="L8" s="5">
        <f>('Balance Sheet'!L25-'Balance Sheet'!L17)/'Balance Sheet'!L56</f>
        <v>0.37014087356786968</v>
      </c>
      <c r="M8" s="5"/>
      <c r="N8" s="6" t="s">
        <v>40</v>
      </c>
      <c r="P8" s="137" t="s">
        <v>41</v>
      </c>
    </row>
    <row r="9" spans="1:18" x14ac:dyDescent="0.2">
      <c r="A9" s="1" t="s">
        <v>76</v>
      </c>
      <c r="B9" s="7">
        <f>'Balance Sheet'!B25-'Balance Sheet'!B56</f>
        <v>0</v>
      </c>
      <c r="C9" s="7">
        <f>'Balance Sheet'!C25-'Balance Sheet'!C56</f>
        <v>-5051</v>
      </c>
      <c r="D9" s="7">
        <f>'Balance Sheet'!D25-'Balance Sheet'!D56</f>
        <v>-1885</v>
      </c>
      <c r="E9" s="7">
        <f>'Balance Sheet'!E25-'Balance Sheet'!E56</f>
        <v>2681</v>
      </c>
      <c r="F9" s="7">
        <f>'Balance Sheet'!F25-'Balance Sheet'!F56</f>
        <v>83</v>
      </c>
      <c r="G9" s="7">
        <f>'Balance Sheet'!G25-'Balance Sheet'!G56</f>
        <v>-7013</v>
      </c>
      <c r="H9" s="7">
        <f>'Balance Sheet'!H25-'Balance Sheet'!H56</f>
        <v>-6485</v>
      </c>
      <c r="I9" s="7">
        <f>'Balance Sheet'!I25-'Balance Sheet'!I56</f>
        <v>-9988</v>
      </c>
      <c r="J9" s="7">
        <f>'Balance Sheet'!J25-'Balance Sheet'!J56</f>
        <v>-17760</v>
      </c>
      <c r="K9" s="7">
        <f>'Balance Sheet'!K25-'Balance Sheet'!K56</f>
        <v>-13648</v>
      </c>
      <c r="L9" s="7">
        <f>'Balance Sheet'!L25-'Balance Sheet'!L56</f>
        <v>-21550</v>
      </c>
      <c r="M9" s="7"/>
      <c r="P9" s="137"/>
    </row>
    <row r="10" spans="1:18" x14ac:dyDescent="0.2">
      <c r="B10" s="7"/>
      <c r="C10" s="7"/>
      <c r="D10" s="7"/>
      <c r="E10" s="7"/>
      <c r="F10" s="7"/>
      <c r="G10" s="7"/>
      <c r="H10" s="7"/>
      <c r="I10" s="7"/>
      <c r="J10" s="7"/>
      <c r="K10" s="7"/>
      <c r="L10" s="7"/>
      <c r="M10" s="7"/>
      <c r="N10" s="4" t="s">
        <v>42</v>
      </c>
      <c r="P10" s="137"/>
    </row>
    <row r="11" spans="1:18" x14ac:dyDescent="0.2">
      <c r="A11" s="2" t="s">
        <v>67</v>
      </c>
      <c r="B11" s="5"/>
      <c r="C11" s="5"/>
      <c r="D11" s="5"/>
      <c r="E11" s="5"/>
      <c r="F11" s="5"/>
      <c r="G11" s="5"/>
      <c r="H11" s="5"/>
      <c r="I11" s="5"/>
      <c r="J11" s="5"/>
      <c r="K11" s="5"/>
      <c r="L11" s="5"/>
      <c r="M11" s="5"/>
      <c r="N11" s="13">
        <f>'Income Statement'!L5</f>
        <v>0</v>
      </c>
      <c r="P11" s="13">
        <f>'Income Statement Analysis'!L14</f>
        <v>2765</v>
      </c>
    </row>
    <row r="12" spans="1:18" x14ac:dyDescent="0.2">
      <c r="A12" s="1" t="s">
        <v>68</v>
      </c>
      <c r="B12" s="5" t="e">
        <f>'Income Statement'!B5/'Balance Sheet'!B17</f>
        <v>#DIV/0!</v>
      </c>
      <c r="C12" s="5">
        <f>'Income Statement'!C5/'Balance Sheet'!C17</f>
        <v>0</v>
      </c>
      <c r="D12" s="5">
        <f>'Income Statement'!D5/'Balance Sheet'!D17</f>
        <v>0</v>
      </c>
      <c r="E12" s="5">
        <f>'Income Statement'!E5/'Balance Sheet'!E17</f>
        <v>0</v>
      </c>
      <c r="F12" s="5">
        <f>'Income Statement'!F5/'Balance Sheet'!F17</f>
        <v>0</v>
      </c>
      <c r="G12" s="5">
        <f>'Income Statement'!G5/'Balance Sheet'!G17</f>
        <v>0</v>
      </c>
      <c r="H12" s="5">
        <f>'Income Statement'!H5/'Balance Sheet'!H17</f>
        <v>0</v>
      </c>
      <c r="I12" s="5">
        <f>'Income Statement'!I5/'Balance Sheet'!I17</f>
        <v>0</v>
      </c>
      <c r="J12" s="5">
        <f>'Income Statement'!J5/'Balance Sheet'!J17</f>
        <v>0</v>
      </c>
      <c r="K12" s="5">
        <f>'Income Statement'!K5/'Balance Sheet'!K17</f>
        <v>0</v>
      </c>
      <c r="L12" s="5">
        <f>'Income Statement'!L5/'Balance Sheet'!L17</f>
        <v>0</v>
      </c>
      <c r="M12" s="5"/>
      <c r="R12" s="4" t="s">
        <v>43</v>
      </c>
    </row>
    <row r="13" spans="1:18" x14ac:dyDescent="0.2">
      <c r="A13" s="1" t="s">
        <v>77</v>
      </c>
      <c r="B13" s="7" t="e">
        <f>'Balance Sheet'!B23/('Income Statement'!B4/365)</f>
        <v>#DIV/0!</v>
      </c>
      <c r="C13" s="7">
        <f>'Balance Sheet'!C23/('Income Statement'!C4/365)</f>
        <v>0</v>
      </c>
      <c r="D13" s="7">
        <f>'Balance Sheet'!D23/('Income Statement'!D4/365)</f>
        <v>0</v>
      </c>
      <c r="E13" s="7">
        <f>'Balance Sheet'!E23/('Income Statement'!E4/365)</f>
        <v>0</v>
      </c>
      <c r="F13" s="7">
        <f>'Balance Sheet'!F23/('Income Statement'!F4/365)</f>
        <v>0</v>
      </c>
      <c r="G13" s="7">
        <f>'Balance Sheet'!G23/('Income Statement'!G4/365)</f>
        <v>0</v>
      </c>
      <c r="H13" s="7">
        <f>'Balance Sheet'!H23/('Income Statement'!H4/365)</f>
        <v>0</v>
      </c>
      <c r="I13" s="7">
        <f>'Balance Sheet'!I23/('Income Statement'!I4/365)</f>
        <v>0</v>
      </c>
      <c r="J13" s="7">
        <f>'Balance Sheet'!J23/('Income Statement'!J4/365)</f>
        <v>0</v>
      </c>
      <c r="K13" s="7">
        <f>'Balance Sheet'!K23/('Income Statement'!K4/365)</f>
        <v>0</v>
      </c>
      <c r="L13" s="7">
        <f>'Balance Sheet'!L23/('Income Statement'!L4/365)</f>
        <v>0</v>
      </c>
      <c r="M13" s="7"/>
      <c r="N13" s="6" t="s">
        <v>40</v>
      </c>
      <c r="R13" s="14">
        <f>P11/P16</f>
        <v>4.2227923882830871E-2</v>
      </c>
    </row>
    <row r="14" spans="1:18" x14ac:dyDescent="0.2">
      <c r="A14" s="1" t="s">
        <v>78</v>
      </c>
      <c r="B14" s="7" t="e">
        <f>'Balance Sheet'!B49/(('Income Statement Analysis'!#REF!*'Income Statement Analysis'!B5)/365)</f>
        <v>#REF!</v>
      </c>
      <c r="C14" s="64" t="e">
        <f>'Balance Sheet'!C49/(('Income Statement Analysis'!#REF!*'Income Statement Analysis'!C5)/365)</f>
        <v>#REF!</v>
      </c>
      <c r="D14" s="64" t="e">
        <f>'Balance Sheet'!D49/(('Income Statement Analysis'!#REF!*'Income Statement Analysis'!D5)/365)</f>
        <v>#REF!</v>
      </c>
      <c r="E14" s="64" t="e">
        <f>'Balance Sheet'!E49/(('Income Statement Analysis'!#REF!*'Income Statement Analysis'!E5)/365)</f>
        <v>#REF!</v>
      </c>
      <c r="F14" s="64" t="e">
        <f>'Balance Sheet'!F49/(('Income Statement Analysis'!#REF!*'Income Statement Analysis'!F5)/365)</f>
        <v>#REF!</v>
      </c>
      <c r="G14" s="64" t="e">
        <f>'Balance Sheet'!G49/(('Income Statement Analysis'!#REF!*'Income Statement Analysis'!G5)/365)</f>
        <v>#REF!</v>
      </c>
      <c r="H14" s="64" t="e">
        <f>'Balance Sheet'!H49/(('Income Statement Analysis'!#REF!*'Income Statement Analysis'!H5)/365)</f>
        <v>#REF!</v>
      </c>
      <c r="I14" s="64" t="e">
        <f>'Balance Sheet'!I49/(('Income Statement Analysis'!#REF!*'Income Statement Analysis'!I5)/365)</f>
        <v>#REF!</v>
      </c>
      <c r="J14" s="64" t="e">
        <f>'Balance Sheet'!J49/(('Income Statement Analysis'!#REF!*'Income Statement Analysis'!J5)/365)</f>
        <v>#REF!</v>
      </c>
      <c r="K14" s="64" t="e">
        <f>'Balance Sheet'!K49/(('Income Statement Analysis'!#REF!*'Income Statement Analysis'!K5)/365)</f>
        <v>#REF!</v>
      </c>
      <c r="L14" s="64" t="e">
        <f>'Balance Sheet'!L49/(('Income Statement Analysis'!#REF!*'Income Statement Analysis'!L5)/365)</f>
        <v>#REF!</v>
      </c>
      <c r="M14" s="7"/>
    </row>
    <row r="15" spans="1:18" x14ac:dyDescent="0.2">
      <c r="A15" s="1" t="s">
        <v>69</v>
      </c>
      <c r="B15" s="8" t="e">
        <f>'Income Statement'!B4/'Balance Sheet'!B27</f>
        <v>#DIV/0!</v>
      </c>
      <c r="C15" s="8">
        <f>'Income Statement'!C4/'Balance Sheet'!C27</f>
        <v>0.30491660417891087</v>
      </c>
      <c r="D15" s="8">
        <f>'Income Statement'!D4/'Balance Sheet'!D27</f>
        <v>0.28339548146523358</v>
      </c>
      <c r="E15" s="8">
        <f>'Income Statement'!E4/'Balance Sheet'!E27</f>
        <v>0.25639917917701693</v>
      </c>
      <c r="F15" s="8">
        <f>'Income Statement'!F4/'Balance Sheet'!F27</f>
        <v>0.2271622673131023</v>
      </c>
      <c r="G15" s="8">
        <f>'Income Statement'!G4/'Balance Sheet'!G27</f>
        <v>0.25785792533917584</v>
      </c>
      <c r="H15" s="8">
        <f>'Income Statement'!H4/'Balance Sheet'!H27</f>
        <v>0.24617452034370463</v>
      </c>
      <c r="I15" s="8">
        <f>'Income Statement'!I4/'Balance Sheet'!I27</f>
        <v>0.23555309578005168</v>
      </c>
      <c r="J15" s="8">
        <f>'Income Statement'!J4/'Balance Sheet'!J27</f>
        <v>0.18618982520346244</v>
      </c>
      <c r="K15" s="8">
        <f>'Income Statement'!K4/'Balance Sheet'!K27</f>
        <v>0.17443384129317915</v>
      </c>
      <c r="L15" s="8">
        <f>'Income Statement'!L4/'Balance Sheet'!L27</f>
        <v>0.18621013266597466</v>
      </c>
      <c r="M15" s="8"/>
      <c r="N15" s="4" t="s">
        <v>44</v>
      </c>
      <c r="P15" s="4" t="str">
        <f>N5</f>
        <v xml:space="preserve">Sales </v>
      </c>
    </row>
    <row r="16" spans="1:18" x14ac:dyDescent="0.2">
      <c r="B16" s="5"/>
      <c r="C16" s="5"/>
      <c r="D16" s="5"/>
      <c r="E16" s="5"/>
      <c r="F16" s="5"/>
      <c r="G16" s="5"/>
      <c r="H16" s="5"/>
      <c r="I16" s="5"/>
      <c r="J16" s="5"/>
      <c r="K16" s="5"/>
      <c r="L16" s="5"/>
      <c r="M16" s="5"/>
      <c r="N16" s="13">
        <f>'Income Statement'!L7</f>
        <v>37921</v>
      </c>
      <c r="P16" s="13">
        <f>N6</f>
        <v>65478</v>
      </c>
    </row>
    <row r="17" spans="1:22" x14ac:dyDescent="0.2">
      <c r="A17" s="2" t="s">
        <v>70</v>
      </c>
      <c r="B17" s="5"/>
      <c r="C17" s="5"/>
      <c r="D17" s="5"/>
      <c r="E17" s="5"/>
      <c r="F17" s="5"/>
      <c r="G17" s="5"/>
      <c r="H17" s="5"/>
      <c r="I17" s="5"/>
      <c r="J17" s="5"/>
      <c r="K17" s="5"/>
      <c r="L17" s="5"/>
      <c r="M17" s="5"/>
    </row>
    <row r="18" spans="1:22" x14ac:dyDescent="0.2">
      <c r="A18" s="1" t="s">
        <v>71</v>
      </c>
      <c r="B18" s="8" t="e">
        <f>'Balance Sheet'!B58/'Balance Sheet'!B27</f>
        <v>#DIV/0!</v>
      </c>
      <c r="C18" s="8">
        <f>'Balance Sheet'!C58/'Balance Sheet'!C27</f>
        <v>0.48360456397057333</v>
      </c>
      <c r="D18" s="8">
        <f>'Balance Sheet'!D58/'Balance Sheet'!D27</f>
        <v>0.50787115932981253</v>
      </c>
      <c r="E18" s="8">
        <f>'Balance Sheet'!E58/'Balance Sheet'!E27</f>
        <v>0.5438888288872088</v>
      </c>
      <c r="F18" s="8">
        <f>'Balance Sheet'!F58/'Balance Sheet'!F27</f>
        <v>0.5590710480636859</v>
      </c>
      <c r="G18" s="8">
        <f>'Balance Sheet'!G58/'Balance Sheet'!G27</f>
        <v>0.55382713968708741</v>
      </c>
      <c r="H18" s="8">
        <f>'Balance Sheet'!H58/'Balance Sheet'!H27</f>
        <v>0.5833464118962608</v>
      </c>
      <c r="I18" s="8">
        <f>'Balance Sheet'!I58/'Balance Sheet'!I27</f>
        <v>0.59489578088393791</v>
      </c>
      <c r="J18" s="8">
        <f>'Balance Sheet'!J58/'Balance Sheet'!J27</f>
        <v>0.56665316847268443</v>
      </c>
      <c r="K18" s="8">
        <f>'Balance Sheet'!K58/'Balance Sheet'!K27</f>
        <v>0.59794384289253721</v>
      </c>
      <c r="L18" s="8">
        <f>'Balance Sheet'!L58/'Balance Sheet'!L27</f>
        <v>0.59172721714277587</v>
      </c>
      <c r="M18" s="8"/>
      <c r="N18" s="6" t="s">
        <v>40</v>
      </c>
    </row>
    <row r="19" spans="1:22" x14ac:dyDescent="0.2">
      <c r="A19" s="1" t="s">
        <v>72</v>
      </c>
      <c r="B19" s="5" t="e">
        <f>'Income Statement'!B10/'Income Statement'!B11</f>
        <v>#DIV/0!</v>
      </c>
      <c r="C19" s="5">
        <f>'Income Statement'!C10/'Income Statement'!C11</f>
        <v>5.7089590885551527</v>
      </c>
      <c r="D19" s="5">
        <f>'Income Statement'!D10/'Income Statement'!D11</f>
        <v>4.4170905391658186</v>
      </c>
      <c r="E19" s="5">
        <f>'Income Statement'!E10/'Income Statement'!E11</f>
        <v>3.0168308702791462</v>
      </c>
      <c r="F19" s="5">
        <f>'Income Statement'!F10/'Income Statement'!F11</f>
        <v>2.9777623349548299</v>
      </c>
      <c r="G19" s="5">
        <f>'Income Statement'!G10/'Income Statement'!G11</f>
        <v>2.6567560392885587</v>
      </c>
      <c r="H19" s="5">
        <f>'Income Statement'!H10/'Income Statement'!H11</f>
        <v>2.2295719844357977</v>
      </c>
      <c r="I19" s="5">
        <f>'Income Statement'!I10/'Income Statement'!I11</f>
        <v>2.2853539902720232</v>
      </c>
      <c r="J19" s="5">
        <f>'Income Statement'!J10/'Income Statement'!J11</f>
        <v>2.2512363996043523</v>
      </c>
      <c r="K19" s="5">
        <f>'Income Statement'!K10/'Income Statement'!K11</f>
        <v>1.2075498374098685</v>
      </c>
      <c r="L19" s="5">
        <f>'Income Statement'!L10/'Income Statement'!L11</f>
        <v>1.4938628994905048</v>
      </c>
      <c r="M19" s="5"/>
    </row>
    <row r="20" spans="1:22" x14ac:dyDescent="0.2">
      <c r="B20" s="5"/>
      <c r="C20" s="5"/>
      <c r="D20" s="5"/>
      <c r="E20" s="5"/>
      <c r="F20" s="5"/>
      <c r="G20" s="5"/>
      <c r="H20" s="5"/>
      <c r="I20" s="5"/>
      <c r="J20" s="5"/>
      <c r="K20" s="5"/>
      <c r="L20" s="5"/>
      <c r="M20" s="5"/>
      <c r="N20" s="4" t="s">
        <v>45</v>
      </c>
    </row>
    <row r="21" spans="1:22" x14ac:dyDescent="0.2">
      <c r="A21" s="2" t="s">
        <v>73</v>
      </c>
      <c r="B21" s="5"/>
      <c r="C21" s="5"/>
      <c r="D21" s="5"/>
      <c r="E21" s="5"/>
      <c r="F21" s="5"/>
      <c r="G21" s="5"/>
      <c r="H21" s="5"/>
      <c r="I21" s="5"/>
      <c r="J21" s="5"/>
      <c r="K21" s="5"/>
      <c r="L21" s="5"/>
      <c r="M21" s="5"/>
      <c r="N21" s="13">
        <f>'Income Statement'!L11</f>
        <v>8636</v>
      </c>
    </row>
    <row r="22" spans="1:22" x14ac:dyDescent="0.2">
      <c r="A22" s="1" t="s">
        <v>37</v>
      </c>
      <c r="B22" s="8" t="e">
        <f>'Income Statement'!B6/'Income Statement'!B4</f>
        <v>#DIV/0!</v>
      </c>
      <c r="C22" s="8">
        <f>'Income Statement'!C6/'Income Statement'!C4</f>
        <v>1</v>
      </c>
      <c r="D22" s="8">
        <f>'Income Statement'!D6/'Income Statement'!D4</f>
        <v>1</v>
      </c>
      <c r="E22" s="8">
        <f>'Income Statement'!E6/'Income Statement'!E4</f>
        <v>1</v>
      </c>
      <c r="F22" s="8">
        <f>'Income Statement'!F6/'Income Statement'!F4</f>
        <v>1</v>
      </c>
      <c r="G22" s="8">
        <f>'Income Statement'!G6/'Income Statement'!G4</f>
        <v>1</v>
      </c>
      <c r="H22" s="8">
        <f>'Income Statement'!H6/'Income Statement'!H4</f>
        <v>1</v>
      </c>
      <c r="I22" s="8">
        <f>'Income Statement'!I6/'Income Statement'!I4</f>
        <v>1</v>
      </c>
      <c r="J22" s="8">
        <f>'Income Statement'!J6/'Income Statement'!J4</f>
        <v>1</v>
      </c>
      <c r="K22" s="8">
        <f>'Income Statement'!K6/'Income Statement'!K4</f>
        <v>1</v>
      </c>
      <c r="L22" s="8">
        <f>'Income Statement'!L6/'Income Statement'!L4</f>
        <v>1</v>
      </c>
      <c r="M22" s="8"/>
    </row>
    <row r="23" spans="1:22" x14ac:dyDescent="0.2">
      <c r="A23" s="1" t="s">
        <v>38</v>
      </c>
      <c r="B23" s="8" t="e">
        <f>'Income Statement'!B10/'Income Statement'!B4</f>
        <v>#DIV/0!</v>
      </c>
      <c r="C23" s="8">
        <f>'Income Statement'!C10/'Income Statement'!C4</f>
        <v>0.36635538865441492</v>
      </c>
      <c r="D23" s="8">
        <f>'Income Statement'!D10/'Income Statement'!D4</f>
        <v>0.25851393188854488</v>
      </c>
      <c r="E23" s="8">
        <f>'Income Statement'!E10/'Income Statement'!E4</f>
        <v>0.20637461387250772</v>
      </c>
      <c r="F23" s="8">
        <f>'Income Statement'!F10/'Income Statement'!F4</f>
        <v>0.22581155143338955</v>
      </c>
      <c r="G23" s="8">
        <f>'Income Statement'!G10/'Income Statement'!G4</f>
        <v>0.21803921568627452</v>
      </c>
      <c r="H23" s="8">
        <f>'Income Statement'!H10/'Income Statement'!H4</f>
        <v>0.22831414113240625</v>
      </c>
      <c r="I23" s="8">
        <f>'Income Statement'!I10/'Income Statement'!I4</f>
        <v>0.22411051831961276</v>
      </c>
      <c r="J23" s="8">
        <f>'Income Statement'!J10/'Income Statement'!J4</f>
        <v>0.22331240188383045</v>
      </c>
      <c r="K23" s="8">
        <f>'Income Statement'!K10/'Income Statement'!K4</f>
        <v>0.13738800328148373</v>
      </c>
      <c r="L23" s="8">
        <f>'Income Statement'!L10/'Income Statement'!L4</f>
        <v>0.19702800940774001</v>
      </c>
      <c r="M23" s="8"/>
      <c r="N23" s="6" t="s">
        <v>40</v>
      </c>
    </row>
    <row r="24" spans="1:22" x14ac:dyDescent="0.2">
      <c r="A24" s="1" t="s">
        <v>43</v>
      </c>
      <c r="B24" s="8" t="e">
        <f>'Income Statement'!B14/'Income Statement'!B4</f>
        <v>#DIV/0!</v>
      </c>
      <c r="C24" s="8">
        <f>'Income Statement'!C14/'Income Statement'!C4</f>
        <v>0.21438303811770962</v>
      </c>
      <c r="D24" s="8">
        <f>'Income Statement'!D14/'Income Statement'!D4</f>
        <v>0.15015479876160992</v>
      </c>
      <c r="E24" s="8">
        <f>'Income Statement'!E14/'Income Statement'!E4</f>
        <v>8.9609660207806793E-2</v>
      </c>
      <c r="F24" s="8">
        <f>'Income Statement'!F14/'Income Statement'!F4</f>
        <v>0.11024451939291736</v>
      </c>
      <c r="G24" s="8">
        <f>'Income Statement'!G14/'Income Statement'!G4</f>
        <v>8.9738562091503271E-2</v>
      </c>
      <c r="H24" s="8">
        <f>'Income Statement'!H14/'Income Statement'!H4</f>
        <v>8.6464517671434829E-2</v>
      </c>
      <c r="I24" s="8">
        <f>'Income Statement'!I14/'Income Statement'!I4</f>
        <v>9.1350740204218628E-2</v>
      </c>
      <c r="J24" s="8">
        <f>'Income Statement'!J14/'Income Statement'!J4</f>
        <v>8.6701988487702775E-2</v>
      </c>
      <c r="K24" s="8">
        <f>'Income Statement'!K14/'Income Statement'!K4</f>
        <v>6.3216819212765611E-3</v>
      </c>
      <c r="L24" s="56">
        <f>'Income Statement'!L14/'Income Statement'!L4</f>
        <v>4.2227923882830871E-2</v>
      </c>
      <c r="M24" s="8"/>
      <c r="T24" s="137" t="s">
        <v>46</v>
      </c>
    </row>
    <row r="25" spans="1:22" x14ac:dyDescent="0.2">
      <c r="A25" s="1" t="s">
        <v>74</v>
      </c>
      <c r="B25" s="5">
        <f>'Income Statement Analysis'!B29</f>
        <v>0</v>
      </c>
      <c r="C25" s="5">
        <f>'Income Statement Analysis'!C29</f>
        <v>0</v>
      </c>
      <c r="D25" s="5">
        <f>'Income Statement Analysis'!D29</f>
        <v>0</v>
      </c>
      <c r="E25" s="5">
        <f>'Income Statement Analysis'!E29</f>
        <v>0</v>
      </c>
      <c r="F25" s="5">
        <f>'Income Statement Analysis'!F29</f>
        <v>0</v>
      </c>
      <c r="G25" s="5">
        <f>'Income Statement Analysis'!G29</f>
        <v>0</v>
      </c>
      <c r="H25" s="5">
        <f>'Income Statement Analysis'!H29</f>
        <v>0</v>
      </c>
      <c r="I25" s="5">
        <f>'Income Statement Analysis'!I29</f>
        <v>0</v>
      </c>
      <c r="J25" s="5">
        <f>'Income Statement Analysis'!J29</f>
        <v>0</v>
      </c>
      <c r="K25" s="5">
        <f>'Income Statement Analysis'!K29</f>
        <v>0</v>
      </c>
      <c r="L25" s="85">
        <f>'Income Statement Analysis'!L29</f>
        <v>0</v>
      </c>
      <c r="M25" s="5"/>
      <c r="N25" s="4" t="s">
        <v>47</v>
      </c>
      <c r="R25" s="9" t="s">
        <v>48</v>
      </c>
      <c r="T25" s="137"/>
    </row>
    <row r="26" spans="1:22" x14ac:dyDescent="0.2">
      <c r="A26" s="1" t="s">
        <v>46</v>
      </c>
      <c r="B26" s="8" t="e">
        <f>('Income Statement'!B14-'Income Statement Analysis'!B31)/'Balance Sheet'!B27</f>
        <v>#DIV/0!</v>
      </c>
      <c r="C26" s="8">
        <f>('Income Statement'!C14-'Income Statement Analysis'!C31)/'Balance Sheet'!C27</f>
        <v>6.5368947976410033E-2</v>
      </c>
      <c r="D26" s="8">
        <f>('Income Statement'!D14-'Income Statement Analysis'!D31)/'Balance Sheet'!D27</f>
        <v>4.2553191489361701E-2</v>
      </c>
      <c r="E26" s="8">
        <f>('Income Statement'!E14-'Income Statement Analysis'!E31)/'Balance Sheet'!E27</f>
        <v>2.2975843323613063E-2</v>
      </c>
      <c r="F26" s="8">
        <f>('Income Statement'!F14-'Income Statement Analysis'!F31)/'Balance Sheet'!F27</f>
        <v>2.5043394984138385E-2</v>
      </c>
      <c r="G26" s="8">
        <f>('Income Statement'!G14-'Income Statement Analysis'!G31)/'Balance Sheet'!G27</f>
        <v>2.3139799443835846E-2</v>
      </c>
      <c r="H26" s="8">
        <f>('Income Statement'!H14-'Income Statement Analysis'!H31)/'Balance Sheet'!H27</f>
        <v>2.1285361164515244E-2</v>
      </c>
      <c r="I26" s="8">
        <f>('Income Statement'!I14-'Income Statement Analysis'!I31)/'Balance Sheet'!I27</f>
        <v>2.1517949656902929E-2</v>
      </c>
      <c r="J26" s="8">
        <f>('Income Statement'!J14-'Income Statement Analysis'!J31)/'Balance Sheet'!J27</f>
        <v>1.6143028081317991E-2</v>
      </c>
      <c r="K26" s="8">
        <f>('Income Statement'!K14-'Income Statement Analysis'!K31)/'Balance Sheet'!K27</f>
        <v>1.1027152609619157E-3</v>
      </c>
      <c r="L26" s="56">
        <f>('Income Statement'!L14-'Income Statement Analysis'!L31)/'Balance Sheet'!L27</f>
        <v>7.8632673084306163E-3</v>
      </c>
      <c r="M26" s="8"/>
      <c r="N26" s="13">
        <f>'Income Statement'!L13</f>
        <v>1500</v>
      </c>
      <c r="T26" s="14">
        <f>R13*R38</f>
        <v>7.8632673084306163E-3</v>
      </c>
    </row>
    <row r="27" spans="1:22" x14ac:dyDescent="0.2">
      <c r="A27" s="1" t="s">
        <v>75</v>
      </c>
      <c r="B27" s="8" t="e">
        <f>('Income Statement Analysis'!B14-'Income Statement Analysis'!B31)/('Balance Sheet'!B37-'Income Statement Analysis'!B30)</f>
        <v>#DIV/0!</v>
      </c>
      <c r="C27" s="8">
        <f>('Income Statement Analysis'!C14-'Income Statement Analysis'!C31)/('Balance Sheet'!C37-'Income Statement Analysis'!C30)</f>
        <v>0.12658699790035519</v>
      </c>
      <c r="D27" s="8">
        <f>('Income Statement Analysis'!D14-'Income Statement Analysis'!D31)/('Balance Sheet'!D37-'Income Statement Analysis'!D30)</f>
        <v>8.6467583227620257E-2</v>
      </c>
      <c r="E27" s="8">
        <f>('Income Statement Analysis'!E14-'Income Statement Analysis'!E31)/('Balance Sheet'!E37-'Income Statement Analysis'!E30)</f>
        <v>5.0373340489683803E-2</v>
      </c>
      <c r="F27" s="8">
        <f>('Income Statement Analysis'!F14-'Income Statement Analysis'!F31)/('Balance Sheet'!F37-'Income Statement Analysis'!F30)</f>
        <v>5.6796894089539272E-2</v>
      </c>
      <c r="G27" s="8">
        <f>('Income Statement Analysis'!G14-'Income Statement Analysis'!G31)/('Balance Sheet'!G37-'Income Statement Analysis'!G30)</f>
        <v>5.1862857430654358E-2</v>
      </c>
      <c r="H27" s="8">
        <f>('Income Statement Analysis'!H14-'Income Statement Analysis'!H31)/('Balance Sheet'!H37-'Income Statement Analysis'!H30)</f>
        <v>5.1086470325117123E-2</v>
      </c>
      <c r="I27" s="8">
        <f>('Income Statement Analysis'!I14-'Income Statement Analysis'!I31)/('Balance Sheet'!I37-'Income Statement Analysis'!I30)</f>
        <v>5.3247248051239281E-2</v>
      </c>
      <c r="J27" s="8">
        <f>('Income Statement Analysis'!J14-'Income Statement Analysis'!J31)/('Balance Sheet'!J37-'Income Statement Analysis'!J30)</f>
        <v>3.7251981338879206E-2</v>
      </c>
      <c r="K27" s="8">
        <f>('Income Statement Analysis'!K14-'Income Statement Analysis'!K31)/('Balance Sheet'!K37-'Income Statement Analysis'!K30)</f>
        <v>2.7426896503594108E-3</v>
      </c>
      <c r="L27" s="56">
        <f>('Income Statement Analysis'!L14-'Income Statement Analysis'!L31)/('Balance Sheet'!L37-'Income Statement Analysis'!L30)</f>
        <v>1.9259837144668196E-2</v>
      </c>
      <c r="M27" s="8"/>
    </row>
    <row r="28" spans="1:22" x14ac:dyDescent="0.2">
      <c r="B28" s="5"/>
      <c r="C28" s="5"/>
      <c r="D28" s="5"/>
      <c r="E28" s="5"/>
      <c r="F28" s="5"/>
      <c r="G28" s="5"/>
      <c r="H28" s="5"/>
      <c r="I28" s="5"/>
      <c r="J28" s="5"/>
      <c r="K28" s="5"/>
      <c r="L28" s="5"/>
      <c r="M28" s="5"/>
      <c r="N28" s="6" t="s">
        <v>40</v>
      </c>
    </row>
    <row r="29" spans="1:22" x14ac:dyDescent="0.2">
      <c r="B29" s="5"/>
      <c r="C29" s="5"/>
      <c r="D29" s="5"/>
      <c r="E29" s="5"/>
      <c r="F29" s="5"/>
      <c r="G29" s="5"/>
      <c r="H29" s="5"/>
      <c r="I29" s="5"/>
      <c r="J29" s="5"/>
      <c r="K29" s="5"/>
      <c r="L29" s="5"/>
      <c r="M29" s="5"/>
    </row>
    <row r="30" spans="1:22" x14ac:dyDescent="0.2">
      <c r="B30" s="5"/>
      <c r="C30" s="5"/>
      <c r="D30" s="5"/>
      <c r="E30" s="5"/>
      <c r="F30" s="5"/>
      <c r="G30" s="5"/>
      <c r="H30" s="5"/>
      <c r="I30" s="5"/>
      <c r="J30" s="5"/>
      <c r="K30" s="5"/>
      <c r="L30" s="5"/>
      <c r="M30" s="5"/>
      <c r="N30" s="4" t="s">
        <v>49</v>
      </c>
    </row>
    <row r="31" spans="1:22" x14ac:dyDescent="0.2">
      <c r="B31" s="5"/>
      <c r="C31" s="5"/>
      <c r="D31" s="5"/>
      <c r="E31" s="5"/>
      <c r="F31" s="5"/>
      <c r="G31" s="5"/>
      <c r="H31" s="5"/>
      <c r="I31" s="5"/>
      <c r="J31" s="5"/>
      <c r="K31" s="5"/>
      <c r="L31" s="5"/>
      <c r="M31" s="5"/>
      <c r="N31" s="11">
        <v>0</v>
      </c>
      <c r="V31" s="137" t="s">
        <v>50</v>
      </c>
    </row>
    <row r="32" spans="1:22" x14ac:dyDescent="0.2">
      <c r="B32" s="5"/>
      <c r="C32" s="5"/>
      <c r="D32" s="5"/>
      <c r="E32" s="5"/>
      <c r="F32" s="5"/>
      <c r="G32" s="5"/>
      <c r="H32" s="5"/>
      <c r="I32" s="5"/>
      <c r="J32" s="5"/>
      <c r="K32" s="5"/>
      <c r="L32" s="5"/>
      <c r="M32" s="5"/>
      <c r="T32" s="1" t="str">
        <f>R25</f>
        <v>multiplied by</v>
      </c>
      <c r="V32" s="137"/>
    </row>
    <row r="33" spans="2:22" x14ac:dyDescent="0.2">
      <c r="B33" s="5"/>
      <c r="C33" s="5"/>
      <c r="D33" s="5"/>
      <c r="E33" s="5"/>
      <c r="F33" s="5"/>
      <c r="G33" s="5"/>
      <c r="H33" s="5"/>
      <c r="I33" s="5"/>
      <c r="J33" s="5"/>
      <c r="K33" s="5"/>
      <c r="L33" s="5"/>
      <c r="M33" s="5"/>
      <c r="V33" s="14">
        <f>T26*T48</f>
        <v>0</v>
      </c>
    </row>
    <row r="34" spans="2:22" x14ac:dyDescent="0.2">
      <c r="B34" s="5"/>
      <c r="C34" s="5"/>
      <c r="D34" s="5"/>
      <c r="E34" s="5"/>
      <c r="F34" s="5"/>
      <c r="G34" s="5"/>
      <c r="H34" s="5"/>
      <c r="I34" s="5"/>
      <c r="J34" s="5"/>
      <c r="K34" s="5"/>
      <c r="L34" s="5"/>
      <c r="M34" s="5"/>
    </row>
    <row r="35" spans="2:22" x14ac:dyDescent="0.2">
      <c r="N35" s="4" t="s">
        <v>51</v>
      </c>
      <c r="P35" s="4" t="str">
        <f>N5</f>
        <v xml:space="preserve">Sales </v>
      </c>
    </row>
    <row r="36" spans="2:22" x14ac:dyDescent="0.2">
      <c r="N36" s="13">
        <f>'Balance Sheet'!L25</f>
        <v>17989</v>
      </c>
      <c r="P36" s="13">
        <f>N6</f>
        <v>65478</v>
      </c>
    </row>
    <row r="37" spans="2:22" x14ac:dyDescent="0.2">
      <c r="R37" s="4" t="s">
        <v>52</v>
      </c>
    </row>
    <row r="38" spans="2:22" x14ac:dyDescent="0.2">
      <c r="N38" s="6" t="s">
        <v>53</v>
      </c>
      <c r="P38" s="6" t="s">
        <v>54</v>
      </c>
      <c r="R38" s="15">
        <f>P36/P41</f>
        <v>0.18621013266597466</v>
      </c>
    </row>
    <row r="40" spans="2:22" x14ac:dyDescent="0.2">
      <c r="N40" s="4" t="s">
        <v>55</v>
      </c>
      <c r="P40" s="4" t="s">
        <v>56</v>
      </c>
    </row>
    <row r="41" spans="2:22" x14ac:dyDescent="0.2">
      <c r="N41" s="13">
        <f>'Balance Sheet'!L14</f>
        <v>333646</v>
      </c>
      <c r="P41" s="13">
        <f>'Balance Sheet'!L27</f>
        <v>351635</v>
      </c>
    </row>
    <row r="43" spans="2:22" x14ac:dyDescent="0.2">
      <c r="N43" s="6"/>
      <c r="P43" s="6"/>
      <c r="R43" s="137" t="s">
        <v>57</v>
      </c>
    </row>
    <row r="44" spans="2:22" x14ac:dyDescent="0.2">
      <c r="R44" s="137"/>
    </row>
    <row r="45" spans="2:22" x14ac:dyDescent="0.2">
      <c r="N45" s="4" t="s">
        <v>58</v>
      </c>
      <c r="P45" s="4" t="s">
        <v>59</v>
      </c>
      <c r="R45" s="137"/>
    </row>
    <row r="46" spans="2:22" x14ac:dyDescent="0.2">
      <c r="N46" s="13">
        <f>'Balance Sheet'!L56</f>
        <v>39539</v>
      </c>
      <c r="P46" s="11">
        <f>'Balance Sheet'!L58</f>
        <v>208072</v>
      </c>
      <c r="R46" s="13">
        <f>'Balance Sheet'!L1</f>
        <v>0</v>
      </c>
      <c r="T46" s="137" t="s">
        <v>60</v>
      </c>
    </row>
    <row r="47" spans="2:22" x14ac:dyDescent="0.2">
      <c r="T47" s="137"/>
    </row>
    <row r="48" spans="2:22" x14ac:dyDescent="0.2">
      <c r="N48" s="6" t="s">
        <v>53</v>
      </c>
      <c r="P48" s="6"/>
      <c r="R48" s="1" t="str">
        <f>P38</f>
        <v>divided by</v>
      </c>
      <c r="T48" s="13">
        <f>R46/R52</f>
        <v>0</v>
      </c>
    </row>
    <row r="50" spans="14:22" x14ac:dyDescent="0.2">
      <c r="N50" s="4" t="s">
        <v>61</v>
      </c>
      <c r="P50" s="4" t="s">
        <v>62</v>
      </c>
      <c r="R50" s="137" t="s">
        <v>63</v>
      </c>
    </row>
    <row r="51" spans="14:22" x14ac:dyDescent="0.2">
      <c r="N51" s="13">
        <f>'Balance Sheet'!L46</f>
        <v>168533</v>
      </c>
      <c r="P51" s="13">
        <f>'Balance Sheet'!L37</f>
        <v>143563</v>
      </c>
      <c r="R51" s="137"/>
    </row>
    <row r="52" spans="14:22" x14ac:dyDescent="0.2">
      <c r="R52" s="13">
        <f>P51</f>
        <v>143563</v>
      </c>
    </row>
    <row r="54" spans="14:22" x14ac:dyDescent="0.2">
      <c r="V54" s="12" t="s">
        <v>96</v>
      </c>
    </row>
  </sheetData>
  <mergeCells count="7">
    <mergeCell ref="A1:M1"/>
    <mergeCell ref="R50:R51"/>
    <mergeCell ref="P8:P10"/>
    <mergeCell ref="T24:T25"/>
    <mergeCell ref="V31:V32"/>
    <mergeCell ref="R43:R45"/>
    <mergeCell ref="T46:T47"/>
  </mergeCells>
  <hyperlinks>
    <hyperlink ref="N1" location="Cover!A1" display="Cover"/>
    <hyperlink ref="V54" location="Cover!A1" display="Cover"/>
  </hyperlinks>
  <pageMargins left="0.25" right="0.25" top="0.75" bottom="0.75" header="0.3" footer="0.3"/>
  <pageSetup paperSize="9" orientation="portrait" r:id="rId1"/>
  <ignoredErrors>
    <ignoredError sqref="G7:L13 G15:L27 G14:L14 C14:F14" evalError="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00"/>
  </sheetPr>
  <dimension ref="A1:O38"/>
  <sheetViews>
    <sheetView showGridLines="0" topLeftCell="A30" workbookViewId="0">
      <selection activeCell="A33" sqref="A33"/>
    </sheetView>
  </sheetViews>
  <sheetFormatPr defaultRowHeight="12.75" x14ac:dyDescent="0.2"/>
  <cols>
    <col min="1" max="1" width="25.140625" style="1" bestFit="1" customWidth="1"/>
    <col min="2" max="2" width="9.28515625" style="1" hidden="1" customWidth="1"/>
    <col min="3" max="10" width="9.28515625" style="1" bestFit="1" customWidth="1"/>
    <col min="11" max="12" width="11.28515625" style="1" bestFit="1" customWidth="1"/>
    <col min="13" max="13" width="4.7109375" style="1" customWidth="1"/>
    <col min="14" max="14" width="11.28515625" style="2" bestFit="1" customWidth="1"/>
    <col min="15" max="16384" width="9.140625" style="1"/>
  </cols>
  <sheetData>
    <row r="1" spans="1:15" ht="15" x14ac:dyDescent="0.2">
      <c r="A1" s="136" t="s">
        <v>32</v>
      </c>
      <c r="B1" s="136"/>
      <c r="C1" s="136"/>
      <c r="D1" s="136"/>
      <c r="E1" s="136"/>
      <c r="F1" s="136"/>
      <c r="G1" s="136"/>
      <c r="H1" s="136"/>
      <c r="I1" s="136"/>
      <c r="J1" s="136"/>
      <c r="K1" s="136"/>
      <c r="L1" s="136"/>
      <c r="M1" s="136"/>
      <c r="N1" s="136"/>
      <c r="O1" s="12" t="s">
        <v>96</v>
      </c>
    </row>
    <row r="3" spans="1:15" x14ac:dyDescent="0.2">
      <c r="A3" s="2" t="s">
        <v>128</v>
      </c>
      <c r="B3" s="2">
        <f>'Income Statement'!B3</f>
        <v>2007</v>
      </c>
      <c r="C3" s="2">
        <f>'Income Statement'!C3</f>
        <v>2008</v>
      </c>
      <c r="D3" s="2">
        <f>'Income Statement'!D3</f>
        <v>2009</v>
      </c>
      <c r="E3" s="2">
        <f>'Income Statement'!E3</f>
        <v>2010</v>
      </c>
      <c r="F3" s="2">
        <f>'Income Statement'!F3</f>
        <v>2011</v>
      </c>
      <c r="G3" s="2">
        <f>'Income Statement'!G3</f>
        <v>2012</v>
      </c>
      <c r="H3" s="2">
        <f>'Income Statement'!H3</f>
        <v>2013</v>
      </c>
      <c r="I3" s="2">
        <f>'Income Statement'!I3</f>
        <v>2014</v>
      </c>
      <c r="J3" s="2">
        <f>'Income Statement'!J3</f>
        <v>2015</v>
      </c>
      <c r="K3" s="2">
        <f>'Income Statement'!K3</f>
        <v>2016</v>
      </c>
      <c r="L3" s="2">
        <f>'Income Statement'!L3</f>
        <v>2017</v>
      </c>
      <c r="M3" s="2"/>
      <c r="N3" s="18" t="s">
        <v>97</v>
      </c>
    </row>
    <row r="4" spans="1:15" x14ac:dyDescent="0.2">
      <c r="A4" s="1" t="str">
        <f>'Income Statement'!A4</f>
        <v>Revenue</v>
      </c>
      <c r="B4" s="52">
        <f>'Income Statement'!B4</f>
        <v>0</v>
      </c>
      <c r="C4" s="52">
        <f>'Income Statement'!C4</f>
        <v>30091</v>
      </c>
      <c r="D4" s="52">
        <f>'Income Statement'!D4</f>
        <v>33592</v>
      </c>
      <c r="E4" s="52">
        <f>'Income Statement'!E4</f>
        <v>35610</v>
      </c>
      <c r="F4" s="52">
        <f>'Income Statement'!F4</f>
        <v>37952</v>
      </c>
      <c r="G4" s="52">
        <f>'Income Statement'!G4</f>
        <v>45900</v>
      </c>
      <c r="H4" s="52">
        <f>'Income Statement'!H4</f>
        <v>50194</v>
      </c>
      <c r="I4" s="52">
        <f>'Income Statement'!I4</f>
        <v>56606</v>
      </c>
      <c r="J4" s="52">
        <f>'Income Statement'!J4</f>
        <v>61152</v>
      </c>
      <c r="K4" s="52">
        <f>'Income Statement'!K4</f>
        <v>62167</v>
      </c>
      <c r="L4" s="52">
        <f>'Income Statement'!L4</f>
        <v>65478</v>
      </c>
      <c r="N4" s="17">
        <f>(L4/C4)^(1/9)-1</f>
        <v>9.0228780909409112E-2</v>
      </c>
    </row>
    <row r="5" spans="1:15" x14ac:dyDescent="0.2">
      <c r="A5" s="1" t="str">
        <f>'Income Statement'!A5</f>
        <v>Direct Expenses</v>
      </c>
      <c r="B5" s="52">
        <f>'Income Statement'!B5</f>
        <v>0</v>
      </c>
      <c r="C5" s="52">
        <f>'Income Statement'!C5</f>
        <v>0</v>
      </c>
      <c r="D5" s="52">
        <f>'Income Statement'!D5</f>
        <v>0</v>
      </c>
      <c r="E5" s="52">
        <f>'Income Statement'!E5</f>
        <v>0</v>
      </c>
      <c r="F5" s="52">
        <f>'Income Statement'!F5</f>
        <v>0</v>
      </c>
      <c r="G5" s="52">
        <f>'Income Statement'!G5</f>
        <v>0</v>
      </c>
      <c r="H5" s="52">
        <f>'Income Statement'!H5</f>
        <v>0</v>
      </c>
      <c r="I5" s="52">
        <f>'Income Statement'!I5</f>
        <v>0</v>
      </c>
      <c r="J5" s="52">
        <f>'Income Statement'!J5</f>
        <v>0</v>
      </c>
      <c r="K5" s="52">
        <f>'Income Statement'!K5</f>
        <v>0</v>
      </c>
      <c r="L5" s="52">
        <f>'Income Statement'!L5</f>
        <v>0</v>
      </c>
      <c r="N5" s="17"/>
    </row>
    <row r="6" spans="1:15" s="2" customFormat="1" x14ac:dyDescent="0.2">
      <c r="A6" s="2" t="str">
        <f>'Income Statement'!A6</f>
        <v>Gross profit</v>
      </c>
      <c r="B6" s="53">
        <f>'Income Statement'!B6</f>
        <v>0</v>
      </c>
      <c r="C6" s="53">
        <f>'Income Statement'!C6</f>
        <v>30091</v>
      </c>
      <c r="D6" s="53">
        <f>'Income Statement'!D6</f>
        <v>33592</v>
      </c>
      <c r="E6" s="53">
        <f>'Income Statement'!E6</f>
        <v>35610</v>
      </c>
      <c r="F6" s="53">
        <f>'Income Statement'!F6</f>
        <v>37952</v>
      </c>
      <c r="G6" s="53">
        <f>'Income Statement'!G6</f>
        <v>45900</v>
      </c>
      <c r="H6" s="53">
        <f>'Income Statement'!H6</f>
        <v>50194</v>
      </c>
      <c r="I6" s="53">
        <f>'Income Statement'!I6</f>
        <v>56606</v>
      </c>
      <c r="J6" s="53">
        <f>'Income Statement'!J6</f>
        <v>61152</v>
      </c>
      <c r="K6" s="53">
        <f>'Income Statement'!K6</f>
        <v>62167</v>
      </c>
      <c r="L6" s="53">
        <f>'Income Statement'!L6</f>
        <v>65478</v>
      </c>
      <c r="N6" s="17">
        <f t="shared" ref="N6" si="0">(L6/C6)^(1/4)-1</f>
        <v>0.21454803648853815</v>
      </c>
    </row>
    <row r="7" spans="1:15" x14ac:dyDescent="0.2">
      <c r="A7" s="1" t="str">
        <f>'Income Statement'!A7</f>
        <v xml:space="preserve">    Operating expenses</v>
      </c>
      <c r="B7" s="52">
        <f>'Income Statement'!B7</f>
        <v>0</v>
      </c>
      <c r="C7" s="52">
        <f>'Income Statement'!C7</f>
        <v>17281</v>
      </c>
      <c r="D7" s="52">
        <f>'Income Statement'!D7</f>
        <v>20392</v>
      </c>
      <c r="E7" s="52">
        <f>'Income Statement'!E7</f>
        <v>21201</v>
      </c>
      <c r="F7" s="52">
        <f>'Income Statement'!F7</f>
        <v>22189</v>
      </c>
      <c r="G7" s="52">
        <f>'Income Statement'!G7</f>
        <v>27018</v>
      </c>
      <c r="H7" s="52">
        <f>'Income Statement'!H7</f>
        <v>29143</v>
      </c>
      <c r="I7" s="52">
        <f>'Income Statement'!I7</f>
        <v>32967</v>
      </c>
      <c r="J7" s="52">
        <f>'Income Statement'!J7</f>
        <v>35564</v>
      </c>
      <c r="K7" s="52">
        <f>'Income Statement'!K7</f>
        <v>35917</v>
      </c>
      <c r="L7" s="52">
        <f>'Income Statement'!L7</f>
        <v>37921</v>
      </c>
      <c r="N7" s="17">
        <f t="shared" ref="N7:N8" si="1">(L7/C7)^(1/9)-1</f>
        <v>9.1247934232991046E-2</v>
      </c>
    </row>
    <row r="8" spans="1:15" x14ac:dyDescent="0.2">
      <c r="A8" s="1" t="str">
        <f>'Income Statement'!A8</f>
        <v xml:space="preserve">    Depreciation and armotisation</v>
      </c>
      <c r="B8" s="52">
        <f>'Income Statement'!B8</f>
        <v>0</v>
      </c>
      <c r="C8" s="52">
        <f>'Income Statement'!C8</f>
        <v>3798</v>
      </c>
      <c r="D8" s="52">
        <f>'Income Statement'!D8</f>
        <v>4779</v>
      </c>
      <c r="E8" s="52">
        <f>'Income Statement'!E8</f>
        <v>6089</v>
      </c>
      <c r="F8" s="52">
        <f>'Income Statement'!F8</f>
        <v>7184</v>
      </c>
      <c r="G8" s="52">
        <f>'Income Statement'!G8</f>
        <v>8355</v>
      </c>
      <c r="H8" s="52">
        <f>'Income Statement'!H8</f>
        <v>9277</v>
      </c>
      <c r="I8" s="52">
        <f>'Income Statement'!I8</f>
        <v>10736</v>
      </c>
      <c r="J8" s="52">
        <f>'Income Statement'!J8</f>
        <v>10951</v>
      </c>
      <c r="K8" s="52">
        <f>'Income Statement'!K8</f>
        <v>15275</v>
      </c>
      <c r="L8" s="52">
        <f>'Income Statement'!L8</f>
        <v>13471</v>
      </c>
      <c r="N8" s="17">
        <f t="shared" si="1"/>
        <v>0.15104916750740705</v>
      </c>
    </row>
    <row r="9" spans="1:15" x14ac:dyDescent="0.2">
      <c r="A9" s="1" t="str">
        <f>'Income Statement'!A9</f>
        <v xml:space="preserve">    Other</v>
      </c>
      <c r="B9" s="52">
        <f>'Income Statement'!B9</f>
        <v>0</v>
      </c>
      <c r="C9" s="52">
        <f>'Income Statement'!C9</f>
        <v>-2012</v>
      </c>
      <c r="D9" s="52">
        <f>'Income Statement'!D9</f>
        <v>-263</v>
      </c>
      <c r="E9" s="52">
        <f>'Income Statement'!E9</f>
        <v>971</v>
      </c>
      <c r="F9" s="52">
        <f>'Income Statement'!F9</f>
        <v>9</v>
      </c>
      <c r="G9" s="52">
        <f>'Income Statement'!G9</f>
        <v>519</v>
      </c>
      <c r="H9" s="52">
        <f>'Income Statement'!H9</f>
        <v>314</v>
      </c>
      <c r="I9" s="52">
        <f>'Income Statement'!I9</f>
        <v>217</v>
      </c>
      <c r="J9" s="52">
        <f>'Income Statement'!J9</f>
        <v>981</v>
      </c>
      <c r="K9" s="52">
        <f>'Income Statement'!K9</f>
        <v>2434</v>
      </c>
      <c r="L9" s="52">
        <f>'Income Statement'!L9</f>
        <v>1185</v>
      </c>
      <c r="N9" s="17">
        <f>(L9/E9)^(1/7)-1</f>
        <v>2.8861739224716576E-2</v>
      </c>
    </row>
    <row r="10" spans="1:15" s="2" customFormat="1" x14ac:dyDescent="0.2">
      <c r="A10" s="2" t="str">
        <f>'Income Statement'!A10</f>
        <v>Operating profit (EBIT)</v>
      </c>
      <c r="B10" s="53">
        <f>'Income Statement'!B10</f>
        <v>0</v>
      </c>
      <c r="C10" s="53">
        <f>'Income Statement'!C10</f>
        <v>11024</v>
      </c>
      <c r="D10" s="53">
        <f>'Income Statement'!D10</f>
        <v>8684</v>
      </c>
      <c r="E10" s="53">
        <f>'Income Statement'!E10</f>
        <v>7349</v>
      </c>
      <c r="F10" s="53">
        <f>'Income Statement'!F10</f>
        <v>8570</v>
      </c>
      <c r="G10" s="53">
        <f>'Income Statement'!G10</f>
        <v>10008</v>
      </c>
      <c r="H10" s="53">
        <f>'Income Statement'!H10</f>
        <v>11460</v>
      </c>
      <c r="I10" s="53">
        <f>'Income Statement'!I10</f>
        <v>12686</v>
      </c>
      <c r="J10" s="53">
        <f>'Income Statement'!J10</f>
        <v>13656</v>
      </c>
      <c r="K10" s="53">
        <f>'Income Statement'!K10</f>
        <v>8541</v>
      </c>
      <c r="L10" s="53">
        <f>'Income Statement'!L10</f>
        <v>12901</v>
      </c>
      <c r="N10" s="17">
        <f t="shared" ref="N10:N14" si="2">(L10/C10)^(1/9)-1</f>
        <v>1.7623505818199936E-2</v>
      </c>
    </row>
    <row r="11" spans="1:15" x14ac:dyDescent="0.2">
      <c r="A11" s="1" t="str">
        <f>'Income Statement'!A11</f>
        <v>Finance cost (Interest)</v>
      </c>
      <c r="B11" s="52">
        <f>'Income Statement'!B11</f>
        <v>0</v>
      </c>
      <c r="C11" s="52">
        <f>'Income Statement'!C11</f>
        <v>1931</v>
      </c>
      <c r="D11" s="52">
        <f>'Income Statement'!D11</f>
        <v>1966</v>
      </c>
      <c r="E11" s="52">
        <f>'Income Statement'!E11</f>
        <v>2436</v>
      </c>
      <c r="F11" s="52">
        <f>'Income Statement'!F11</f>
        <v>2878</v>
      </c>
      <c r="G11" s="52">
        <f>'Income Statement'!G11</f>
        <v>3767</v>
      </c>
      <c r="H11" s="52">
        <f>'Income Statement'!H11</f>
        <v>5140</v>
      </c>
      <c r="I11" s="52">
        <f>'Income Statement'!I11</f>
        <v>5551</v>
      </c>
      <c r="J11" s="52">
        <f>'Income Statement'!J11</f>
        <v>6066</v>
      </c>
      <c r="K11" s="52">
        <f>'Income Statement'!K11</f>
        <v>7073</v>
      </c>
      <c r="L11" s="52">
        <f>'Income Statement'!L11</f>
        <v>8636</v>
      </c>
      <c r="N11" s="17">
        <f t="shared" si="2"/>
        <v>0.18108499231502351</v>
      </c>
    </row>
    <row r="12" spans="1:15" s="2" customFormat="1" x14ac:dyDescent="0.2">
      <c r="A12" s="2" t="str">
        <f>'Income Statement'!A12</f>
        <v>Profits before tax</v>
      </c>
      <c r="B12" s="53">
        <f>'Income Statement'!B12</f>
        <v>0</v>
      </c>
      <c r="C12" s="53">
        <f>'Income Statement'!C12</f>
        <v>9093</v>
      </c>
      <c r="D12" s="53">
        <f>'Income Statement'!D12</f>
        <v>6718</v>
      </c>
      <c r="E12" s="53">
        <f>'Income Statement'!E12</f>
        <v>4913</v>
      </c>
      <c r="F12" s="53">
        <f>'Income Statement'!F12</f>
        <v>5692</v>
      </c>
      <c r="G12" s="53">
        <f>'Income Statement'!G12</f>
        <v>6241</v>
      </c>
      <c r="H12" s="53">
        <f>'Income Statement'!H12</f>
        <v>6320</v>
      </c>
      <c r="I12" s="53">
        <f>'Income Statement'!I12</f>
        <v>7135</v>
      </c>
      <c r="J12" s="53">
        <f>'Income Statement'!J12</f>
        <v>7590</v>
      </c>
      <c r="K12" s="53">
        <f>'Income Statement'!K12</f>
        <v>1468</v>
      </c>
      <c r="L12" s="53">
        <f>'Income Statement'!L12</f>
        <v>4265</v>
      </c>
      <c r="N12" s="17">
        <f t="shared" si="2"/>
        <v>-8.0677302487611291E-2</v>
      </c>
    </row>
    <row r="13" spans="1:15" x14ac:dyDescent="0.2">
      <c r="A13" s="1" t="str">
        <f>'Income Statement'!A13</f>
        <v>Income tax expense</v>
      </c>
      <c r="B13" s="52">
        <f>'Income Statement'!B13</f>
        <v>0</v>
      </c>
      <c r="C13" s="52">
        <f>'Income Statement'!C13</f>
        <v>2642</v>
      </c>
      <c r="D13" s="52">
        <f>'Income Statement'!D13</f>
        <v>1674</v>
      </c>
      <c r="E13" s="52">
        <f>'Income Statement'!E13</f>
        <v>1722</v>
      </c>
      <c r="F13" s="52">
        <f>'Income Statement'!F13</f>
        <v>1508</v>
      </c>
      <c r="G13" s="52">
        <f>'Income Statement'!G13</f>
        <v>2122</v>
      </c>
      <c r="H13" s="52">
        <f>'Income Statement'!H13</f>
        <v>1980</v>
      </c>
      <c r="I13" s="52">
        <f>'Income Statement'!I13</f>
        <v>1964</v>
      </c>
      <c r="J13" s="52">
        <f>'Income Statement'!J13</f>
        <v>2288</v>
      </c>
      <c r="K13" s="52">
        <f>'Income Statement'!K13</f>
        <v>1075</v>
      </c>
      <c r="L13" s="52">
        <f>'Income Statement'!L13</f>
        <v>1500</v>
      </c>
      <c r="N13" s="17">
        <f t="shared" si="2"/>
        <v>-6.0959611700927785E-2</v>
      </c>
    </row>
    <row r="14" spans="1:15" s="2" customFormat="1" x14ac:dyDescent="0.2">
      <c r="A14" s="2" t="str">
        <f>'Income Statement'!A14</f>
        <v>Profit for the year (PAT)</v>
      </c>
      <c r="B14" s="53">
        <f>'Income Statement'!B14</f>
        <v>0</v>
      </c>
      <c r="C14" s="53">
        <f>'Income Statement'!C14</f>
        <v>6451</v>
      </c>
      <c r="D14" s="53">
        <f>'Income Statement'!D14</f>
        <v>5044</v>
      </c>
      <c r="E14" s="53">
        <f>'Income Statement'!E14</f>
        <v>3191</v>
      </c>
      <c r="F14" s="53">
        <f>'Income Statement'!F14</f>
        <v>4184</v>
      </c>
      <c r="G14" s="53">
        <f>'Income Statement'!G14</f>
        <v>4119</v>
      </c>
      <c r="H14" s="53">
        <f>'Income Statement'!H14</f>
        <v>4340</v>
      </c>
      <c r="I14" s="53">
        <f>'Income Statement'!I14</f>
        <v>5171</v>
      </c>
      <c r="J14" s="53">
        <f>'Income Statement'!J14</f>
        <v>5302</v>
      </c>
      <c r="K14" s="53">
        <f>'Income Statement'!K14</f>
        <v>393</v>
      </c>
      <c r="L14" s="53">
        <f>'Income Statement'!L14</f>
        <v>2765</v>
      </c>
      <c r="N14" s="17">
        <f t="shared" si="2"/>
        <v>-8.9838046776312908E-2</v>
      </c>
    </row>
    <row r="15" spans="1:15" x14ac:dyDescent="0.2">
      <c r="N15" s="17"/>
    </row>
    <row r="16" spans="1:15" x14ac:dyDescent="0.2">
      <c r="N16" s="17"/>
    </row>
    <row r="17" spans="1:14" x14ac:dyDescent="0.2">
      <c r="A17" s="1" t="str">
        <f>A5</f>
        <v>Direct Expenses</v>
      </c>
      <c r="B17" s="8" t="e">
        <f>B5/$B$4</f>
        <v>#DIV/0!</v>
      </c>
      <c r="C17" s="8">
        <f>C5/$C$4</f>
        <v>0</v>
      </c>
      <c r="D17" s="8">
        <f>D5/$D$4</f>
        <v>0</v>
      </c>
      <c r="E17" s="8">
        <f>E5/$E$4</f>
        <v>0</v>
      </c>
      <c r="F17" s="8">
        <f>F5/$F$4</f>
        <v>0</v>
      </c>
      <c r="G17" s="8">
        <f>G5/$G$4</f>
        <v>0</v>
      </c>
      <c r="H17" s="8">
        <f>H5/$H$4</f>
        <v>0</v>
      </c>
      <c r="I17" s="8">
        <f>I5/$I$4</f>
        <v>0</v>
      </c>
      <c r="J17" s="8">
        <f>J5/$J$4</f>
        <v>0</v>
      </c>
      <c r="K17" s="8">
        <f>K5/$K$4</f>
        <v>0</v>
      </c>
      <c r="L17" s="8">
        <f>L5/$L$4</f>
        <v>0</v>
      </c>
      <c r="N17" s="17"/>
    </row>
    <row r="18" spans="1:14" s="2" customFormat="1" x14ac:dyDescent="0.2">
      <c r="A18" s="2" t="str">
        <f>A6</f>
        <v>Gross profit</v>
      </c>
      <c r="B18" s="10" t="e">
        <f>B6/$B$4</f>
        <v>#DIV/0!</v>
      </c>
      <c r="C18" s="10">
        <f>C6/$C$4</f>
        <v>1</v>
      </c>
      <c r="D18" s="10">
        <f>D6/$D$4</f>
        <v>1</v>
      </c>
      <c r="E18" s="10">
        <f>E6/$E$4</f>
        <v>1</v>
      </c>
      <c r="F18" s="10">
        <f>F6/$F$4</f>
        <v>1</v>
      </c>
      <c r="G18" s="10">
        <f>G6/$G$4</f>
        <v>1</v>
      </c>
      <c r="H18" s="10">
        <f>H6/$H$4</f>
        <v>1</v>
      </c>
      <c r="I18" s="10">
        <f>I6/$I$4</f>
        <v>1</v>
      </c>
      <c r="J18" s="10">
        <f>J6/$J$4</f>
        <v>1</v>
      </c>
      <c r="K18" s="10">
        <f>K6/$K$4</f>
        <v>1</v>
      </c>
      <c r="L18" s="10">
        <f>L6/$L$4</f>
        <v>1</v>
      </c>
      <c r="N18" s="17">
        <f t="shared" ref="N18:N26" si="3">(L18/C18)^(1/9)-1</f>
        <v>0</v>
      </c>
    </row>
    <row r="19" spans="1:14" x14ac:dyDescent="0.2">
      <c r="A19" s="1" t="str">
        <f>A7</f>
        <v xml:space="preserve">    Operating expenses</v>
      </c>
      <c r="B19" s="8" t="e">
        <f>B7/$B$4</f>
        <v>#DIV/0!</v>
      </c>
      <c r="C19" s="8">
        <f>C7/$C$4</f>
        <v>0.57429131634043407</v>
      </c>
      <c r="D19" s="8">
        <f>D7/$D$4</f>
        <v>0.60704929745177427</v>
      </c>
      <c r="E19" s="8">
        <f>E7/$E$4</f>
        <v>0.59536647009267063</v>
      </c>
      <c r="F19" s="8">
        <f>F7/$F$4</f>
        <v>0.58465956998313662</v>
      </c>
      <c r="G19" s="8">
        <f>G7/$G$4</f>
        <v>0.58862745098039215</v>
      </c>
      <c r="H19" s="8">
        <f>H7/$H$4</f>
        <v>0.58060724389369245</v>
      </c>
      <c r="I19" s="8">
        <f>I7/$I$4</f>
        <v>0.5823940924990284</v>
      </c>
      <c r="J19" s="8">
        <f>J7/$J$4</f>
        <v>0.58156724228152801</v>
      </c>
      <c r="K19" s="8">
        <f>K7/$K$4</f>
        <v>0.57775025334984798</v>
      </c>
      <c r="L19" s="8">
        <f>L7/$L$4</f>
        <v>0.57914108555545374</v>
      </c>
      <c r="N19" s="17">
        <f t="shared" si="3"/>
        <v>9.3480684185576202E-4</v>
      </c>
    </row>
    <row r="20" spans="1:14" x14ac:dyDescent="0.2">
      <c r="A20" s="1" t="str">
        <f t="shared" ref="A20:A21" si="4">A8</f>
        <v xml:space="preserve">    Depreciation and armotisation</v>
      </c>
      <c r="B20" s="8" t="e">
        <f t="shared" ref="B20:B21" si="5">B8/$B$4</f>
        <v>#DIV/0!</v>
      </c>
      <c r="C20" s="8">
        <f t="shared" ref="C20:C21" si="6">C8/$C$4</f>
        <v>0.12621714133794157</v>
      </c>
      <c r="D20" s="8">
        <f t="shared" ref="D20:D21" si="7">D8/$D$4</f>
        <v>0.1422660157180281</v>
      </c>
      <c r="E20" s="8">
        <f t="shared" ref="E20:E21" si="8">E8/$E$4</f>
        <v>0.17099129458017412</v>
      </c>
      <c r="F20" s="8">
        <f t="shared" ref="F20:F21" si="9">F8/$F$4</f>
        <v>0.18929173693086004</v>
      </c>
      <c r="G20" s="8">
        <f t="shared" ref="G20:G21" si="10">G8/$G$4</f>
        <v>0.18202614379084966</v>
      </c>
      <c r="H20" s="8">
        <f t="shared" ref="H20:H21" si="11">H8/$H$4</f>
        <v>0.18482288719767304</v>
      </c>
      <c r="I20" s="8">
        <f t="shared" ref="I20:I21" si="12">I8/$I$4</f>
        <v>0.1896618732996502</v>
      </c>
      <c r="J20" s="8">
        <f t="shared" ref="J20:J21" si="13">J8/$J$4</f>
        <v>0.17907836211407641</v>
      </c>
      <c r="K20" s="8">
        <f t="shared" ref="K20:K21" si="14">K8/$K$4</f>
        <v>0.24570913828880275</v>
      </c>
      <c r="L20" s="8">
        <f t="shared" ref="L20:L21" si="15">L8/$L$4</f>
        <v>0.20573322337273589</v>
      </c>
      <c r="N20" s="17">
        <f t="shared" si="3"/>
        <v>5.5786810679557597E-2</v>
      </c>
    </row>
    <row r="21" spans="1:14" x14ac:dyDescent="0.2">
      <c r="A21" s="1" t="str">
        <f t="shared" si="4"/>
        <v xml:space="preserve">    Other</v>
      </c>
      <c r="B21" s="8" t="e">
        <f t="shared" si="5"/>
        <v>#DIV/0!</v>
      </c>
      <c r="C21" s="8">
        <f t="shared" si="6"/>
        <v>-6.6863846332790536E-2</v>
      </c>
      <c r="D21" s="8">
        <f t="shared" si="7"/>
        <v>-7.8292450583472249E-3</v>
      </c>
      <c r="E21" s="8">
        <f t="shared" si="8"/>
        <v>2.7267621454647572E-2</v>
      </c>
      <c r="F21" s="8">
        <f t="shared" si="9"/>
        <v>2.3714165261382798E-4</v>
      </c>
      <c r="G21" s="8">
        <f t="shared" si="10"/>
        <v>1.1307189542483661E-2</v>
      </c>
      <c r="H21" s="8">
        <f t="shared" si="11"/>
        <v>6.2557277762282345E-3</v>
      </c>
      <c r="I21" s="8">
        <f t="shared" si="12"/>
        <v>3.8335158817086527E-3</v>
      </c>
      <c r="J21" s="8">
        <f t="shared" si="13"/>
        <v>1.604199372056515E-2</v>
      </c>
      <c r="K21" s="8">
        <f t="shared" si="14"/>
        <v>3.9152605079865524E-2</v>
      </c>
      <c r="L21" s="8">
        <f t="shared" si="15"/>
        <v>1.8097681664070376E-2</v>
      </c>
      <c r="N21" s="17">
        <f t="shared" si="3"/>
        <v>-1.8648421409652727</v>
      </c>
    </row>
    <row r="22" spans="1:14" s="2" customFormat="1" x14ac:dyDescent="0.2">
      <c r="A22" s="2" t="str">
        <f>A10</f>
        <v>Operating profit (EBIT)</v>
      </c>
      <c r="B22" s="10" t="e">
        <f t="shared" ref="B22:B23" si="16">B10/$B$4</f>
        <v>#DIV/0!</v>
      </c>
      <c r="C22" s="10">
        <f t="shared" ref="C22:C23" si="17">C10/$C$4</f>
        <v>0.36635538865441492</v>
      </c>
      <c r="D22" s="10">
        <f t="shared" ref="D22:D23" si="18">D10/$D$4</f>
        <v>0.25851393188854488</v>
      </c>
      <c r="E22" s="10">
        <f t="shared" ref="E22:E23" si="19">E10/$E$4</f>
        <v>0.20637461387250772</v>
      </c>
      <c r="F22" s="10">
        <f t="shared" ref="F22:F23" si="20">F10/$F$4</f>
        <v>0.22581155143338955</v>
      </c>
      <c r="G22" s="10">
        <f t="shared" ref="G22:G23" si="21">G10/$G$4</f>
        <v>0.21803921568627452</v>
      </c>
      <c r="H22" s="10">
        <f t="shared" ref="H22:H23" si="22">H10/$H$4</f>
        <v>0.22831414113240625</v>
      </c>
      <c r="I22" s="10">
        <f t="shared" ref="I22:I23" si="23">I10/$I$4</f>
        <v>0.22411051831961276</v>
      </c>
      <c r="J22" s="10">
        <f t="shared" ref="J22" si="24">J10/$J$4</f>
        <v>0.22331240188383045</v>
      </c>
      <c r="K22" s="10">
        <f t="shared" ref="K22:K23" si="25">K10/$K$4</f>
        <v>0.13738800328148373</v>
      </c>
      <c r="L22" s="10">
        <f t="shared" ref="L22:L23" si="26">L10/$L$4</f>
        <v>0.19702800940774001</v>
      </c>
      <c r="N22" s="17">
        <f t="shared" si="3"/>
        <v>-6.6596366159629161E-2</v>
      </c>
    </row>
    <row r="23" spans="1:14" x14ac:dyDescent="0.2">
      <c r="A23" s="1" t="str">
        <f t="shared" ref="A23" si="27">A11</f>
        <v>Finance cost (Interest)</v>
      </c>
      <c r="B23" s="8" t="e">
        <f t="shared" si="16"/>
        <v>#DIV/0!</v>
      </c>
      <c r="C23" s="8">
        <f t="shared" si="17"/>
        <v>6.4172011564919737E-2</v>
      </c>
      <c r="D23" s="8">
        <f t="shared" si="18"/>
        <v>5.8525839485591806E-2</v>
      </c>
      <c r="E23" s="8">
        <f t="shared" si="19"/>
        <v>6.8407750631844982E-2</v>
      </c>
      <c r="F23" s="8">
        <f t="shared" si="20"/>
        <v>7.5832630691399658E-2</v>
      </c>
      <c r="G23" s="8">
        <f t="shared" si="21"/>
        <v>8.2069716775599127E-2</v>
      </c>
      <c r="H23" s="8">
        <f t="shared" si="22"/>
        <v>0.10240267761086982</v>
      </c>
      <c r="I23" s="8">
        <f t="shared" si="23"/>
        <v>9.8063809490160053E-2</v>
      </c>
      <c r="J23" s="8">
        <f>J11/$J$4</f>
        <v>9.9195447409733128E-2</v>
      </c>
      <c r="K23" s="8">
        <f t="shared" si="25"/>
        <v>0.11377418887834381</v>
      </c>
      <c r="L23" s="8">
        <f t="shared" si="26"/>
        <v>0.13189162772228841</v>
      </c>
      <c r="N23" s="17">
        <f t="shared" si="3"/>
        <v>8.3336830761179481E-2</v>
      </c>
    </row>
    <row r="24" spans="1:14" s="2" customFormat="1" x14ac:dyDescent="0.2">
      <c r="A24" s="2" t="str">
        <f>A12</f>
        <v>Profits before tax</v>
      </c>
      <c r="B24" s="10" t="e">
        <f>B12/$B$4</f>
        <v>#DIV/0!</v>
      </c>
      <c r="C24" s="10">
        <f>C12/$C$4</f>
        <v>0.30218337708949522</v>
      </c>
      <c r="D24" s="10">
        <f>D12/$D$4</f>
        <v>0.19998809240295309</v>
      </c>
      <c r="E24" s="10">
        <f>E12/$E$4</f>
        <v>0.13796686324066273</v>
      </c>
      <c r="F24" s="10">
        <f>F12/$F$4</f>
        <v>0.14997892074198987</v>
      </c>
      <c r="G24" s="10">
        <f>G12/$G$4</f>
        <v>0.13596949891067539</v>
      </c>
      <c r="H24" s="10">
        <f>H12/$H$4</f>
        <v>0.12591146352153643</v>
      </c>
      <c r="I24" s="10">
        <f>I12/$I$4</f>
        <v>0.12604670882945271</v>
      </c>
      <c r="J24" s="10">
        <f>J12/$J$4</f>
        <v>0.12411695447409733</v>
      </c>
      <c r="K24" s="10">
        <f>K12/$K$4</f>
        <v>2.3613814403139928E-2</v>
      </c>
      <c r="L24" s="10">
        <f>L12/$L$4</f>
        <v>6.5136381685451605E-2</v>
      </c>
      <c r="N24" s="17">
        <f t="shared" si="3"/>
        <v>-0.15676166910073663</v>
      </c>
    </row>
    <row r="25" spans="1:14" x14ac:dyDescent="0.2">
      <c r="A25" s="1" t="str">
        <f>A13</f>
        <v>Income tax expense</v>
      </c>
      <c r="B25" s="8" t="e">
        <f>B13/$B$4</f>
        <v>#DIV/0!</v>
      </c>
      <c r="C25" s="8">
        <f>C13/$C$4</f>
        <v>8.7800338971785588E-2</v>
      </c>
      <c r="D25" s="8">
        <f>D13/$D$4</f>
        <v>4.9833293641343174E-2</v>
      </c>
      <c r="E25" s="8">
        <f>E13/$E$4</f>
        <v>4.8357203032855942E-2</v>
      </c>
      <c r="F25" s="8">
        <f>F13/$F$4</f>
        <v>3.973440134907251E-2</v>
      </c>
      <c r="G25" s="8">
        <f>G13/$G$4</f>
        <v>4.6230936819172112E-2</v>
      </c>
      <c r="H25" s="8">
        <f>H13/$H$4</f>
        <v>3.9446945850101604E-2</v>
      </c>
      <c r="I25" s="8">
        <f>I13/$I$4</f>
        <v>3.4695968625234073E-2</v>
      </c>
      <c r="J25" s="8">
        <f>J13/$J$4</f>
        <v>3.7414965986394558E-2</v>
      </c>
      <c r="K25" s="8">
        <f>K13/$K$4</f>
        <v>1.7292132481863367E-2</v>
      </c>
      <c r="L25" s="8">
        <f>L13/$L$4</f>
        <v>2.2908457802620727E-2</v>
      </c>
      <c r="N25" s="17">
        <f t="shared" si="3"/>
        <v>-0.13867584057377735</v>
      </c>
    </row>
    <row r="26" spans="1:14" s="2" customFormat="1" x14ac:dyDescent="0.2">
      <c r="A26" s="2" t="str">
        <f>A14</f>
        <v>Profit for the year (PAT)</v>
      </c>
      <c r="B26" s="10" t="e">
        <f>B14/$B$4</f>
        <v>#DIV/0!</v>
      </c>
      <c r="C26" s="10">
        <f>C14/$C$4</f>
        <v>0.21438303811770962</v>
      </c>
      <c r="D26" s="10">
        <f>D14/$D$4</f>
        <v>0.15015479876160992</v>
      </c>
      <c r="E26" s="10">
        <f>E14/$E$4</f>
        <v>8.9609660207806793E-2</v>
      </c>
      <c r="F26" s="10">
        <f>F14/$F$4</f>
        <v>0.11024451939291736</v>
      </c>
      <c r="G26" s="10">
        <f>G14/$G$4</f>
        <v>8.9738562091503271E-2</v>
      </c>
      <c r="H26" s="10">
        <f>H14/$H$4</f>
        <v>8.6464517671434829E-2</v>
      </c>
      <c r="I26" s="10">
        <f>I14/$I$4</f>
        <v>9.1350740204218628E-2</v>
      </c>
      <c r="J26" s="10">
        <f>J14/$J$4</f>
        <v>8.6701988487702775E-2</v>
      </c>
      <c r="K26" s="10">
        <f>K14/$K$4</f>
        <v>6.3216819212765611E-3</v>
      </c>
      <c r="L26" s="10">
        <f>L14/$L$4</f>
        <v>4.2227923882830871E-2</v>
      </c>
      <c r="N26" s="17">
        <f t="shared" si="3"/>
        <v>-0.16516425803354784</v>
      </c>
    </row>
    <row r="27" spans="1:14" x14ac:dyDescent="0.2">
      <c r="N27" s="17"/>
    </row>
    <row r="28" spans="1:14" x14ac:dyDescent="0.2">
      <c r="B28" s="52"/>
      <c r="C28" s="52"/>
      <c r="D28" s="52"/>
      <c r="E28" s="52"/>
      <c r="F28" s="52"/>
      <c r="G28" s="52"/>
      <c r="H28" s="52"/>
      <c r="I28" s="52"/>
      <c r="J28" s="52"/>
      <c r="K28" s="52"/>
      <c r="L28" s="52"/>
      <c r="N28" s="17"/>
    </row>
    <row r="29" spans="1:14" x14ac:dyDescent="0.2">
      <c r="A29" s="1" t="str">
        <f>'Income Statement'!A17</f>
        <v>Basic EPS</v>
      </c>
      <c r="B29" s="1">
        <f>'Income Statement'!B17</f>
        <v>0</v>
      </c>
      <c r="C29" s="1">
        <f>'Income Statement'!C17</f>
        <v>0</v>
      </c>
      <c r="D29" s="1">
        <f>'Income Statement'!D17</f>
        <v>0</v>
      </c>
      <c r="E29" s="1">
        <f>'Income Statement'!E17</f>
        <v>0</v>
      </c>
      <c r="F29" s="1">
        <f>'Income Statement'!F17</f>
        <v>0</v>
      </c>
      <c r="G29" s="1">
        <f>'Income Statement'!G17</f>
        <v>0</v>
      </c>
      <c r="H29" s="1">
        <f>'Income Statement'!H17</f>
        <v>0</v>
      </c>
      <c r="I29" s="1">
        <f>'Income Statement'!I17</f>
        <v>0</v>
      </c>
      <c r="J29" s="1">
        <f>'Income Statement'!J17</f>
        <v>0</v>
      </c>
      <c r="K29" s="1">
        <f>'Income Statement'!K17</f>
        <v>0</v>
      </c>
      <c r="L29" s="1">
        <f>'Income Statement'!L17</f>
        <v>0</v>
      </c>
      <c r="N29" s="17" t="e">
        <f t="shared" ref="N29:N30" si="28">(L29/C29)^(1/4)-1</f>
        <v>#DIV/0!</v>
      </c>
    </row>
    <row r="30" spans="1:14" x14ac:dyDescent="0.2">
      <c r="A30" s="1" t="str">
        <f>'Income Statement'!A18</f>
        <v>Diluted EPS</v>
      </c>
      <c r="B30" s="1">
        <f>'Income Statement'!B18</f>
        <v>0</v>
      </c>
      <c r="C30" s="1">
        <f>'Income Statement'!C18</f>
        <v>0</v>
      </c>
      <c r="D30" s="1">
        <f>'Income Statement'!D18</f>
        <v>0</v>
      </c>
      <c r="E30" s="1">
        <f>'Income Statement'!E18</f>
        <v>0</v>
      </c>
      <c r="F30" s="1">
        <f>'Income Statement'!F18</f>
        <v>0</v>
      </c>
      <c r="G30" s="1">
        <f>'Income Statement'!G18</f>
        <v>0</v>
      </c>
      <c r="H30" s="1">
        <f>'Income Statement'!H18</f>
        <v>0</v>
      </c>
      <c r="I30" s="1">
        <f>'Income Statement'!I18</f>
        <v>0</v>
      </c>
      <c r="J30" s="1">
        <f>'Income Statement'!J18</f>
        <v>0</v>
      </c>
      <c r="K30" s="1">
        <f>'Income Statement'!K18</f>
        <v>0</v>
      </c>
      <c r="L30" s="1">
        <f>'Income Statement'!L18</f>
        <v>0</v>
      </c>
      <c r="N30" s="17" t="e">
        <f t="shared" si="28"/>
        <v>#DIV/0!</v>
      </c>
    </row>
    <row r="33" spans="1:15" x14ac:dyDescent="0.2">
      <c r="A33" s="1" t="str">
        <f>A3</f>
        <v>Rm</v>
      </c>
      <c r="B33" s="1">
        <f t="shared" ref="B33:N33" si="29">B3</f>
        <v>2007</v>
      </c>
      <c r="C33" s="1">
        <f t="shared" si="29"/>
        <v>2008</v>
      </c>
      <c r="D33" s="1">
        <f t="shared" si="29"/>
        <v>2009</v>
      </c>
      <c r="E33" s="1">
        <f t="shared" si="29"/>
        <v>2010</v>
      </c>
      <c r="F33" s="1">
        <f t="shared" si="29"/>
        <v>2011</v>
      </c>
      <c r="G33" s="1">
        <f t="shared" si="29"/>
        <v>2012</v>
      </c>
      <c r="H33" s="1">
        <f t="shared" si="29"/>
        <v>2013</v>
      </c>
      <c r="I33" s="1">
        <f t="shared" si="29"/>
        <v>2014</v>
      </c>
      <c r="J33" s="1">
        <f t="shared" si="29"/>
        <v>2015</v>
      </c>
      <c r="K33" s="1">
        <f t="shared" si="29"/>
        <v>2016</v>
      </c>
      <c r="L33" s="1">
        <f t="shared" si="29"/>
        <v>2017</v>
      </c>
      <c r="N33" s="87" t="str">
        <f t="shared" si="29"/>
        <v>CAGR</v>
      </c>
    </row>
    <row r="34" spans="1:15" x14ac:dyDescent="0.2">
      <c r="A34" s="1" t="str">
        <f>A4</f>
        <v>Revenue</v>
      </c>
      <c r="B34" s="1">
        <f t="shared" ref="B34:N34" si="30">B4</f>
        <v>0</v>
      </c>
      <c r="C34" s="52">
        <f t="shared" si="30"/>
        <v>30091</v>
      </c>
      <c r="D34" s="52">
        <f t="shared" si="30"/>
        <v>33592</v>
      </c>
      <c r="E34" s="52">
        <f t="shared" si="30"/>
        <v>35610</v>
      </c>
      <c r="F34" s="52">
        <f t="shared" si="30"/>
        <v>37952</v>
      </c>
      <c r="G34" s="52">
        <f t="shared" si="30"/>
        <v>45900</v>
      </c>
      <c r="H34" s="52">
        <f t="shared" si="30"/>
        <v>50194</v>
      </c>
      <c r="I34" s="52">
        <f t="shared" si="30"/>
        <v>56606</v>
      </c>
      <c r="J34" s="52">
        <f t="shared" si="30"/>
        <v>61152</v>
      </c>
      <c r="K34" s="52">
        <f t="shared" si="30"/>
        <v>62167</v>
      </c>
      <c r="L34" s="52">
        <f t="shared" si="30"/>
        <v>65478</v>
      </c>
      <c r="N34" s="17">
        <f t="shared" si="30"/>
        <v>9.0228780909409112E-2</v>
      </c>
    </row>
    <row r="35" spans="1:15" x14ac:dyDescent="0.2">
      <c r="A35" s="1" t="str">
        <f>A6</f>
        <v>Gross profit</v>
      </c>
      <c r="C35" s="8">
        <f t="shared" ref="C35:L35" si="31">C6/C4</f>
        <v>1</v>
      </c>
      <c r="D35" s="8">
        <f t="shared" si="31"/>
        <v>1</v>
      </c>
      <c r="E35" s="8">
        <f t="shared" si="31"/>
        <v>1</v>
      </c>
      <c r="F35" s="8">
        <f t="shared" si="31"/>
        <v>1</v>
      </c>
      <c r="G35" s="8">
        <f t="shared" si="31"/>
        <v>1</v>
      </c>
      <c r="H35" s="8">
        <f t="shared" si="31"/>
        <v>1</v>
      </c>
      <c r="I35" s="8">
        <f t="shared" si="31"/>
        <v>1</v>
      </c>
      <c r="J35" s="8">
        <f t="shared" si="31"/>
        <v>1</v>
      </c>
      <c r="K35" s="8">
        <f t="shared" si="31"/>
        <v>1</v>
      </c>
      <c r="L35" s="8">
        <f t="shared" si="31"/>
        <v>1</v>
      </c>
    </row>
    <row r="36" spans="1:15" x14ac:dyDescent="0.2">
      <c r="A36" s="1" t="str">
        <f>A10</f>
        <v>Operating profit (EBIT)</v>
      </c>
      <c r="C36" s="52">
        <f t="shared" ref="C36:N36" si="32">C10</f>
        <v>11024</v>
      </c>
      <c r="D36" s="52">
        <f t="shared" si="32"/>
        <v>8684</v>
      </c>
      <c r="E36" s="52">
        <f t="shared" si="32"/>
        <v>7349</v>
      </c>
      <c r="F36" s="52">
        <f t="shared" si="32"/>
        <v>8570</v>
      </c>
      <c r="G36" s="52">
        <f t="shared" si="32"/>
        <v>10008</v>
      </c>
      <c r="H36" s="52">
        <f t="shared" si="32"/>
        <v>11460</v>
      </c>
      <c r="I36" s="52">
        <f t="shared" si="32"/>
        <v>12686</v>
      </c>
      <c r="J36" s="52">
        <f t="shared" si="32"/>
        <v>13656</v>
      </c>
      <c r="K36" s="52">
        <f t="shared" si="32"/>
        <v>8541</v>
      </c>
      <c r="L36" s="52">
        <f t="shared" si="32"/>
        <v>12901</v>
      </c>
      <c r="M36" s="88"/>
      <c r="N36" s="17">
        <f t="shared" si="32"/>
        <v>1.7623505818199936E-2</v>
      </c>
    </row>
    <row r="37" spans="1:15" x14ac:dyDescent="0.2">
      <c r="A37" s="1" t="str">
        <f>A14</f>
        <v>Profit for the year (PAT)</v>
      </c>
      <c r="B37" s="8"/>
      <c r="C37" s="8">
        <f t="shared" ref="C37:L37" si="33">C14/C4</f>
        <v>0.21438303811770962</v>
      </c>
      <c r="D37" s="8">
        <f t="shared" si="33"/>
        <v>0.15015479876160992</v>
      </c>
      <c r="E37" s="8">
        <f t="shared" si="33"/>
        <v>8.9609660207806793E-2</v>
      </c>
      <c r="F37" s="8">
        <f t="shared" si="33"/>
        <v>0.11024451939291736</v>
      </c>
      <c r="G37" s="8">
        <f t="shared" si="33"/>
        <v>8.9738562091503271E-2</v>
      </c>
      <c r="H37" s="8">
        <f t="shared" si="33"/>
        <v>8.6464517671434829E-2</v>
      </c>
      <c r="I37" s="8">
        <f t="shared" si="33"/>
        <v>9.1350740204218628E-2</v>
      </c>
      <c r="J37" s="8">
        <f t="shared" si="33"/>
        <v>8.6701988487702775E-2</v>
      </c>
      <c r="K37" s="8">
        <f t="shared" si="33"/>
        <v>6.3216819212765611E-3</v>
      </c>
      <c r="L37" s="8">
        <f t="shared" si="33"/>
        <v>4.2227923882830871E-2</v>
      </c>
      <c r="N37" s="17">
        <f>(L37/C37)^(1/9)-1</f>
        <v>-0.16516425803354784</v>
      </c>
    </row>
    <row r="38" spans="1:15" x14ac:dyDescent="0.2">
      <c r="O38" s="12"/>
    </row>
  </sheetData>
  <mergeCells count="1">
    <mergeCell ref="A1:N1"/>
  </mergeCells>
  <hyperlinks>
    <hyperlink ref="O1" location="Cover!A1" display="Cover"/>
  </hyperlinks>
  <pageMargins left="0.7" right="0.7" top="0.75" bottom="0.75" header="0.3" footer="0.3"/>
  <ignoredErrors>
    <ignoredError sqref="N9" formula="1"/>
  </ignoredErrors>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00"/>
  </sheetPr>
  <dimension ref="A1:O67"/>
  <sheetViews>
    <sheetView showGridLines="0" topLeftCell="A60" workbookViewId="0">
      <selection activeCell="A67" sqref="A67"/>
    </sheetView>
  </sheetViews>
  <sheetFormatPr defaultRowHeight="12.75" x14ac:dyDescent="0.2"/>
  <cols>
    <col min="1" max="1" width="39" style="1" bestFit="1" customWidth="1"/>
    <col min="2" max="2" width="9.28515625" style="1" hidden="1" customWidth="1"/>
    <col min="3" max="3" width="11.140625" style="1" bestFit="1" customWidth="1"/>
    <col min="4" max="12" width="12.28515625" style="1" bestFit="1" customWidth="1"/>
    <col min="13" max="13" width="4.7109375" style="1" customWidth="1"/>
    <col min="14" max="14" width="8.28515625" style="1" bestFit="1" customWidth="1"/>
    <col min="15" max="16384" width="9.140625" style="1"/>
  </cols>
  <sheetData>
    <row r="1" spans="1:15" ht="15" x14ac:dyDescent="0.2">
      <c r="A1" s="136" t="s">
        <v>33</v>
      </c>
      <c r="B1" s="136"/>
      <c r="C1" s="136"/>
      <c r="D1" s="136"/>
      <c r="E1" s="136"/>
      <c r="F1" s="136"/>
      <c r="G1" s="136"/>
      <c r="H1" s="136"/>
      <c r="I1" s="136"/>
      <c r="J1" s="136"/>
      <c r="K1" s="136"/>
      <c r="L1" s="136"/>
      <c r="M1" s="136"/>
      <c r="N1" s="136"/>
      <c r="O1" s="12" t="s">
        <v>96</v>
      </c>
    </row>
    <row r="3" spans="1:15" s="2" customFormat="1" x14ac:dyDescent="0.2">
      <c r="A3" s="2" t="s">
        <v>128</v>
      </c>
      <c r="B3" s="2">
        <f>'Balance Sheet'!B3</f>
        <v>2007</v>
      </c>
      <c r="C3" s="2">
        <f>'Balance Sheet'!C3</f>
        <v>2008</v>
      </c>
      <c r="D3" s="2">
        <f>'Balance Sheet'!D3</f>
        <v>2009</v>
      </c>
      <c r="E3" s="2">
        <f>'Balance Sheet'!E3</f>
        <v>2010</v>
      </c>
      <c r="F3" s="2">
        <f>'Balance Sheet'!F3</f>
        <v>2011</v>
      </c>
      <c r="G3" s="2">
        <f>'Balance Sheet'!G3</f>
        <v>2012</v>
      </c>
      <c r="H3" s="2">
        <f>'Balance Sheet'!H3</f>
        <v>2013</v>
      </c>
      <c r="I3" s="2">
        <f>'Balance Sheet'!I3</f>
        <v>2014</v>
      </c>
      <c r="J3" s="2">
        <f>'Balance Sheet'!J3</f>
        <v>2015</v>
      </c>
      <c r="K3" s="2">
        <f>'Balance Sheet'!K3</f>
        <v>2016</v>
      </c>
      <c r="L3" s="2">
        <f>'Balance Sheet'!L3</f>
        <v>2017</v>
      </c>
      <c r="N3" s="2" t="str">
        <f>'Income Statement Analysis'!N3</f>
        <v>CAGR</v>
      </c>
    </row>
    <row r="4" spans="1:15" s="2" customFormat="1" x14ac:dyDescent="0.2">
      <c r="A4" s="2" t="str">
        <f>'Balance Sheet'!A4</f>
        <v>ASSETS</v>
      </c>
      <c r="B4" s="52"/>
      <c r="C4" s="52"/>
      <c r="D4" s="52"/>
      <c r="E4" s="52"/>
      <c r="F4" s="52"/>
      <c r="G4" s="52"/>
      <c r="H4" s="52"/>
      <c r="I4" s="52"/>
      <c r="J4" s="52"/>
      <c r="K4" s="52"/>
      <c r="L4" s="52"/>
    </row>
    <row r="5" spans="1:15" s="2" customFormat="1" x14ac:dyDescent="0.2">
      <c r="A5" s="2" t="str">
        <f>'Balance Sheet'!A5</f>
        <v>Non-current assets</v>
      </c>
      <c r="B5" s="52"/>
      <c r="C5" s="52"/>
      <c r="D5" s="52"/>
      <c r="E5" s="52"/>
      <c r="F5" s="52"/>
      <c r="G5" s="52"/>
      <c r="H5" s="52"/>
      <c r="I5" s="52"/>
      <c r="J5" s="52"/>
      <c r="K5" s="52"/>
      <c r="L5" s="52"/>
    </row>
    <row r="6" spans="1:15" x14ac:dyDescent="0.2">
      <c r="A6" s="1" t="str">
        <f>'Balance Sheet'!A6</f>
        <v>Property, plant and equipment</v>
      </c>
      <c r="B6" s="52">
        <f>'Balance Sheet'!B6</f>
        <v>0</v>
      </c>
      <c r="C6" s="52">
        <f>'Balance Sheet'!C6</f>
        <v>78256</v>
      </c>
      <c r="D6" s="52">
        <f>'Balance Sheet'!D6</f>
        <v>96459</v>
      </c>
      <c r="E6" s="52">
        <f>'Balance Sheet'!E6</f>
        <v>113579</v>
      </c>
      <c r="F6" s="52">
        <f>'Balance Sheet'!F6</f>
        <v>137836</v>
      </c>
      <c r="G6" s="52">
        <f>'Balance Sheet'!G6</f>
        <v>155953</v>
      </c>
      <c r="H6" s="52">
        <f>'Balance Sheet'!H6</f>
        <v>176921</v>
      </c>
      <c r="I6" s="52">
        <f>'Balance Sheet'!I6</f>
        <v>207322</v>
      </c>
      <c r="J6" s="52">
        <f>'Balance Sheet'!J6</f>
        <v>287166</v>
      </c>
      <c r="K6" s="52">
        <f>'Balance Sheet'!K6</f>
        <v>302463</v>
      </c>
      <c r="L6" s="52">
        <f>'Balance Sheet'!L6</f>
        <v>311927</v>
      </c>
      <c r="N6" s="17">
        <f t="shared" ref="N6:N36" si="0">(L6/C6)^(1/9)-1</f>
        <v>0.1660740940002543</v>
      </c>
    </row>
    <row r="7" spans="1:15" x14ac:dyDescent="0.2">
      <c r="A7" s="1" t="str">
        <f>'Balance Sheet'!A7</f>
        <v>Investment properties</v>
      </c>
      <c r="B7" s="52">
        <f>'Balance Sheet'!B7</f>
        <v>0</v>
      </c>
      <c r="C7" s="52">
        <f>'Balance Sheet'!C7</f>
        <v>4515</v>
      </c>
      <c r="D7" s="52">
        <f>'Balance Sheet'!D7</f>
        <v>5961</v>
      </c>
      <c r="E7" s="52">
        <f>'Balance Sheet'!E7</f>
        <v>6604</v>
      </c>
      <c r="F7" s="52">
        <f>'Balance Sheet'!F7</f>
        <v>7368</v>
      </c>
      <c r="G7" s="52">
        <f>'Balance Sheet'!G7</f>
        <v>7732</v>
      </c>
      <c r="H7" s="52">
        <f>'Balance Sheet'!H7</f>
        <v>7938</v>
      </c>
      <c r="I7" s="52">
        <f>'Balance Sheet'!I7</f>
        <v>8572</v>
      </c>
      <c r="J7" s="52">
        <f>'Balance Sheet'!J7</f>
        <v>9074</v>
      </c>
      <c r="K7" s="52">
        <f>'Balance Sheet'!K7</f>
        <v>10105</v>
      </c>
      <c r="L7" s="52">
        <f>'Balance Sheet'!L7</f>
        <v>10333</v>
      </c>
      <c r="N7" s="17">
        <f t="shared" si="0"/>
        <v>9.6357204852383971E-2</v>
      </c>
    </row>
    <row r="8" spans="1:15" x14ac:dyDescent="0.2">
      <c r="A8" s="1" t="str">
        <f>'Balance Sheet'!A8</f>
        <v>Intangible assets</v>
      </c>
      <c r="B8" s="52">
        <f>'Balance Sheet'!B8</f>
        <v>0</v>
      </c>
      <c r="C8" s="52">
        <f>'Balance Sheet'!C8</f>
        <v>326</v>
      </c>
      <c r="D8" s="52">
        <f>'Balance Sheet'!D8</f>
        <v>431</v>
      </c>
      <c r="E8" s="52">
        <f>'Balance Sheet'!E8</f>
        <v>421</v>
      </c>
      <c r="F8" s="52">
        <f>'Balance Sheet'!F8</f>
        <v>464</v>
      </c>
      <c r="G8" s="52">
        <f>'Balance Sheet'!G8</f>
        <v>586</v>
      </c>
      <c r="H8" s="52">
        <f>'Balance Sheet'!H8</f>
        <v>534</v>
      </c>
      <c r="I8" s="52">
        <f>'Balance Sheet'!I8</f>
        <v>972</v>
      </c>
      <c r="J8" s="52">
        <f>'Balance Sheet'!J8</f>
        <v>1273</v>
      </c>
      <c r="K8" s="52">
        <f>'Balance Sheet'!K8</f>
        <v>1489</v>
      </c>
      <c r="L8" s="52">
        <f>'Balance Sheet'!L8</f>
        <v>1404</v>
      </c>
      <c r="N8" s="17">
        <f t="shared" si="0"/>
        <v>0.17614551390493571</v>
      </c>
    </row>
    <row r="9" spans="1:15" x14ac:dyDescent="0.2">
      <c r="A9" s="1" t="str">
        <f>'Balance Sheet'!A9</f>
        <v>Investments in subsidiearies</v>
      </c>
      <c r="B9" s="52">
        <f>'Balance Sheet'!B9</f>
        <v>0</v>
      </c>
      <c r="C9" s="52">
        <f>'Balance Sheet'!C9</f>
        <v>0</v>
      </c>
      <c r="D9" s="52">
        <f>'Balance Sheet'!D9</f>
        <v>0</v>
      </c>
      <c r="E9" s="52">
        <f>'Balance Sheet'!E9</f>
        <v>0</v>
      </c>
      <c r="F9" s="52">
        <f>'Balance Sheet'!F9</f>
        <v>0</v>
      </c>
      <c r="G9" s="52">
        <f>'Balance Sheet'!G9</f>
        <v>0</v>
      </c>
      <c r="H9" s="52">
        <f>'Balance Sheet'!H9</f>
        <v>0</v>
      </c>
      <c r="I9" s="52">
        <f>'Balance Sheet'!I9</f>
        <v>0</v>
      </c>
      <c r="J9" s="52">
        <f>'Balance Sheet'!J9</f>
        <v>0</v>
      </c>
      <c r="K9" s="52">
        <f>'Balance Sheet'!K9</f>
        <v>0</v>
      </c>
      <c r="L9" s="52">
        <f>'Balance Sheet'!L9</f>
        <v>0</v>
      </c>
      <c r="N9" s="17"/>
    </row>
    <row r="10" spans="1:15" s="2" customFormat="1" x14ac:dyDescent="0.2">
      <c r="A10" s="1" t="str">
        <f>'Balance Sheet'!A10</f>
        <v>Investments in associates and joint ventures</v>
      </c>
      <c r="B10" s="52">
        <f>'Balance Sheet'!B10</f>
        <v>0</v>
      </c>
      <c r="C10" s="52">
        <f>'Balance Sheet'!C10</f>
        <v>48</v>
      </c>
      <c r="D10" s="52">
        <f>'Balance Sheet'!D10</f>
        <v>24</v>
      </c>
      <c r="E10" s="52">
        <f>'Balance Sheet'!E10</f>
        <v>21</v>
      </c>
      <c r="F10" s="52">
        <f>'Balance Sheet'!F10</f>
        <v>81</v>
      </c>
      <c r="G10" s="52">
        <f>'Balance Sheet'!G10</f>
        <v>72</v>
      </c>
      <c r="H10" s="52">
        <f>'Balance Sheet'!H10</f>
        <v>93</v>
      </c>
      <c r="I10" s="52">
        <f>'Balance Sheet'!I10</f>
        <v>105</v>
      </c>
      <c r="J10" s="52">
        <f>'Balance Sheet'!J10</f>
        <v>113</v>
      </c>
      <c r="K10" s="52">
        <f>'Balance Sheet'!K10</f>
        <v>137</v>
      </c>
      <c r="L10" s="52">
        <f>'Balance Sheet'!L10</f>
        <v>155</v>
      </c>
      <c r="N10" s="17">
        <f t="shared" si="0"/>
        <v>0.13910984866292608</v>
      </c>
    </row>
    <row r="11" spans="1:15" x14ac:dyDescent="0.2">
      <c r="A11" s="1" t="str">
        <f>'Balance Sheet'!A11</f>
        <v>Derivative financial assets</v>
      </c>
      <c r="B11" s="52">
        <f>'Balance Sheet'!B11</f>
        <v>0</v>
      </c>
      <c r="C11" s="52">
        <f>'Balance Sheet'!C11</f>
        <v>533</v>
      </c>
      <c r="D11" s="52">
        <f>'Balance Sheet'!D11</f>
        <v>178</v>
      </c>
      <c r="E11" s="52">
        <f>'Balance Sheet'!E11</f>
        <v>11</v>
      </c>
      <c r="F11" s="52">
        <f>'Balance Sheet'!F11</f>
        <v>15</v>
      </c>
      <c r="G11" s="52">
        <f>'Balance Sheet'!G11</f>
        <v>467</v>
      </c>
      <c r="H11" s="52">
        <f>'Balance Sheet'!H11</f>
        <v>3821</v>
      </c>
      <c r="I11" s="52">
        <f>'Balance Sheet'!I11</f>
        <v>7346</v>
      </c>
      <c r="J11" s="52">
        <f>'Balance Sheet'!J11</f>
        <v>7622</v>
      </c>
      <c r="K11" s="52">
        <f>'Balance Sheet'!K11</f>
        <v>13076</v>
      </c>
      <c r="L11" s="52">
        <f>'Balance Sheet'!L11</f>
        <v>8206</v>
      </c>
      <c r="N11" s="17">
        <f t="shared" si="0"/>
        <v>0.35498289095229585</v>
      </c>
    </row>
    <row r="12" spans="1:15" x14ac:dyDescent="0.2">
      <c r="A12" s="1" t="str">
        <f>'Balance Sheet'!A12</f>
        <v>Long term loans and advances</v>
      </c>
      <c r="B12" s="52">
        <f>'Balance Sheet'!B12</f>
        <v>0</v>
      </c>
      <c r="C12" s="52">
        <f>'Balance Sheet'!C12</f>
        <v>90</v>
      </c>
      <c r="D12" s="52">
        <f>'Balance Sheet'!D12</f>
        <v>77</v>
      </c>
      <c r="E12" s="52">
        <f>'Balance Sheet'!E12</f>
        <v>37</v>
      </c>
      <c r="F12" s="52">
        <f>'Balance Sheet'!F12</f>
        <v>11</v>
      </c>
      <c r="G12" s="52">
        <f>'Balance Sheet'!G12</f>
        <v>2</v>
      </c>
      <c r="H12" s="52">
        <f>'Balance Sheet'!H12</f>
        <v>4</v>
      </c>
      <c r="I12" s="52">
        <f>'Balance Sheet'!I12</f>
        <v>29</v>
      </c>
      <c r="J12" s="52">
        <f>'Balance Sheet'!J12</f>
        <v>24</v>
      </c>
      <c r="K12" s="52">
        <f>'Balance Sheet'!K12</f>
        <v>21</v>
      </c>
      <c r="L12" s="52">
        <f>'Balance Sheet'!L12</f>
        <v>20</v>
      </c>
      <c r="N12" s="17">
        <f t="shared" si="0"/>
        <v>-0.15390168179234565</v>
      </c>
    </row>
    <row r="13" spans="1:15" s="2" customFormat="1" x14ac:dyDescent="0.2">
      <c r="A13" s="1" t="str">
        <f>'Balance Sheet'!A13</f>
        <v>Other investments and long term financial assets</v>
      </c>
      <c r="B13" s="52">
        <f>'Balance Sheet'!B13</f>
        <v>0</v>
      </c>
      <c r="C13" s="52">
        <f>'Balance Sheet'!C13</f>
        <v>452</v>
      </c>
      <c r="D13" s="52">
        <f>'Balance Sheet'!D13</f>
        <v>287</v>
      </c>
      <c r="E13" s="52">
        <f>'Balance Sheet'!E13</f>
        <v>172</v>
      </c>
      <c r="F13" s="52">
        <f>'Balance Sheet'!F13</f>
        <v>468</v>
      </c>
      <c r="G13" s="52">
        <f>'Balance Sheet'!G13</f>
        <v>568</v>
      </c>
      <c r="H13" s="52">
        <f>'Balance Sheet'!H13</f>
        <v>671</v>
      </c>
      <c r="I13" s="52">
        <f>'Balance Sheet'!I13</f>
        <v>716</v>
      </c>
      <c r="J13" s="52">
        <f>'Balance Sheet'!J13</f>
        <v>669</v>
      </c>
      <c r="K13" s="52">
        <f>'Balance Sheet'!K13</f>
        <v>901</v>
      </c>
      <c r="L13" s="52">
        <f>'Balance Sheet'!L13</f>
        <v>1601</v>
      </c>
      <c r="N13" s="17">
        <f t="shared" si="0"/>
        <v>0.15087485032636661</v>
      </c>
    </row>
    <row r="14" spans="1:15" s="2" customFormat="1" x14ac:dyDescent="0.2">
      <c r="A14" s="2" t="str">
        <f>'Balance Sheet'!A14</f>
        <v>Total non-current assets</v>
      </c>
      <c r="B14" s="53">
        <f>'Balance Sheet'!B14</f>
        <v>0</v>
      </c>
      <c r="C14" s="53">
        <f>'Balance Sheet'!C14</f>
        <v>84220</v>
      </c>
      <c r="D14" s="53">
        <f>'Balance Sheet'!D14</f>
        <v>103417</v>
      </c>
      <c r="E14" s="53">
        <f>'Balance Sheet'!E14</f>
        <v>120845</v>
      </c>
      <c r="F14" s="53">
        <f>'Balance Sheet'!F14</f>
        <v>146243</v>
      </c>
      <c r="G14" s="53">
        <f>'Balance Sheet'!G14</f>
        <v>165380</v>
      </c>
      <c r="H14" s="53">
        <f>'Balance Sheet'!H14</f>
        <v>189982</v>
      </c>
      <c r="I14" s="53">
        <f>'Balance Sheet'!I14</f>
        <v>225062</v>
      </c>
      <c r="J14" s="53">
        <f>'Balance Sheet'!J14</f>
        <v>305941</v>
      </c>
      <c r="K14" s="53">
        <f>'Balance Sheet'!K14</f>
        <v>328192</v>
      </c>
      <c r="L14" s="53">
        <f>'Balance Sheet'!L14</f>
        <v>333646</v>
      </c>
      <c r="N14" s="17">
        <f t="shared" si="0"/>
        <v>0.1652794192434881</v>
      </c>
    </row>
    <row r="15" spans="1:15" s="2" customFormat="1" x14ac:dyDescent="0.2">
      <c r="B15" s="53"/>
      <c r="C15" s="53"/>
      <c r="D15" s="53"/>
      <c r="E15" s="53"/>
      <c r="F15" s="53"/>
      <c r="G15" s="53"/>
      <c r="H15" s="53"/>
      <c r="I15" s="53"/>
      <c r="J15" s="53"/>
      <c r="K15" s="53"/>
      <c r="L15" s="53"/>
      <c r="N15" s="17"/>
    </row>
    <row r="16" spans="1:15" s="2" customFormat="1" x14ac:dyDescent="0.2">
      <c r="A16" s="2" t="str">
        <f>'Balance Sheet'!A16</f>
        <v>Current assets</v>
      </c>
      <c r="B16" s="53">
        <f>'Balance Sheet'!B16</f>
        <v>0</v>
      </c>
      <c r="C16" s="53"/>
      <c r="D16" s="53"/>
      <c r="E16" s="53"/>
      <c r="F16" s="53"/>
      <c r="G16" s="53"/>
      <c r="H16" s="53"/>
      <c r="I16" s="53"/>
      <c r="J16" s="53"/>
      <c r="K16" s="53"/>
      <c r="L16" s="53"/>
      <c r="N16" s="17"/>
    </row>
    <row r="17" spans="1:14" s="2" customFormat="1" x14ac:dyDescent="0.2">
      <c r="A17" s="1" t="str">
        <f>'Balance Sheet'!A17</f>
        <v>Inventories</v>
      </c>
      <c r="B17" s="52">
        <f>'Balance Sheet'!B17</f>
        <v>0</v>
      </c>
      <c r="C17" s="52">
        <f>'Balance Sheet'!C17</f>
        <v>2319</v>
      </c>
      <c r="D17" s="52">
        <f>'Balance Sheet'!D17</f>
        <v>2589</v>
      </c>
      <c r="E17" s="52">
        <f>'Balance Sheet'!E17</f>
        <v>2048</v>
      </c>
      <c r="F17" s="52">
        <f>'Balance Sheet'!F17</f>
        <v>2257</v>
      </c>
      <c r="G17" s="52">
        <f>'Balance Sheet'!G17</f>
        <v>2591</v>
      </c>
      <c r="H17" s="52">
        <f>'Balance Sheet'!H17</f>
        <v>3400</v>
      </c>
      <c r="I17" s="52">
        <f>'Balance Sheet'!I17</f>
        <v>3241</v>
      </c>
      <c r="J17" s="52">
        <f>'Balance Sheet'!J17</f>
        <v>3343</v>
      </c>
      <c r="K17" s="52">
        <f>'Balance Sheet'!K17</f>
        <v>3594</v>
      </c>
      <c r="L17" s="52">
        <f>'Balance Sheet'!L17</f>
        <v>3354</v>
      </c>
      <c r="N17" s="17">
        <f t="shared" si="0"/>
        <v>4.1854143540726474E-2</v>
      </c>
    </row>
    <row r="18" spans="1:14" x14ac:dyDescent="0.2">
      <c r="A18" s="1" t="str">
        <f>'Balance Sheet'!A18</f>
        <v>Trade and other receivables</v>
      </c>
      <c r="B18" s="52">
        <f>'Balance Sheet'!B18</f>
        <v>0</v>
      </c>
      <c r="C18" s="52">
        <f>'Balance Sheet'!C18</f>
        <v>4074</v>
      </c>
      <c r="D18" s="52">
        <f>'Balance Sheet'!D18</f>
        <v>5503</v>
      </c>
      <c r="E18" s="52">
        <f>'Balance Sheet'!E18</f>
        <v>5859</v>
      </c>
      <c r="F18" s="52">
        <f>'Balance Sheet'!F18</f>
        <v>5503</v>
      </c>
      <c r="G18" s="52">
        <f>'Balance Sheet'!G18</f>
        <v>5615</v>
      </c>
      <c r="H18" s="52">
        <f>'Balance Sheet'!H18</f>
        <v>6248</v>
      </c>
      <c r="I18" s="52">
        <f>'Balance Sheet'!I18</f>
        <v>7774</v>
      </c>
      <c r="J18" s="52">
        <f>'Balance Sheet'!J18</f>
        <v>8332</v>
      </c>
      <c r="K18" s="52">
        <f>'Balance Sheet'!K18</f>
        <v>8535</v>
      </c>
      <c r="L18" s="52">
        <f>'Balance Sheet'!L18</f>
        <v>7768</v>
      </c>
      <c r="N18" s="17">
        <f t="shared" si="0"/>
        <v>7.4343430406842659E-2</v>
      </c>
    </row>
    <row r="19" spans="1:14" s="2" customFormat="1" x14ac:dyDescent="0.2">
      <c r="A19" s="1" t="str">
        <f>'Balance Sheet'!A20</f>
        <v>Derivative financial assets</v>
      </c>
      <c r="B19" s="52">
        <f>'Balance Sheet'!B20</f>
        <v>0</v>
      </c>
      <c r="C19" s="52">
        <f>'Balance Sheet'!C20</f>
        <v>412</v>
      </c>
      <c r="D19" s="52">
        <f>'Balance Sheet'!D20</f>
        <v>335</v>
      </c>
      <c r="E19" s="52">
        <f>'Balance Sheet'!E20</f>
        <v>28</v>
      </c>
      <c r="F19" s="52">
        <f>'Balance Sheet'!F20</f>
        <v>30</v>
      </c>
      <c r="G19" s="52">
        <f>'Balance Sheet'!G20</f>
        <v>35</v>
      </c>
      <c r="H19" s="52">
        <f>'Balance Sheet'!H20</f>
        <v>34</v>
      </c>
      <c r="I19" s="52">
        <f>'Balance Sheet'!I20</f>
        <v>67</v>
      </c>
      <c r="J19" s="52">
        <f>'Balance Sheet'!J20</f>
        <v>3770</v>
      </c>
      <c r="K19" s="52">
        <f>'Balance Sheet'!K20</f>
        <v>324</v>
      </c>
      <c r="L19" s="52">
        <f>'Balance Sheet'!L20</f>
        <v>3</v>
      </c>
      <c r="N19" s="17">
        <f t="shared" si="0"/>
        <v>-0.42127887237431616</v>
      </c>
    </row>
    <row r="20" spans="1:14" x14ac:dyDescent="0.2">
      <c r="A20" s="1" t="str">
        <f>'Balance Sheet'!A21</f>
        <v>Other short term investments</v>
      </c>
      <c r="B20" s="52">
        <f>'Balance Sheet'!B21</f>
        <v>0</v>
      </c>
      <c r="C20" s="52">
        <f>'Balance Sheet'!C21</f>
        <v>550</v>
      </c>
      <c r="D20" s="52">
        <f>'Balance Sheet'!D21</f>
        <v>436</v>
      </c>
      <c r="E20" s="52">
        <f>'Balance Sheet'!E21</f>
        <v>1670</v>
      </c>
      <c r="F20" s="52">
        <f>'Balance Sheet'!F21</f>
        <v>1566</v>
      </c>
      <c r="G20" s="52">
        <f>'Balance Sheet'!G21</f>
        <v>2755</v>
      </c>
      <c r="H20" s="52">
        <f>'Balance Sheet'!H21</f>
        <v>1359</v>
      </c>
      <c r="I20" s="52">
        <f>'Balance Sheet'!I21</f>
        <v>3633</v>
      </c>
      <c r="J20" s="52">
        <f>'Balance Sheet'!J21</f>
        <v>708</v>
      </c>
      <c r="K20" s="52">
        <f>'Balance Sheet'!K21</f>
        <v>1641</v>
      </c>
      <c r="L20" s="52">
        <f>'Balance Sheet'!L21</f>
        <v>332</v>
      </c>
      <c r="N20" s="17">
        <f t="shared" si="0"/>
        <v>-5.4543154929391324E-2</v>
      </c>
    </row>
    <row r="21" spans="1:14" s="2" customFormat="1" x14ac:dyDescent="0.2">
      <c r="A21" s="1" t="str">
        <f>'Balance Sheet'!A22</f>
        <v>Cash and cash equivalents</v>
      </c>
      <c r="B21" s="52">
        <f>'Balance Sheet'!B22</f>
        <v>0</v>
      </c>
      <c r="C21" s="52">
        <f>'Balance Sheet'!C22</f>
        <v>5980</v>
      </c>
      <c r="D21" s="52">
        <f>'Balance Sheet'!D22</f>
        <v>5880</v>
      </c>
      <c r="E21" s="52">
        <f>'Balance Sheet'!E22</f>
        <v>7918</v>
      </c>
      <c r="F21" s="52">
        <f>'Balance Sheet'!F22</f>
        <v>10876</v>
      </c>
      <c r="G21" s="52">
        <f>'Balance Sheet'!G22</f>
        <v>1189</v>
      </c>
      <c r="H21" s="52">
        <f>'Balance Sheet'!H22</f>
        <v>2598</v>
      </c>
      <c r="I21" s="52">
        <f>'Balance Sheet'!I22</f>
        <v>238</v>
      </c>
      <c r="J21" s="52">
        <f>'Balance Sheet'!J22</f>
        <v>6264</v>
      </c>
      <c r="K21" s="52">
        <f>'Balance Sheet'!K22</f>
        <v>13943</v>
      </c>
      <c r="L21" s="52">
        <f>'Balance Sheet'!L22</f>
        <v>6422</v>
      </c>
      <c r="N21" s="17">
        <f t="shared" si="0"/>
        <v>7.9546971146271517E-3</v>
      </c>
    </row>
    <row r="22" spans="1:14" x14ac:dyDescent="0.2">
      <c r="B22" s="52"/>
      <c r="C22" s="52"/>
      <c r="D22" s="52"/>
      <c r="E22" s="52"/>
      <c r="F22" s="52"/>
      <c r="G22" s="52"/>
      <c r="H22" s="52"/>
      <c r="I22" s="52"/>
      <c r="J22" s="52"/>
      <c r="K22" s="52"/>
      <c r="L22" s="52"/>
      <c r="N22" s="17"/>
    </row>
    <row r="23" spans="1:14" s="2" customFormat="1" x14ac:dyDescent="0.2">
      <c r="A23" s="1" t="str">
        <f>'Balance Sheet'!A24</f>
        <v>Assets classified as held for sale</v>
      </c>
      <c r="B23" s="52">
        <f>'Balance Sheet'!B24</f>
        <v>0</v>
      </c>
      <c r="C23" s="52">
        <f>'Balance Sheet'!C24</f>
        <v>1131</v>
      </c>
      <c r="D23" s="52">
        <f>'Balance Sheet'!D24</f>
        <v>374</v>
      </c>
      <c r="E23" s="52">
        <f>'Balance Sheet'!E24</f>
        <v>517</v>
      </c>
      <c r="F23" s="52">
        <f>'Balance Sheet'!F24</f>
        <v>292</v>
      </c>
      <c r="G23" s="52">
        <f>'Balance Sheet'!G24</f>
        <v>231</v>
      </c>
      <c r="H23" s="52">
        <f>'Balance Sheet'!H24</f>
        <v>275</v>
      </c>
      <c r="I23" s="52">
        <f>'Balance Sheet'!I24</f>
        <v>238</v>
      </c>
      <c r="J23" s="52">
        <f>'Balance Sheet'!J24</f>
        <v>81</v>
      </c>
      <c r="K23" s="52">
        <f>'Balance Sheet'!K24</f>
        <v>164</v>
      </c>
      <c r="L23" s="52">
        <f>'Balance Sheet'!L24</f>
        <v>110</v>
      </c>
      <c r="N23" s="17">
        <f t="shared" si="0"/>
        <v>-0.22812355726406575</v>
      </c>
    </row>
    <row r="24" spans="1:14" s="2" customFormat="1" x14ac:dyDescent="0.2">
      <c r="A24" s="2" t="str">
        <f>'Balance Sheet'!A25</f>
        <v>Total current assets</v>
      </c>
      <c r="B24" s="53">
        <f>'Balance Sheet'!B25</f>
        <v>0</v>
      </c>
      <c r="C24" s="53">
        <f>'Balance Sheet'!C25</f>
        <v>14466</v>
      </c>
      <c r="D24" s="53">
        <f>'Balance Sheet'!D25</f>
        <v>15117</v>
      </c>
      <c r="E24" s="53">
        <f>'Balance Sheet'!E25</f>
        <v>18040</v>
      </c>
      <c r="F24" s="53">
        <f>'Balance Sheet'!F25</f>
        <v>20827</v>
      </c>
      <c r="G24" s="53">
        <f>'Balance Sheet'!G25</f>
        <v>12625</v>
      </c>
      <c r="H24" s="53">
        <f>'Balance Sheet'!H25</f>
        <v>13914</v>
      </c>
      <c r="I24" s="53">
        <f>'Balance Sheet'!I25</f>
        <v>15249</v>
      </c>
      <c r="J24" s="53">
        <f>'Balance Sheet'!J25</f>
        <v>22498</v>
      </c>
      <c r="K24" s="53">
        <f>'Balance Sheet'!K25</f>
        <v>28201</v>
      </c>
      <c r="L24" s="53">
        <f>'Balance Sheet'!L25</f>
        <v>17989</v>
      </c>
      <c r="N24" s="17">
        <f t="shared" si="0"/>
        <v>2.4513340588802945E-2</v>
      </c>
    </row>
    <row r="25" spans="1:14" s="2" customFormat="1" x14ac:dyDescent="0.2">
      <c r="B25" s="53"/>
      <c r="C25" s="53"/>
      <c r="D25" s="53"/>
      <c r="E25" s="53"/>
      <c r="F25" s="53"/>
      <c r="G25" s="53"/>
      <c r="H25" s="53"/>
      <c r="I25" s="53"/>
      <c r="J25" s="53"/>
      <c r="K25" s="53"/>
      <c r="L25" s="53"/>
      <c r="N25" s="17"/>
    </row>
    <row r="26" spans="1:14" s="2" customFormat="1" x14ac:dyDescent="0.2">
      <c r="A26" s="2" t="str">
        <f>'Balance Sheet'!A27</f>
        <v>TOTAL ASSETS</v>
      </c>
      <c r="B26" s="53">
        <f>'Balance Sheet'!B27</f>
        <v>0</v>
      </c>
      <c r="C26" s="53">
        <f>'Balance Sheet'!C27</f>
        <v>98686</v>
      </c>
      <c r="D26" s="53">
        <f>'Balance Sheet'!D27</f>
        <v>118534</v>
      </c>
      <c r="E26" s="53">
        <f>'Balance Sheet'!E27</f>
        <v>138885</v>
      </c>
      <c r="F26" s="53">
        <f>'Balance Sheet'!F27</f>
        <v>167070</v>
      </c>
      <c r="G26" s="53">
        <f>'Balance Sheet'!G27</f>
        <v>178005</v>
      </c>
      <c r="H26" s="53">
        <f>'Balance Sheet'!H27</f>
        <v>203896</v>
      </c>
      <c r="I26" s="53">
        <f>'Balance Sheet'!I27</f>
        <v>240311</v>
      </c>
      <c r="J26" s="53">
        <f>'Balance Sheet'!J27</f>
        <v>328439</v>
      </c>
      <c r="K26" s="53">
        <f>'Balance Sheet'!K27</f>
        <v>356393</v>
      </c>
      <c r="L26" s="53">
        <f>'Balance Sheet'!L27</f>
        <v>351635</v>
      </c>
      <c r="N26" s="17">
        <f t="shared" si="0"/>
        <v>0.15163584034379274</v>
      </c>
    </row>
    <row r="27" spans="1:14" s="2" customFormat="1" x14ac:dyDescent="0.2">
      <c r="B27" s="53"/>
      <c r="C27" s="53"/>
      <c r="D27" s="53"/>
      <c r="E27" s="53"/>
      <c r="F27" s="53"/>
      <c r="G27" s="53"/>
      <c r="H27" s="53"/>
      <c r="I27" s="53"/>
      <c r="J27" s="53"/>
      <c r="K27" s="53"/>
      <c r="L27" s="53"/>
      <c r="N27" s="17"/>
    </row>
    <row r="28" spans="1:14" s="2" customFormat="1" x14ac:dyDescent="0.2">
      <c r="A28" s="2" t="str">
        <f>'Balance Sheet'!A29</f>
        <v>EQUITY AND LIABILITIES</v>
      </c>
      <c r="B28" s="53">
        <f>'Balance Sheet'!B29</f>
        <v>0</v>
      </c>
      <c r="C28" s="53"/>
      <c r="D28" s="53"/>
      <c r="E28" s="53"/>
      <c r="F28" s="53"/>
      <c r="G28" s="53"/>
      <c r="H28" s="53"/>
      <c r="I28" s="53"/>
      <c r="J28" s="53"/>
      <c r="K28" s="53"/>
      <c r="L28" s="53"/>
      <c r="N28" s="17"/>
    </row>
    <row r="29" spans="1:14" s="2" customFormat="1" x14ac:dyDescent="0.2">
      <c r="B29" s="53"/>
      <c r="C29" s="53"/>
      <c r="D29" s="53"/>
      <c r="E29" s="53"/>
      <c r="F29" s="53"/>
      <c r="G29" s="53"/>
      <c r="H29" s="53"/>
      <c r="I29" s="53"/>
      <c r="J29" s="53"/>
      <c r="K29" s="53"/>
      <c r="L29" s="53"/>
      <c r="N29" s="17"/>
    </row>
    <row r="30" spans="1:14" x14ac:dyDescent="0.2">
      <c r="A30" s="2" t="str">
        <f>'Balance Sheet'!A31</f>
        <v>Equity attributable to owners</v>
      </c>
      <c r="B30" s="52">
        <f>'Balance Sheet'!B31</f>
        <v>0</v>
      </c>
      <c r="C30" s="52"/>
      <c r="D30" s="52"/>
      <c r="E30" s="52"/>
      <c r="F30" s="52"/>
      <c r="G30" s="52"/>
      <c r="H30" s="52"/>
      <c r="I30" s="52"/>
      <c r="J30" s="52"/>
      <c r="K30" s="52"/>
      <c r="L30" s="52"/>
      <c r="N30" s="17"/>
    </row>
    <row r="31" spans="1:14" x14ac:dyDescent="0.2">
      <c r="A31" s="1" t="str">
        <f>'Balance Sheet'!A32</f>
        <v xml:space="preserve">Issued capital </v>
      </c>
      <c r="B31" s="52">
        <f>'Balance Sheet'!B32</f>
        <v>0</v>
      </c>
      <c r="C31" s="52">
        <f>'Balance Sheet'!C32</f>
        <v>12661</v>
      </c>
      <c r="D31" s="52">
        <f>'Balance Sheet'!D32</f>
        <v>12661</v>
      </c>
      <c r="E31" s="52">
        <f>'Balance Sheet'!E32</f>
        <v>12661</v>
      </c>
      <c r="F31" s="52">
        <f>'Balance Sheet'!F32</f>
        <v>12661</v>
      </c>
      <c r="G31" s="52">
        <f>'Balance Sheet'!G32</f>
        <v>12661</v>
      </c>
      <c r="H31" s="52">
        <f>'Balance Sheet'!H32</f>
        <v>12661</v>
      </c>
      <c r="I31" s="52">
        <f>'Balance Sheet'!I32</f>
        <v>12661</v>
      </c>
      <c r="J31" s="52">
        <f>'Balance Sheet'!J32</f>
        <v>12661</v>
      </c>
      <c r="K31" s="52">
        <f>'Balance Sheet'!K32</f>
        <v>12661</v>
      </c>
      <c r="L31" s="52">
        <f>'Balance Sheet'!L32</f>
        <v>12661</v>
      </c>
      <c r="N31" s="17">
        <f t="shared" si="0"/>
        <v>0</v>
      </c>
    </row>
    <row r="32" spans="1:14" s="2" customFormat="1" x14ac:dyDescent="0.2">
      <c r="A32" s="1" t="str">
        <f>'Balance Sheet'!A33</f>
        <v>Reserves</v>
      </c>
      <c r="B32" s="52">
        <f>'Balance Sheet'!B33</f>
        <v>0</v>
      </c>
      <c r="C32" s="52">
        <f>'Balance Sheet'!C33</f>
        <v>38300</v>
      </c>
      <c r="D32" s="52">
        <f>'Balance Sheet'!D33</f>
        <v>45673</v>
      </c>
      <c r="E32" s="52">
        <f>'Balance Sheet'!E33</f>
        <v>50686</v>
      </c>
      <c r="F32" s="52">
        <f>'Balance Sheet'!F33</f>
        <v>61005</v>
      </c>
      <c r="G32" s="52">
        <f>'Balance Sheet'!G33</f>
        <v>66760</v>
      </c>
      <c r="H32" s="52">
        <f>'Balance Sheet'!H33</f>
        <v>72293</v>
      </c>
      <c r="I32" s="52">
        <f>'Balance Sheet'!I33</f>
        <v>84452</v>
      </c>
      <c r="J32" s="52">
        <f>'Balance Sheet'!J33</f>
        <v>129667</v>
      </c>
      <c r="K32" s="52">
        <f>'Balance Sheet'!K33</f>
        <v>130629</v>
      </c>
      <c r="L32" s="52">
        <f>'Balance Sheet'!L33</f>
        <v>130902</v>
      </c>
      <c r="N32" s="17">
        <f t="shared" si="0"/>
        <v>0.14631844006529926</v>
      </c>
    </row>
    <row r="33" spans="1:14" x14ac:dyDescent="0.2">
      <c r="B33" s="52"/>
      <c r="C33" s="52"/>
      <c r="D33" s="52"/>
      <c r="E33" s="52"/>
      <c r="F33" s="52"/>
      <c r="G33" s="52"/>
      <c r="H33" s="52"/>
      <c r="I33" s="52"/>
      <c r="J33" s="52"/>
      <c r="K33" s="52"/>
      <c r="L33" s="52"/>
      <c r="N33" s="17"/>
    </row>
    <row r="34" spans="1:14" s="2" customFormat="1" x14ac:dyDescent="0.2">
      <c r="A34" s="1"/>
      <c r="B34" s="52"/>
      <c r="C34" s="52"/>
      <c r="D34" s="52"/>
      <c r="E34" s="52"/>
      <c r="F34" s="52"/>
      <c r="G34" s="52"/>
      <c r="H34" s="52"/>
      <c r="I34" s="52"/>
      <c r="J34" s="52"/>
      <c r="K34" s="52"/>
      <c r="L34" s="52"/>
      <c r="N34" s="17"/>
    </row>
    <row r="35" spans="1:14" x14ac:dyDescent="0.2">
      <c r="B35" s="52"/>
      <c r="C35" s="52"/>
      <c r="D35" s="52"/>
      <c r="E35" s="52"/>
      <c r="F35" s="52"/>
      <c r="G35" s="52"/>
      <c r="H35" s="52"/>
      <c r="I35" s="52"/>
      <c r="J35" s="52"/>
      <c r="K35" s="52"/>
      <c r="L35" s="52"/>
      <c r="N35" s="17"/>
    </row>
    <row r="36" spans="1:14" s="2" customFormat="1" x14ac:dyDescent="0.2">
      <c r="A36" s="2" t="str">
        <f>'Balance Sheet'!A37</f>
        <v>Total equity</v>
      </c>
      <c r="B36" s="53">
        <f>'Balance Sheet'!B37</f>
        <v>0</v>
      </c>
      <c r="C36" s="53">
        <f>'Balance Sheet'!C37</f>
        <v>50961</v>
      </c>
      <c r="D36" s="53">
        <f>'Balance Sheet'!D37</f>
        <v>58334</v>
      </c>
      <c r="E36" s="53">
        <f>'Balance Sheet'!E37</f>
        <v>63347</v>
      </c>
      <c r="F36" s="53">
        <f>'Balance Sheet'!F37</f>
        <v>73666</v>
      </c>
      <c r="G36" s="53">
        <f>'Balance Sheet'!G37</f>
        <v>79421</v>
      </c>
      <c r="H36" s="53">
        <f>'Balance Sheet'!H37</f>
        <v>84954</v>
      </c>
      <c r="I36" s="53">
        <f>'Balance Sheet'!I37</f>
        <v>97113</v>
      </c>
      <c r="J36" s="53">
        <f>'Balance Sheet'!J37</f>
        <v>142328</v>
      </c>
      <c r="K36" s="53">
        <f>'Balance Sheet'!K37</f>
        <v>143290</v>
      </c>
      <c r="L36" s="53">
        <f>'Balance Sheet'!L37</f>
        <v>143563</v>
      </c>
      <c r="N36" s="17">
        <f t="shared" si="0"/>
        <v>0.12196235940601619</v>
      </c>
    </row>
    <row r="37" spans="1:14" s="2" customFormat="1" x14ac:dyDescent="0.2">
      <c r="B37" s="53"/>
      <c r="C37" s="53"/>
      <c r="D37" s="53"/>
      <c r="E37" s="53"/>
      <c r="F37" s="53"/>
      <c r="G37" s="53"/>
      <c r="H37" s="53"/>
      <c r="I37" s="53"/>
      <c r="J37" s="53"/>
      <c r="K37" s="53"/>
      <c r="L37" s="53"/>
      <c r="N37" s="17"/>
    </row>
    <row r="38" spans="1:14" s="2" customFormat="1" x14ac:dyDescent="0.2">
      <c r="A38" s="2" t="str">
        <f>'Balance Sheet'!A39</f>
        <v>Non-current liabilities</v>
      </c>
      <c r="B38" s="53"/>
      <c r="C38" s="53"/>
      <c r="D38" s="53"/>
      <c r="E38" s="53"/>
      <c r="F38" s="53"/>
      <c r="G38" s="53"/>
      <c r="H38" s="53"/>
      <c r="I38" s="53"/>
      <c r="J38" s="53"/>
      <c r="K38" s="53"/>
      <c r="L38" s="53"/>
      <c r="N38" s="17"/>
    </row>
    <row r="39" spans="1:14" x14ac:dyDescent="0.2">
      <c r="A39" s="1" t="str">
        <f>'Balance Sheet'!A40</f>
        <v>Post retirement benefit obligations</v>
      </c>
      <c r="B39" s="52">
        <f>'Balance Sheet'!B40</f>
        <v>0</v>
      </c>
      <c r="C39" s="52">
        <f>'Balance Sheet'!C40</f>
        <v>2181</v>
      </c>
      <c r="D39" s="52">
        <f>'Balance Sheet'!D40</f>
        <v>2324</v>
      </c>
      <c r="E39" s="52">
        <f>'Balance Sheet'!E40</f>
        <v>3451</v>
      </c>
      <c r="F39" s="52">
        <f>'Balance Sheet'!F40</f>
        <v>3232</v>
      </c>
      <c r="G39" s="52">
        <f>'Balance Sheet'!G40</f>
        <v>3322</v>
      </c>
      <c r="H39" s="52">
        <f>'Balance Sheet'!H40</f>
        <v>3117</v>
      </c>
      <c r="I39" s="52">
        <f>'Balance Sheet'!I40</f>
        <v>2968</v>
      </c>
      <c r="J39" s="52">
        <f>'Balance Sheet'!J40</f>
        <v>2771</v>
      </c>
      <c r="K39" s="52">
        <f>'Balance Sheet'!K40</f>
        <v>2646</v>
      </c>
      <c r="L39" s="52">
        <f>'Balance Sheet'!L40</f>
        <v>2624</v>
      </c>
      <c r="N39" s="17">
        <f t="shared" ref="N39:N59" si="1">(L39/C39)^(1/9)-1</f>
        <v>2.075879242727674E-2</v>
      </c>
    </row>
    <row r="40" spans="1:14" s="2" customFormat="1" x14ac:dyDescent="0.2">
      <c r="A40" s="1" t="str">
        <f>'Balance Sheet'!A41</f>
        <v>Long term borrowings</v>
      </c>
      <c r="B40" s="52">
        <f>'Balance Sheet'!B41</f>
        <v>0</v>
      </c>
      <c r="C40" s="52">
        <f>'Balance Sheet'!C41</f>
        <v>16890</v>
      </c>
      <c r="D40" s="52">
        <f>'Balance Sheet'!D41</f>
        <v>29758</v>
      </c>
      <c r="E40" s="52">
        <f>'Balance Sheet'!E41</f>
        <v>42736</v>
      </c>
      <c r="F40" s="52">
        <f>'Balance Sheet'!F41</f>
        <v>50452</v>
      </c>
      <c r="G40" s="52">
        <f>'Balance Sheet'!G41</f>
        <v>52566</v>
      </c>
      <c r="H40" s="52">
        <f>'Balance Sheet'!H41</f>
        <v>66770</v>
      </c>
      <c r="I40" s="52">
        <f>'Balance Sheet'!I41</f>
        <v>82995</v>
      </c>
      <c r="J40" s="52">
        <f>'Balance Sheet'!J41</f>
        <v>93078</v>
      </c>
      <c r="K40" s="52">
        <f>'Balance Sheet'!K41</f>
        <v>117468</v>
      </c>
      <c r="L40" s="52">
        <f>'Balance Sheet'!L41</f>
        <v>111026</v>
      </c>
      <c r="M40" s="1"/>
      <c r="N40" s="17">
        <f t="shared" si="1"/>
        <v>0.23272475110038937</v>
      </c>
    </row>
    <row r="41" spans="1:14" x14ac:dyDescent="0.2">
      <c r="A41" s="1" t="str">
        <f>'Balance Sheet'!A42</f>
        <v>Derivative financial liabilities</v>
      </c>
      <c r="B41" s="52">
        <f>'Balance Sheet'!B42</f>
        <v>0</v>
      </c>
      <c r="C41" s="52">
        <f>'Balance Sheet'!C42</f>
        <v>453</v>
      </c>
      <c r="D41" s="52">
        <f>'Balance Sheet'!D42</f>
        <v>18</v>
      </c>
      <c r="E41" s="52">
        <f>'Balance Sheet'!E42</f>
        <v>366</v>
      </c>
      <c r="F41" s="52">
        <f>'Balance Sheet'!F42</f>
        <v>558</v>
      </c>
      <c r="G41" s="52">
        <f>'Balance Sheet'!G42</f>
        <v>82</v>
      </c>
      <c r="H41" s="52">
        <f>'Balance Sheet'!H42</f>
        <v>62</v>
      </c>
      <c r="I41" s="52">
        <f>'Balance Sheet'!I42</f>
        <v>46</v>
      </c>
      <c r="J41" s="52">
        <f>'Balance Sheet'!J42</f>
        <v>25</v>
      </c>
      <c r="K41" s="52">
        <f>'Balance Sheet'!K42</f>
        <v>0</v>
      </c>
      <c r="L41" s="52">
        <f>'Balance Sheet'!L42</f>
        <v>1938</v>
      </c>
      <c r="N41" s="17">
        <f t="shared" si="1"/>
        <v>0.17527502638845327</v>
      </c>
    </row>
    <row r="42" spans="1:14" x14ac:dyDescent="0.2">
      <c r="A42" s="1" t="str">
        <f>'Balance Sheet'!A43</f>
        <v>Long term provisions</v>
      </c>
      <c r="B42" s="52">
        <f>'Balance Sheet'!B43</f>
        <v>0</v>
      </c>
      <c r="C42" s="52">
        <f>'Balance Sheet'!C43</f>
        <v>1989</v>
      </c>
      <c r="D42" s="52">
        <f>'Balance Sheet'!D43</f>
        <v>2509</v>
      </c>
      <c r="E42" s="52">
        <f>'Balance Sheet'!E43</f>
        <v>1054</v>
      </c>
      <c r="F42" s="52">
        <f>'Balance Sheet'!F43</f>
        <v>1174</v>
      </c>
      <c r="G42" s="52">
        <f>'Balance Sheet'!G43</f>
        <v>1626</v>
      </c>
      <c r="H42" s="52">
        <f>'Balance Sheet'!H43</f>
        <v>1902</v>
      </c>
      <c r="I42" s="52">
        <f>'Balance Sheet'!I43</f>
        <v>1890</v>
      </c>
      <c r="J42" s="52">
        <f>'Balance Sheet'!J43</f>
        <v>1937</v>
      </c>
      <c r="K42" s="52">
        <f>'Balance Sheet'!K43</f>
        <v>1886</v>
      </c>
      <c r="L42" s="52">
        <f>'Balance Sheet'!L43</f>
        <v>1944</v>
      </c>
      <c r="N42" s="17">
        <f t="shared" si="1"/>
        <v>-2.5394693930934631E-3</v>
      </c>
    </row>
    <row r="43" spans="1:14" s="2" customFormat="1" x14ac:dyDescent="0.2">
      <c r="A43" s="1" t="str">
        <f>'Balance Sheet'!A44</f>
        <v>Deferred tax liabilities</v>
      </c>
      <c r="B43" s="52">
        <f>'Balance Sheet'!B44</f>
        <v>0</v>
      </c>
      <c r="C43" s="52">
        <f>'Balance Sheet'!C44</f>
        <v>6695</v>
      </c>
      <c r="D43" s="52">
        <f>'Balance Sheet'!D44</f>
        <v>8589</v>
      </c>
      <c r="E43" s="52">
        <f>'Balance Sheet'!E44</f>
        <v>12473</v>
      </c>
      <c r="F43" s="52">
        <f>'Balance Sheet'!F44</f>
        <v>15415</v>
      </c>
      <c r="G43" s="52">
        <f>'Balance Sheet'!G44</f>
        <v>18050</v>
      </c>
      <c r="H43" s="52">
        <f>'Balance Sheet'!H44</f>
        <v>20471</v>
      </c>
      <c r="I43" s="52">
        <f>'Balance Sheet'!I44</f>
        <v>25209</v>
      </c>
      <c r="J43" s="52">
        <f>'Balance Sheet'!J44</f>
        <v>43087</v>
      </c>
      <c r="K43" s="52">
        <f>'Balance Sheet'!K44</f>
        <v>44387</v>
      </c>
      <c r="L43" s="52">
        <f>'Balance Sheet'!L44</f>
        <v>44853</v>
      </c>
      <c r="M43" s="1"/>
      <c r="N43" s="17">
        <f t="shared" si="1"/>
        <v>0.2353281098061768</v>
      </c>
    </row>
    <row r="44" spans="1:14" s="2" customFormat="1" x14ac:dyDescent="0.2">
      <c r="A44" s="1" t="str">
        <f>'Balance Sheet'!A45</f>
        <v>Other non-current liabilities</v>
      </c>
      <c r="B44" s="52">
        <f>'Balance Sheet'!B45</f>
        <v>0</v>
      </c>
      <c r="C44" s="52">
        <f>'Balance Sheet'!C45</f>
        <v>0</v>
      </c>
      <c r="D44" s="52">
        <f>'Balance Sheet'!D45</f>
        <v>0</v>
      </c>
      <c r="E44" s="52">
        <f>'Balance Sheet'!E45</f>
        <v>99</v>
      </c>
      <c r="F44" s="52">
        <f>'Balance Sheet'!F45</f>
        <v>1829</v>
      </c>
      <c r="G44" s="52">
        <f>'Balance Sheet'!G45</f>
        <v>3300</v>
      </c>
      <c r="H44" s="52">
        <f>'Balance Sheet'!H45</f>
        <v>6221</v>
      </c>
      <c r="I44" s="52">
        <f>'Balance Sheet'!I45</f>
        <v>4615</v>
      </c>
      <c r="J44" s="52">
        <f>'Balance Sheet'!J45</f>
        <v>4955</v>
      </c>
      <c r="K44" s="52">
        <f>'Balance Sheet'!K45</f>
        <v>4867</v>
      </c>
      <c r="L44" s="52">
        <f>'Balance Sheet'!L45</f>
        <v>6148</v>
      </c>
      <c r="M44" s="1"/>
      <c r="N44" s="17">
        <f>(L44/E44)^(1/7)-1</f>
        <v>0.80366946095470326</v>
      </c>
    </row>
    <row r="45" spans="1:14" x14ac:dyDescent="0.2">
      <c r="A45" s="2" t="str">
        <f>'Balance Sheet'!A46</f>
        <v>Total non-current liabilities</v>
      </c>
      <c r="B45" s="53">
        <f>'Balance Sheet'!B46</f>
        <v>0</v>
      </c>
      <c r="C45" s="53">
        <f>'Balance Sheet'!C46</f>
        <v>28208</v>
      </c>
      <c r="D45" s="53">
        <f>'Balance Sheet'!D46</f>
        <v>43198</v>
      </c>
      <c r="E45" s="53">
        <f>'Balance Sheet'!E46</f>
        <v>60179</v>
      </c>
      <c r="F45" s="53">
        <f>'Balance Sheet'!F46</f>
        <v>72660</v>
      </c>
      <c r="G45" s="53">
        <f>'Balance Sheet'!G46</f>
        <v>78946</v>
      </c>
      <c r="H45" s="53">
        <f>'Balance Sheet'!H46</f>
        <v>98543</v>
      </c>
      <c r="I45" s="53">
        <f>'Balance Sheet'!I46</f>
        <v>117723</v>
      </c>
      <c r="J45" s="53">
        <f>'Balance Sheet'!J46</f>
        <v>145853</v>
      </c>
      <c r="K45" s="53">
        <f>'Balance Sheet'!K46</f>
        <v>171254</v>
      </c>
      <c r="L45" s="53">
        <f>'Balance Sheet'!L46</f>
        <v>168533</v>
      </c>
      <c r="N45" s="17">
        <f t="shared" si="1"/>
        <v>0.21971105986358919</v>
      </c>
    </row>
    <row r="46" spans="1:14" x14ac:dyDescent="0.2">
      <c r="B46" s="52"/>
      <c r="C46" s="52"/>
      <c r="D46" s="52"/>
      <c r="E46" s="52"/>
      <c r="F46" s="52"/>
      <c r="G46" s="52"/>
      <c r="H46" s="52"/>
      <c r="I46" s="52"/>
      <c r="J46" s="52"/>
      <c r="K46" s="52"/>
      <c r="L46" s="52"/>
      <c r="N46" s="17"/>
    </row>
    <row r="47" spans="1:14" x14ac:dyDescent="0.2">
      <c r="A47" s="2" t="str">
        <f>'Balance Sheet'!A48</f>
        <v>Current Liabilities</v>
      </c>
      <c r="B47" s="52"/>
      <c r="C47" s="52"/>
      <c r="D47" s="52"/>
      <c r="E47" s="52"/>
      <c r="F47" s="52"/>
      <c r="G47" s="52"/>
      <c r="H47" s="52"/>
      <c r="I47" s="52"/>
      <c r="J47" s="52"/>
      <c r="K47" s="52"/>
      <c r="L47" s="52"/>
      <c r="N47" s="17"/>
    </row>
    <row r="48" spans="1:14" x14ac:dyDescent="0.2">
      <c r="A48" s="1" t="str">
        <f>'Balance Sheet'!A49</f>
        <v>Trade payables and accruals</v>
      </c>
      <c r="B48" s="52">
        <f>'Balance Sheet'!B49</f>
        <v>0</v>
      </c>
      <c r="C48" s="52">
        <f>'Balance Sheet'!C49</f>
        <v>6988</v>
      </c>
      <c r="D48" s="52">
        <f>'Balance Sheet'!D49</f>
        <v>6491</v>
      </c>
      <c r="E48" s="52">
        <f>'Balance Sheet'!E49</f>
        <v>9533</v>
      </c>
      <c r="F48" s="52">
        <f>'Balance Sheet'!F49</f>
        <v>9733</v>
      </c>
      <c r="G48" s="52">
        <f>'Balance Sheet'!G49</f>
        <v>11151</v>
      </c>
      <c r="H48" s="52">
        <f>'Balance Sheet'!H49</f>
        <v>11884</v>
      </c>
      <c r="I48" s="52">
        <f>'Balance Sheet'!I49</f>
        <v>14357</v>
      </c>
      <c r="J48" s="52">
        <f>'Balance Sheet'!J49</f>
        <v>18808</v>
      </c>
      <c r="K48" s="52">
        <f>'Balance Sheet'!K49</f>
        <v>20220</v>
      </c>
      <c r="L48" s="52">
        <f>'Balance Sheet'!L49</f>
        <v>21673</v>
      </c>
      <c r="N48" s="17">
        <f t="shared" si="1"/>
        <v>0.134014112867054</v>
      </c>
    </row>
    <row r="49" spans="1:15" x14ac:dyDescent="0.2">
      <c r="A49" s="1" t="str">
        <f>'Balance Sheet'!A50</f>
        <v>Short term borrowings</v>
      </c>
      <c r="B49" s="52">
        <f>'Balance Sheet'!B50</f>
        <v>0</v>
      </c>
      <c r="C49" s="52">
        <f>'Balance Sheet'!C50</f>
        <v>8382</v>
      </c>
      <c r="D49" s="52">
        <f>'Balance Sheet'!D50</f>
        <v>7255</v>
      </c>
      <c r="E49" s="52">
        <f>'Balance Sheet'!E50</f>
        <v>4698</v>
      </c>
      <c r="F49" s="52">
        <f>'Balance Sheet'!F50</f>
        <v>9578</v>
      </c>
      <c r="G49" s="52">
        <f>'Balance Sheet'!G50</f>
        <v>5566</v>
      </c>
      <c r="H49" s="52">
        <f>'Balance Sheet'!H50</f>
        <v>6318</v>
      </c>
      <c r="I49" s="52">
        <f>'Balance Sheet'!I50</f>
        <v>7449</v>
      </c>
      <c r="J49" s="52">
        <f>'Balance Sheet'!J50</f>
        <v>17299</v>
      </c>
      <c r="K49" s="52">
        <f>'Balance Sheet'!K50</f>
        <v>17049</v>
      </c>
      <c r="L49" s="52">
        <f>'Balance Sheet'!L50</f>
        <v>13754</v>
      </c>
      <c r="N49" s="17">
        <f t="shared" si="1"/>
        <v>5.6569158256463803E-2</v>
      </c>
    </row>
    <row r="50" spans="1:15" s="2" customFormat="1" x14ac:dyDescent="0.2">
      <c r="A50" s="1" t="str">
        <f>'Balance Sheet'!A51</f>
        <v>Current taxation liability</v>
      </c>
      <c r="B50" s="52">
        <f>'Balance Sheet'!B51</f>
        <v>0</v>
      </c>
      <c r="C50" s="52">
        <f>'Balance Sheet'!C51</f>
        <v>803</v>
      </c>
      <c r="D50" s="52">
        <f>'Balance Sheet'!D51</f>
        <v>854</v>
      </c>
      <c r="E50" s="52">
        <f>'Balance Sheet'!E51</f>
        <v>171</v>
      </c>
      <c r="F50" s="52">
        <f>'Balance Sheet'!F51</f>
        <v>0</v>
      </c>
      <c r="G50" s="52">
        <f>'Balance Sheet'!G51</f>
        <v>0</v>
      </c>
      <c r="H50" s="52">
        <f>'Balance Sheet'!H51</f>
        <v>56</v>
      </c>
      <c r="I50" s="52">
        <f>'Balance Sheet'!I51</f>
        <v>17</v>
      </c>
      <c r="J50" s="52">
        <f>'Balance Sheet'!J51</f>
        <v>38</v>
      </c>
      <c r="K50" s="52">
        <f>'Balance Sheet'!K51</f>
        <v>13</v>
      </c>
      <c r="L50" s="52">
        <f>'Balance Sheet'!L51</f>
        <v>14</v>
      </c>
      <c r="M50" s="1"/>
      <c r="N50" s="17">
        <f t="shared" si="1"/>
        <v>-0.36232206782066267</v>
      </c>
    </row>
    <row r="51" spans="1:15" x14ac:dyDescent="0.2">
      <c r="A51" s="1" t="str">
        <f>'Balance Sheet'!A52</f>
        <v>Derivative financial liabilities</v>
      </c>
      <c r="B51" s="52">
        <f>'Balance Sheet'!B52</f>
        <v>0</v>
      </c>
      <c r="C51" s="52">
        <f>'Balance Sheet'!C52</f>
        <v>113</v>
      </c>
      <c r="D51" s="52">
        <f>'Balance Sheet'!D52</f>
        <v>109</v>
      </c>
      <c r="E51" s="52">
        <f>'Balance Sheet'!E52</f>
        <v>183</v>
      </c>
      <c r="F51" s="52">
        <f>'Balance Sheet'!F52</f>
        <v>92</v>
      </c>
      <c r="G51" s="52">
        <f>'Balance Sheet'!G52</f>
        <v>62</v>
      </c>
      <c r="H51" s="52">
        <f>'Balance Sheet'!H52</f>
        <v>23</v>
      </c>
      <c r="I51" s="52">
        <f>'Balance Sheet'!I52</f>
        <v>37</v>
      </c>
      <c r="J51" s="52">
        <f>'Balance Sheet'!J52</f>
        <v>45</v>
      </c>
      <c r="K51" s="52">
        <f>'Balance Sheet'!K52</f>
        <v>247</v>
      </c>
      <c r="L51" s="52">
        <f>'Balance Sheet'!L52</f>
        <v>46</v>
      </c>
      <c r="N51" s="17">
        <f t="shared" si="1"/>
        <v>-9.5036541622076198E-2</v>
      </c>
      <c r="O51" s="12" t="s">
        <v>96</v>
      </c>
    </row>
    <row r="52" spans="1:15" x14ac:dyDescent="0.2">
      <c r="A52" s="1" t="str">
        <f>'Balance Sheet'!A53</f>
        <v>Short term provisions</v>
      </c>
      <c r="B52" s="52">
        <f>'Balance Sheet'!B53</f>
        <v>0</v>
      </c>
      <c r="C52" s="52">
        <f>'Balance Sheet'!C53</f>
        <v>2533</v>
      </c>
      <c r="D52" s="52">
        <f>'Balance Sheet'!D53</f>
        <v>2279</v>
      </c>
      <c r="E52" s="52">
        <f>'Balance Sheet'!E53</f>
        <v>694</v>
      </c>
      <c r="F52" s="52">
        <f>'Balance Sheet'!F53</f>
        <v>672</v>
      </c>
      <c r="G52" s="52">
        <f>'Balance Sheet'!G53</f>
        <v>934</v>
      </c>
      <c r="H52" s="52">
        <f>'Balance Sheet'!H53</f>
        <v>991</v>
      </c>
      <c r="I52" s="52">
        <f>'Balance Sheet'!I53</f>
        <v>816</v>
      </c>
      <c r="J52" s="52">
        <f>'Balance Sheet'!J53</f>
        <v>848</v>
      </c>
      <c r="K52" s="52">
        <f>'Balance Sheet'!K53</f>
        <v>932</v>
      </c>
      <c r="L52" s="52">
        <f>'Balance Sheet'!L53</f>
        <v>914</v>
      </c>
      <c r="N52" s="17">
        <f t="shared" si="1"/>
        <v>-0.10708044531723149</v>
      </c>
      <c r="O52" s="12"/>
    </row>
    <row r="53" spans="1:15" x14ac:dyDescent="0.2">
      <c r="A53" s="1" t="str">
        <f>'Balance Sheet'!A54</f>
        <v>Bank overdrafts</v>
      </c>
      <c r="B53" s="52">
        <f>'Balance Sheet'!B54</f>
        <v>0</v>
      </c>
      <c r="C53" s="52">
        <f>'Balance Sheet'!C54</f>
        <v>22</v>
      </c>
      <c r="D53" s="52">
        <f>'Balance Sheet'!D54</f>
        <v>0</v>
      </c>
      <c r="E53" s="52">
        <f>'Balance Sheet'!E54</f>
        <v>65</v>
      </c>
      <c r="F53" s="52">
        <f>'Balance Sheet'!F54</f>
        <v>660</v>
      </c>
      <c r="G53" s="52">
        <f>'Balance Sheet'!G54</f>
        <v>1925</v>
      </c>
      <c r="H53" s="52">
        <f>'Balance Sheet'!H54</f>
        <v>1127</v>
      </c>
      <c r="I53" s="52">
        <f>'Balance Sheet'!I54</f>
        <v>2561</v>
      </c>
      <c r="J53" s="52">
        <f>'Balance Sheet'!J54</f>
        <v>3220</v>
      </c>
      <c r="K53" s="52">
        <f>'Balance Sheet'!K54</f>
        <v>3388</v>
      </c>
      <c r="L53" s="52">
        <f>'Balance Sheet'!L54</f>
        <v>3138</v>
      </c>
      <c r="N53" s="17">
        <f t="shared" si="1"/>
        <v>0.73523747207943502</v>
      </c>
    </row>
    <row r="54" spans="1:15" x14ac:dyDescent="0.2">
      <c r="A54" s="1" t="str">
        <f>'Balance Sheet'!A55</f>
        <v>Liabilities directly associated with assets classified as held for sale</v>
      </c>
      <c r="B54" s="52">
        <f>'Balance Sheet'!B55</f>
        <v>0</v>
      </c>
      <c r="C54" s="52">
        <f>'Balance Sheet'!C55</f>
        <v>676</v>
      </c>
      <c r="D54" s="52">
        <f>'Balance Sheet'!D55</f>
        <v>14</v>
      </c>
      <c r="E54" s="52">
        <f>'Balance Sheet'!E55</f>
        <v>15</v>
      </c>
      <c r="F54" s="52">
        <f>'Balance Sheet'!F55</f>
        <v>9</v>
      </c>
      <c r="G54" s="52">
        <f>'Balance Sheet'!G55</f>
        <v>0</v>
      </c>
      <c r="H54" s="52">
        <f>'Balance Sheet'!H55</f>
        <v>0</v>
      </c>
      <c r="I54" s="52">
        <f>'Balance Sheet'!I55</f>
        <v>0</v>
      </c>
      <c r="J54" s="52">
        <f>'Balance Sheet'!J55</f>
        <v>0</v>
      </c>
      <c r="K54" s="52">
        <f>'Balance Sheet'!K55</f>
        <v>0</v>
      </c>
      <c r="L54" s="52">
        <f>'Balance Sheet'!L55</f>
        <v>0</v>
      </c>
      <c r="N54" s="17">
        <f>(F54/C54)^(1/3)-1</f>
        <v>-0.7629907635481139</v>
      </c>
    </row>
    <row r="55" spans="1:15" s="2" customFormat="1" x14ac:dyDescent="0.2">
      <c r="A55" s="2" t="str">
        <f>'Balance Sheet'!A56</f>
        <v>Total current liabilities</v>
      </c>
      <c r="B55" s="53">
        <f>'Balance Sheet'!B56</f>
        <v>0</v>
      </c>
      <c r="C55" s="53">
        <f>'Balance Sheet'!C56</f>
        <v>19517</v>
      </c>
      <c r="D55" s="53">
        <f>'Balance Sheet'!D56</f>
        <v>17002</v>
      </c>
      <c r="E55" s="53">
        <f>'Balance Sheet'!E56</f>
        <v>15359</v>
      </c>
      <c r="F55" s="53">
        <f>'Balance Sheet'!F56</f>
        <v>20744</v>
      </c>
      <c r="G55" s="53">
        <f>'Balance Sheet'!G56</f>
        <v>19638</v>
      </c>
      <c r="H55" s="53">
        <f>'Balance Sheet'!H56</f>
        <v>20399</v>
      </c>
      <c r="I55" s="53">
        <f>'Balance Sheet'!I56</f>
        <v>25237</v>
      </c>
      <c r="J55" s="53">
        <f>'Balance Sheet'!J56</f>
        <v>40258</v>
      </c>
      <c r="K55" s="53">
        <f>'Balance Sheet'!K56</f>
        <v>41849</v>
      </c>
      <c r="L55" s="53">
        <f>'Balance Sheet'!L56</f>
        <v>39539</v>
      </c>
      <c r="N55" s="17">
        <f t="shared" si="1"/>
        <v>8.1603462227548773E-2</v>
      </c>
    </row>
    <row r="56" spans="1:15" s="2" customFormat="1" x14ac:dyDescent="0.2">
      <c r="B56" s="53"/>
      <c r="C56" s="53"/>
      <c r="D56" s="53"/>
      <c r="E56" s="53"/>
      <c r="F56" s="53"/>
      <c r="G56" s="53"/>
      <c r="H56" s="53"/>
      <c r="I56" s="53"/>
      <c r="J56" s="53"/>
      <c r="K56" s="53"/>
      <c r="L56" s="53"/>
      <c r="N56" s="17"/>
    </row>
    <row r="57" spans="1:15" s="2" customFormat="1" x14ac:dyDescent="0.2">
      <c r="A57" s="2" t="str">
        <f>'Balance Sheet'!A58</f>
        <v>TOTAL LIABILITIES</v>
      </c>
      <c r="B57" s="53">
        <f>'Balance Sheet'!B58</f>
        <v>0</v>
      </c>
      <c r="C57" s="53">
        <f>'Balance Sheet'!C58</f>
        <v>47725</v>
      </c>
      <c r="D57" s="53">
        <f>'Balance Sheet'!D58</f>
        <v>60200</v>
      </c>
      <c r="E57" s="53">
        <f>'Balance Sheet'!E58</f>
        <v>75538</v>
      </c>
      <c r="F57" s="53">
        <f>'Balance Sheet'!F58</f>
        <v>93404</v>
      </c>
      <c r="G57" s="53">
        <f>'Balance Sheet'!G58</f>
        <v>98584</v>
      </c>
      <c r="H57" s="53">
        <f>'Balance Sheet'!H58</f>
        <v>118942</v>
      </c>
      <c r="I57" s="53">
        <f>'Balance Sheet'!I58</f>
        <v>142960</v>
      </c>
      <c r="J57" s="53">
        <f>'Balance Sheet'!J58</f>
        <v>186111</v>
      </c>
      <c r="K57" s="53">
        <f>'Balance Sheet'!K58</f>
        <v>213103</v>
      </c>
      <c r="L57" s="53">
        <f>'Balance Sheet'!L58</f>
        <v>208072</v>
      </c>
      <c r="N57" s="17">
        <f t="shared" si="1"/>
        <v>0.17774689292373669</v>
      </c>
    </row>
    <row r="58" spans="1:15" s="2" customFormat="1" x14ac:dyDescent="0.2">
      <c r="B58" s="53"/>
      <c r="C58" s="53"/>
      <c r="D58" s="53"/>
      <c r="E58" s="53"/>
      <c r="F58" s="53"/>
      <c r="G58" s="53"/>
      <c r="H58" s="53"/>
      <c r="I58" s="53"/>
      <c r="J58" s="53"/>
      <c r="K58" s="53"/>
      <c r="L58" s="53"/>
      <c r="N58" s="17"/>
    </row>
    <row r="59" spans="1:15" s="2" customFormat="1" x14ac:dyDescent="0.2">
      <c r="A59" s="2" t="str">
        <f>'Balance Sheet'!A60</f>
        <v>TOTAL EQUITY AND LIABILITIES</v>
      </c>
      <c r="B59" s="53">
        <f>'Balance Sheet'!B60</f>
        <v>0</v>
      </c>
      <c r="C59" s="53">
        <f>'Balance Sheet'!C60</f>
        <v>98686</v>
      </c>
      <c r="D59" s="53">
        <f>'Balance Sheet'!D60</f>
        <v>118534</v>
      </c>
      <c r="E59" s="53">
        <f>'Balance Sheet'!E60</f>
        <v>138885</v>
      </c>
      <c r="F59" s="53">
        <f>'Balance Sheet'!F60</f>
        <v>167070</v>
      </c>
      <c r="G59" s="53">
        <f>'Balance Sheet'!G60</f>
        <v>178005</v>
      </c>
      <c r="H59" s="53">
        <f>'Balance Sheet'!H60</f>
        <v>203896</v>
      </c>
      <c r="I59" s="53">
        <f>'Balance Sheet'!I60</f>
        <v>240073</v>
      </c>
      <c r="J59" s="53">
        <f>'Balance Sheet'!J60</f>
        <v>328439</v>
      </c>
      <c r="K59" s="53">
        <f>'Balance Sheet'!K60</f>
        <v>356393</v>
      </c>
      <c r="L59" s="53">
        <f>'Balance Sheet'!L60</f>
        <v>351635</v>
      </c>
      <c r="N59" s="17">
        <f t="shared" si="1"/>
        <v>0.15163584034379274</v>
      </c>
    </row>
    <row r="62" spans="1:15" x14ac:dyDescent="0.2">
      <c r="A62" s="1" t="str">
        <f>A3</f>
        <v>Rm</v>
      </c>
      <c r="B62" s="1">
        <f t="shared" ref="B62:N62" si="2">B3</f>
        <v>2007</v>
      </c>
      <c r="C62" s="1">
        <f t="shared" si="2"/>
        <v>2008</v>
      </c>
      <c r="D62" s="1">
        <f t="shared" si="2"/>
        <v>2009</v>
      </c>
      <c r="E62" s="1">
        <f t="shared" si="2"/>
        <v>2010</v>
      </c>
      <c r="F62" s="1">
        <f t="shared" si="2"/>
        <v>2011</v>
      </c>
      <c r="G62" s="1">
        <f t="shared" si="2"/>
        <v>2012</v>
      </c>
      <c r="H62" s="1">
        <f t="shared" si="2"/>
        <v>2013</v>
      </c>
      <c r="I62" s="1">
        <f t="shared" si="2"/>
        <v>2014</v>
      </c>
      <c r="J62" s="1">
        <f t="shared" si="2"/>
        <v>2015</v>
      </c>
      <c r="K62" s="1">
        <f t="shared" si="2"/>
        <v>2016</v>
      </c>
      <c r="L62" s="1">
        <f t="shared" si="2"/>
        <v>2017</v>
      </c>
      <c r="N62" s="1" t="str">
        <f t="shared" si="2"/>
        <v>CAGR</v>
      </c>
    </row>
    <row r="63" spans="1:15" x14ac:dyDescent="0.2">
      <c r="A63" s="1" t="str">
        <f>A26</f>
        <v>TOTAL ASSETS</v>
      </c>
      <c r="B63" s="1">
        <f t="shared" ref="B63:L63" si="3">B26</f>
        <v>0</v>
      </c>
      <c r="C63" s="90">
        <f t="shared" si="3"/>
        <v>98686</v>
      </c>
      <c r="D63" s="90">
        <f t="shared" si="3"/>
        <v>118534</v>
      </c>
      <c r="E63" s="90">
        <f t="shared" si="3"/>
        <v>138885</v>
      </c>
      <c r="F63" s="90">
        <f t="shared" si="3"/>
        <v>167070</v>
      </c>
      <c r="G63" s="90">
        <f t="shared" si="3"/>
        <v>178005</v>
      </c>
      <c r="H63" s="90">
        <f t="shared" si="3"/>
        <v>203896</v>
      </c>
      <c r="I63" s="90">
        <f t="shared" si="3"/>
        <v>240311</v>
      </c>
      <c r="J63" s="90">
        <f t="shared" si="3"/>
        <v>328439</v>
      </c>
      <c r="K63" s="90">
        <f t="shared" si="3"/>
        <v>356393</v>
      </c>
      <c r="L63" s="90">
        <f t="shared" si="3"/>
        <v>351635</v>
      </c>
      <c r="N63" s="17">
        <f t="shared" ref="N63:N64" si="4">(L63/C63)^(1/9)-1</f>
        <v>0.15163584034379274</v>
      </c>
    </row>
    <row r="64" spans="1:15" x14ac:dyDescent="0.2">
      <c r="A64" s="1" t="str">
        <f>A36</f>
        <v>Total equity</v>
      </c>
      <c r="B64" s="1">
        <f t="shared" ref="B64:L64" si="5">B36</f>
        <v>0</v>
      </c>
      <c r="C64" s="90">
        <f t="shared" si="5"/>
        <v>50961</v>
      </c>
      <c r="D64" s="90">
        <f t="shared" si="5"/>
        <v>58334</v>
      </c>
      <c r="E64" s="90">
        <f t="shared" si="5"/>
        <v>63347</v>
      </c>
      <c r="F64" s="90">
        <f t="shared" si="5"/>
        <v>73666</v>
      </c>
      <c r="G64" s="90">
        <f t="shared" si="5"/>
        <v>79421</v>
      </c>
      <c r="H64" s="90">
        <f t="shared" si="5"/>
        <v>84954</v>
      </c>
      <c r="I64" s="90">
        <f t="shared" si="5"/>
        <v>97113</v>
      </c>
      <c r="J64" s="90">
        <f t="shared" si="5"/>
        <v>142328</v>
      </c>
      <c r="K64" s="90">
        <f t="shared" si="5"/>
        <v>143290</v>
      </c>
      <c r="L64" s="90">
        <f t="shared" si="5"/>
        <v>143563</v>
      </c>
      <c r="N64" s="17">
        <f t="shared" si="4"/>
        <v>0.12196235940601619</v>
      </c>
    </row>
    <row r="65" spans="1:14" x14ac:dyDescent="0.2">
      <c r="A65" s="1" t="str">
        <f>A57</f>
        <v>TOTAL LIABILITIES</v>
      </c>
      <c r="B65" s="1">
        <f t="shared" ref="B65:L65" si="6">B57</f>
        <v>0</v>
      </c>
      <c r="C65" s="90">
        <f t="shared" si="6"/>
        <v>47725</v>
      </c>
      <c r="D65" s="90">
        <f t="shared" si="6"/>
        <v>60200</v>
      </c>
      <c r="E65" s="90">
        <f t="shared" si="6"/>
        <v>75538</v>
      </c>
      <c r="F65" s="90">
        <f t="shared" si="6"/>
        <v>93404</v>
      </c>
      <c r="G65" s="90">
        <f t="shared" si="6"/>
        <v>98584</v>
      </c>
      <c r="H65" s="90">
        <f t="shared" si="6"/>
        <v>118942</v>
      </c>
      <c r="I65" s="90">
        <f t="shared" si="6"/>
        <v>142960</v>
      </c>
      <c r="J65" s="90">
        <f t="shared" si="6"/>
        <v>186111</v>
      </c>
      <c r="K65" s="90">
        <f t="shared" si="6"/>
        <v>213103</v>
      </c>
      <c r="L65" s="90">
        <f t="shared" si="6"/>
        <v>208072</v>
      </c>
      <c r="N65" s="17">
        <f>(L65/C65)^(1/9)-1</f>
        <v>0.17774689292373669</v>
      </c>
    </row>
    <row r="66" spans="1:14" x14ac:dyDescent="0.2">
      <c r="C66" s="90"/>
      <c r="D66" s="90"/>
      <c r="E66" s="90"/>
      <c r="F66" s="90"/>
      <c r="G66" s="90"/>
      <c r="H66" s="90"/>
      <c r="I66" s="90"/>
      <c r="J66" s="90"/>
      <c r="K66" s="90"/>
      <c r="L66" s="90"/>
      <c r="N66" s="17"/>
    </row>
    <row r="67" spans="1:14" x14ac:dyDescent="0.2">
      <c r="A67" s="1" t="s">
        <v>274</v>
      </c>
      <c r="C67" s="89">
        <v>15.8</v>
      </c>
      <c r="D67" s="89">
        <v>19.399999999999999</v>
      </c>
      <c r="E67" s="89">
        <v>18.399999999999999</v>
      </c>
      <c r="F67" s="89">
        <v>21.3</v>
      </c>
      <c r="G67" s="89">
        <v>22.5</v>
      </c>
      <c r="H67" s="89">
        <v>27.5</v>
      </c>
      <c r="I67" s="89">
        <v>25.1</v>
      </c>
      <c r="J67" s="89">
        <v>25.2</v>
      </c>
      <c r="K67" s="89">
        <v>26.3</v>
      </c>
      <c r="L67" s="89">
        <v>21.4</v>
      </c>
      <c r="N67" s="17">
        <f>(L67/C67)^(1/9)-1</f>
        <v>3.4283584338985706E-2</v>
      </c>
    </row>
  </sheetData>
  <mergeCells count="1">
    <mergeCell ref="A1:N1"/>
  </mergeCells>
  <hyperlinks>
    <hyperlink ref="O1" location="Cover!A1" display="Cover"/>
    <hyperlink ref="O51" location="Cover!A1" display="Cover"/>
  </hyperlinks>
  <pageMargins left="0.7" right="0.7" top="0.75" bottom="0.75" header="0.3" footer="0.3"/>
  <pageSetup paperSize="9" orientation="portrait" r:id="rId1"/>
  <ignoredErrors>
    <ignoredError sqref="N44 N54" 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00"/>
  </sheetPr>
  <dimension ref="A1:O55"/>
  <sheetViews>
    <sheetView showGridLines="0" workbookViewId="0">
      <selection sqref="A1:N1"/>
    </sheetView>
  </sheetViews>
  <sheetFormatPr defaultRowHeight="12.75" x14ac:dyDescent="0.2"/>
  <cols>
    <col min="1" max="1" width="49.140625" style="1" bestFit="1" customWidth="1"/>
    <col min="2" max="2" width="9.28515625" style="1" hidden="1" customWidth="1"/>
    <col min="3" max="10" width="9.28515625" style="1" bestFit="1" customWidth="1"/>
    <col min="11" max="12" width="11.28515625" style="1" bestFit="1" customWidth="1"/>
    <col min="13" max="13" width="4.5703125" style="1" customWidth="1"/>
    <col min="14" max="14" width="8.28515625" style="1" bestFit="1" customWidth="1"/>
    <col min="15" max="16384" width="9.140625" style="1"/>
  </cols>
  <sheetData>
    <row r="1" spans="1:15" ht="15" x14ac:dyDescent="0.2">
      <c r="A1" s="136" t="s">
        <v>34</v>
      </c>
      <c r="B1" s="136"/>
      <c r="C1" s="136"/>
      <c r="D1" s="136"/>
      <c r="E1" s="136"/>
      <c r="F1" s="136"/>
      <c r="G1" s="136"/>
      <c r="H1" s="136"/>
      <c r="I1" s="136"/>
      <c r="J1" s="136"/>
      <c r="K1" s="136"/>
      <c r="L1" s="136"/>
      <c r="M1" s="136"/>
      <c r="N1" s="136"/>
      <c r="O1" s="12" t="s">
        <v>96</v>
      </c>
    </row>
    <row r="3" spans="1:15" x14ac:dyDescent="0.2">
      <c r="A3" s="2" t="s">
        <v>128</v>
      </c>
      <c r="B3" s="2">
        <f>'Cashflow Statement'!B3</f>
        <v>2007</v>
      </c>
      <c r="C3" s="2">
        <f>'Cashflow Statement'!C3</f>
        <v>2008</v>
      </c>
      <c r="D3" s="2">
        <f>'Cashflow Statement'!D3</f>
        <v>2009</v>
      </c>
      <c r="E3" s="2">
        <f>'Cashflow Statement'!E3</f>
        <v>2010</v>
      </c>
      <c r="F3" s="2">
        <f>'Cashflow Statement'!F3</f>
        <v>2011</v>
      </c>
      <c r="G3" s="2">
        <f>'Cashflow Statement'!G3</f>
        <v>2012</v>
      </c>
      <c r="H3" s="2">
        <f>'Cashflow Statement'!H3</f>
        <v>2013</v>
      </c>
      <c r="I3" s="2">
        <f>'Cashflow Statement'!I3</f>
        <v>2014</v>
      </c>
      <c r="J3" s="2">
        <f>'Cashflow Statement'!J3</f>
        <v>2015</v>
      </c>
      <c r="K3" s="2">
        <f>'Cashflow Statement'!K3</f>
        <v>2016</v>
      </c>
      <c r="L3" s="2">
        <f>'Cashflow Statement'!L3</f>
        <v>2017</v>
      </c>
      <c r="M3" s="2"/>
      <c r="N3" s="2" t="str">
        <f>'Income Statement Analysis'!N3</f>
        <v>CAGR</v>
      </c>
    </row>
    <row r="4" spans="1:15" s="2" customFormat="1" x14ac:dyDescent="0.2">
      <c r="A4" s="2" t="str">
        <f>'Cashflow Statement'!A4</f>
        <v>Cashflow from operating activities</v>
      </c>
    </row>
    <row r="5" spans="1:15" x14ac:dyDescent="0.2">
      <c r="A5" s="1" t="str">
        <f>'Cashflow Statement'!A5</f>
        <v>Cash generated from operations</v>
      </c>
      <c r="B5" s="52">
        <f>'Cashflow Statement'!B5</f>
        <v>0</v>
      </c>
      <c r="C5" s="52">
        <f>'Cashflow Statement'!C5</f>
        <v>13159</v>
      </c>
      <c r="D5" s="52">
        <f>'Cashflow Statement'!D5</f>
        <v>13498</v>
      </c>
      <c r="E5" s="52">
        <f>'Cashflow Statement'!E5</f>
        <v>16426</v>
      </c>
      <c r="F5" s="52">
        <f>'Cashflow Statement'!F5</f>
        <v>16159</v>
      </c>
      <c r="G5" s="52">
        <f>'Cashflow Statement'!G5</f>
        <v>20616</v>
      </c>
      <c r="H5" s="52">
        <f>'Cashflow Statement'!H5</f>
        <v>22599</v>
      </c>
      <c r="I5" s="52">
        <f>'Cashflow Statement'!I5</f>
        <v>24043</v>
      </c>
      <c r="J5" s="52">
        <f>'Cashflow Statement'!J5</f>
        <v>27280</v>
      </c>
      <c r="K5" s="52">
        <f>'Cashflow Statement'!K5</f>
        <v>27747</v>
      </c>
      <c r="L5" s="52">
        <f>'Cashflow Statement'!L5</f>
        <v>31018</v>
      </c>
      <c r="N5" s="56">
        <f>(L5/C5)^(1/9)-1</f>
        <v>9.9959683017015077E-2</v>
      </c>
    </row>
    <row r="6" spans="1:15" x14ac:dyDescent="0.2">
      <c r="A6" s="1" t="str">
        <f>'Cashflow Statement'!A6</f>
        <v>Security of supply petroleum levy</v>
      </c>
      <c r="B6" s="52">
        <f>'Cashflow Statement'!B6</f>
        <v>0</v>
      </c>
      <c r="C6" s="52">
        <f>'Cashflow Statement'!C6</f>
        <v>0</v>
      </c>
      <c r="D6" s="52">
        <f>'Cashflow Statement'!D6</f>
        <v>0</v>
      </c>
      <c r="E6" s="52">
        <f>'Cashflow Statement'!E6</f>
        <v>0</v>
      </c>
      <c r="F6" s="52">
        <f>'Cashflow Statement'!F6</f>
        <v>1315</v>
      </c>
      <c r="G6" s="52">
        <f>'Cashflow Statement'!G6</f>
        <v>1315</v>
      </c>
      <c r="H6" s="52">
        <f>'Cashflow Statement'!H6</f>
        <v>1315</v>
      </c>
      <c r="I6" s="52">
        <f>'Cashflow Statement'!I6</f>
        <v>0</v>
      </c>
      <c r="J6" s="52">
        <f>'Cashflow Statement'!J6</f>
        <v>0</v>
      </c>
      <c r="K6" s="52">
        <f>'Cashflow Statement'!K6</f>
        <v>0</v>
      </c>
      <c r="L6" s="52">
        <f>'Cashflow Statement'!L6</f>
        <v>0</v>
      </c>
      <c r="N6" s="56">
        <f>(H6/F6)^(1/2)-1</f>
        <v>0</v>
      </c>
    </row>
    <row r="7" spans="1:15" x14ac:dyDescent="0.2">
      <c r="A7" s="1" t="str">
        <f>'Cashflow Statement'!A7</f>
        <v>Changes in working capital</v>
      </c>
      <c r="B7" s="52">
        <f>'Cashflow Statement'!B7</f>
        <v>0</v>
      </c>
      <c r="C7" s="52">
        <f>'Cashflow Statement'!C7</f>
        <v>273</v>
      </c>
      <c r="D7" s="52">
        <f>'Cashflow Statement'!D7</f>
        <v>-2647</v>
      </c>
      <c r="E7" s="52">
        <f>'Cashflow Statement'!E7</f>
        <v>1145</v>
      </c>
      <c r="F7" s="52">
        <f>'Cashflow Statement'!F7</f>
        <v>792</v>
      </c>
      <c r="G7" s="52">
        <f>'Cashflow Statement'!G7</f>
        <v>781</v>
      </c>
      <c r="H7" s="52">
        <f>'Cashflow Statement'!H7</f>
        <v>-1273</v>
      </c>
      <c r="I7" s="52">
        <f>'Cashflow Statement'!I7</f>
        <v>1228</v>
      </c>
      <c r="J7" s="52">
        <f>'Cashflow Statement'!J7</f>
        <v>3327</v>
      </c>
      <c r="K7" s="52">
        <f>'Cashflow Statement'!K7</f>
        <v>408</v>
      </c>
      <c r="L7" s="52">
        <f>'Cashflow Statement'!L7</f>
        <v>1747</v>
      </c>
      <c r="N7" s="56">
        <f t="shared" ref="N7:N12" si="0">(L7/C7)^(1/9)-1</f>
        <v>0.22905135138210642</v>
      </c>
    </row>
    <row r="8" spans="1:15" x14ac:dyDescent="0.2">
      <c r="A8" s="1" t="str">
        <f>'Cashflow Statement'!A8</f>
        <v>Finance costs</v>
      </c>
      <c r="B8" s="52">
        <f>'Cashflow Statement'!B8</f>
        <v>0</v>
      </c>
      <c r="C8" s="52">
        <f>'Cashflow Statement'!C8</f>
        <v>-2782</v>
      </c>
      <c r="D8" s="52">
        <f>'Cashflow Statement'!D8</f>
        <v>-2996</v>
      </c>
      <c r="E8" s="52">
        <f>'Cashflow Statement'!E8</f>
        <v>-4524</v>
      </c>
      <c r="F8" s="52">
        <f>'Cashflow Statement'!F8</f>
        <v>-3428</v>
      </c>
      <c r="G8" s="52">
        <f>'Cashflow Statement'!G8</f>
        <v>-4233</v>
      </c>
      <c r="H8" s="52">
        <f>'Cashflow Statement'!H8</f>
        <v>-5328</v>
      </c>
      <c r="I8" s="52">
        <f>'Cashflow Statement'!I8</f>
        <v>-5870</v>
      </c>
      <c r="J8" s="52">
        <f>'Cashflow Statement'!J8</f>
        <v>-6128</v>
      </c>
      <c r="K8" s="52">
        <f>'Cashflow Statement'!K8</f>
        <v>-6002</v>
      </c>
      <c r="L8" s="52">
        <f>'Cashflow Statement'!L8</f>
        <v>-7622</v>
      </c>
      <c r="N8" s="56">
        <f t="shared" si="0"/>
        <v>0.11849654401656418</v>
      </c>
    </row>
    <row r="9" spans="1:15" x14ac:dyDescent="0.2">
      <c r="A9" s="1" t="str">
        <f>'Cashflow Statement'!A9</f>
        <v>Fianance income</v>
      </c>
      <c r="B9" s="52">
        <f>'Cashflow Statement'!B9</f>
        <v>0</v>
      </c>
      <c r="C9" s="52">
        <f>'Cashflow Statement'!C9</f>
        <v>768</v>
      </c>
      <c r="D9" s="52">
        <f>'Cashflow Statement'!D9</f>
        <v>269</v>
      </c>
      <c r="E9" s="52">
        <f>'Cashflow Statement'!E9</f>
        <v>580</v>
      </c>
      <c r="F9" s="52">
        <f>'Cashflow Statement'!F9</f>
        <v>466</v>
      </c>
      <c r="G9" s="52">
        <f>'Cashflow Statement'!G9</f>
        <v>407</v>
      </c>
      <c r="H9" s="52">
        <f>'Cashflow Statement'!H9</f>
        <v>322</v>
      </c>
      <c r="I9" s="52">
        <f>'Cashflow Statement'!I9</f>
        <v>321</v>
      </c>
      <c r="J9" s="52">
        <f>'Cashflow Statement'!J9</f>
        <v>205</v>
      </c>
      <c r="K9" s="52">
        <f>'Cashflow Statement'!K9</f>
        <v>361</v>
      </c>
      <c r="L9" s="52">
        <f>'Cashflow Statement'!L9</f>
        <v>357</v>
      </c>
      <c r="N9" s="56">
        <f t="shared" si="0"/>
        <v>-8.1595272331632773E-2</v>
      </c>
    </row>
    <row r="10" spans="1:15" x14ac:dyDescent="0.2">
      <c r="A10" s="1" t="str">
        <f>'Cashflow Statement'!A10</f>
        <v>Taxation paid</v>
      </c>
      <c r="B10" s="52">
        <f>'Cashflow Statement'!B10</f>
        <v>0</v>
      </c>
      <c r="C10" s="52">
        <f>'Cashflow Statement'!C10</f>
        <v>-928</v>
      </c>
      <c r="D10" s="52">
        <f>'Cashflow Statement'!D10</f>
        <v>-703</v>
      </c>
      <c r="E10" s="52">
        <f>'Cashflow Statement'!E10</f>
        <v>-725</v>
      </c>
      <c r="F10" s="52">
        <f>'Cashflow Statement'!F10</f>
        <v>-1379</v>
      </c>
      <c r="G10" s="52">
        <f>'Cashflow Statement'!G10</f>
        <v>-95</v>
      </c>
      <c r="H10" s="52">
        <f>'Cashflow Statement'!H10</f>
        <v>222</v>
      </c>
      <c r="I10" s="52">
        <f>'Cashflow Statement'!I10</f>
        <v>16</v>
      </c>
      <c r="J10" s="52">
        <f>'Cashflow Statement'!J10</f>
        <v>91</v>
      </c>
      <c r="K10" s="52">
        <f>'Cashflow Statement'!K10</f>
        <v>-23</v>
      </c>
      <c r="L10" s="52">
        <f>'Cashflow Statement'!L10</f>
        <v>-3</v>
      </c>
      <c r="N10" s="56">
        <f t="shared" si="0"/>
        <v>-0.47120672923778517</v>
      </c>
    </row>
    <row r="11" spans="1:15" x14ac:dyDescent="0.2">
      <c r="A11" s="1" t="str">
        <f>'Cashflow Statement'!A11</f>
        <v>Settlement of post retirement benefit obligations</v>
      </c>
      <c r="B11" s="52">
        <f>'Cashflow Statement'!B11</f>
        <v>0</v>
      </c>
      <c r="C11" s="52">
        <f>'Cashflow Statement'!C11</f>
        <v>-227</v>
      </c>
      <c r="D11" s="52">
        <f>'Cashflow Statement'!D11</f>
        <v>-317</v>
      </c>
      <c r="E11" s="52">
        <f>'Cashflow Statement'!E11</f>
        <v>-307</v>
      </c>
      <c r="F11" s="52">
        <f>'Cashflow Statement'!F11</f>
        <v>-268</v>
      </c>
      <c r="G11" s="52">
        <f>'Cashflow Statement'!G11</f>
        <v>-270</v>
      </c>
      <c r="H11" s="52">
        <f>'Cashflow Statement'!H11</f>
        <v>-253</v>
      </c>
      <c r="I11" s="52">
        <f>'Cashflow Statement'!I11</f>
        <v>-238</v>
      </c>
      <c r="J11" s="52">
        <f>'Cashflow Statement'!J11</f>
        <v>-220</v>
      </c>
      <c r="K11" s="52">
        <f>'Cashflow Statement'!K11</f>
        <v>-208</v>
      </c>
      <c r="L11" s="52">
        <f>'Cashflow Statement'!L11</f>
        <v>-192</v>
      </c>
      <c r="N11" s="56">
        <f t="shared" si="0"/>
        <v>-1.8434047316323365E-2</v>
      </c>
    </row>
    <row r="12" spans="1:15" x14ac:dyDescent="0.2">
      <c r="A12" s="1" t="str">
        <f>'Cashflow Statement'!A12</f>
        <v>Derivatives raised and settled</v>
      </c>
      <c r="B12" s="52">
        <f>'Cashflow Statement'!B12</f>
        <v>0</v>
      </c>
      <c r="C12" s="52">
        <f>'Cashflow Statement'!C12</f>
        <v>24</v>
      </c>
      <c r="D12" s="52">
        <f>'Cashflow Statement'!D12</f>
        <v>296</v>
      </c>
      <c r="E12" s="52">
        <f>'Cashflow Statement'!E12</f>
        <v>-503</v>
      </c>
      <c r="F12" s="52">
        <f>'Cashflow Statement'!F12</f>
        <v>-498</v>
      </c>
      <c r="G12" s="52">
        <f>'Cashflow Statement'!G12</f>
        <v>-611</v>
      </c>
      <c r="H12" s="52">
        <f>'Cashflow Statement'!H12</f>
        <v>-828</v>
      </c>
      <c r="I12" s="52">
        <f>'Cashflow Statement'!I12</f>
        <v>-791</v>
      </c>
      <c r="J12" s="52">
        <f>'Cashflow Statement'!J12</f>
        <v>-889</v>
      </c>
      <c r="K12" s="52">
        <f>'Cashflow Statement'!K12</f>
        <v>6289</v>
      </c>
      <c r="L12" s="52">
        <f>'Cashflow Statement'!L12</f>
        <v>-201</v>
      </c>
      <c r="N12" s="56">
        <f t="shared" si="0"/>
        <v>-2.2663503315628271</v>
      </c>
    </row>
    <row r="13" spans="1:15" s="2" customFormat="1" x14ac:dyDescent="0.2">
      <c r="A13" s="2" t="str">
        <f>'Cashflow Statement'!A13</f>
        <v>Cash provided by operating activities</v>
      </c>
      <c r="B13" s="53">
        <f>'Cashflow Statement'!B13</f>
        <v>0</v>
      </c>
      <c r="C13" s="53">
        <f>'Cashflow Statement'!C13</f>
        <v>10287</v>
      </c>
      <c r="D13" s="53">
        <f>'Cashflow Statement'!D13</f>
        <v>7400</v>
      </c>
      <c r="E13" s="53">
        <f>'Cashflow Statement'!E13</f>
        <v>12092</v>
      </c>
      <c r="F13" s="53">
        <f>'Cashflow Statement'!F13</f>
        <v>13159</v>
      </c>
      <c r="G13" s="53">
        <f>'Cashflow Statement'!G13</f>
        <v>17910</v>
      </c>
      <c r="H13" s="53">
        <f>'Cashflow Statement'!H13</f>
        <v>16776</v>
      </c>
      <c r="I13" s="53">
        <f>'Cashflow Statement'!I13</f>
        <v>18709</v>
      </c>
      <c r="J13" s="53">
        <f>'Cashflow Statement'!J13</f>
        <v>23666</v>
      </c>
      <c r="K13" s="53">
        <f>'Cashflow Statement'!K13</f>
        <v>28572</v>
      </c>
      <c r="L13" s="53">
        <f>'Cashflow Statement'!L13</f>
        <v>25104</v>
      </c>
      <c r="N13" s="17">
        <f t="shared" ref="N13" si="1">(L13/C13)^(1/4)-1</f>
        <v>0.2498662660872093</v>
      </c>
    </row>
    <row r="14" spans="1:15" s="2" customFormat="1" x14ac:dyDescent="0.2">
      <c r="B14" s="53"/>
      <c r="C14" s="53"/>
      <c r="D14" s="53"/>
      <c r="E14" s="53"/>
      <c r="F14" s="53"/>
      <c r="G14" s="53"/>
      <c r="H14" s="53"/>
      <c r="I14" s="53"/>
      <c r="J14" s="53"/>
      <c r="K14" s="53"/>
      <c r="L14" s="53"/>
    </row>
    <row r="15" spans="1:15" s="2" customFormat="1" x14ac:dyDescent="0.2">
      <c r="A15" s="2" t="str">
        <f>'Cashflow Statement'!A15</f>
        <v>Cashflow from investment activities</v>
      </c>
      <c r="B15" s="53"/>
      <c r="C15" s="53"/>
      <c r="D15" s="53"/>
      <c r="E15" s="53"/>
      <c r="F15" s="53"/>
      <c r="G15" s="53"/>
      <c r="H15" s="53"/>
      <c r="I15" s="53"/>
      <c r="J15" s="53"/>
      <c r="K15" s="53"/>
      <c r="L15" s="53"/>
    </row>
    <row r="16" spans="1:15" x14ac:dyDescent="0.2">
      <c r="A16" s="1" t="str">
        <f>'Cashflow Statement'!A16</f>
        <v>Investment to maintain operations</v>
      </c>
      <c r="B16" s="52">
        <f>'Cashflow Statement'!B16</f>
        <v>0</v>
      </c>
      <c r="C16" s="52">
        <f>'Cashflow Statement'!C16</f>
        <v>-1199</v>
      </c>
      <c r="D16" s="52">
        <f>'Cashflow Statement'!D16</f>
        <v>-8200</v>
      </c>
      <c r="E16" s="52">
        <f>'Cashflow Statement'!E16</f>
        <v>-10767</v>
      </c>
      <c r="F16" s="52">
        <f>'Cashflow Statement'!F16</f>
        <v>-10288</v>
      </c>
      <c r="G16" s="52">
        <f>'Cashflow Statement'!G16</f>
        <v>-11467</v>
      </c>
      <c r="H16" s="52">
        <f>'Cashflow Statement'!H16</f>
        <v>-16247</v>
      </c>
      <c r="I16" s="52">
        <f>'Cashflow Statement'!I16</f>
        <v>-17593</v>
      </c>
      <c r="J16" s="52">
        <f>'Cashflow Statement'!J16</f>
        <v>-19868</v>
      </c>
      <c r="K16" s="52">
        <f>'Cashflow Statement'!K16</f>
        <v>-19975</v>
      </c>
      <c r="L16" s="52">
        <f>'Cashflow Statement'!L16</f>
        <v>-15822</v>
      </c>
      <c r="N16" s="56">
        <f>(L16/C16)^(1/9)-1</f>
        <v>0.33196734442082954</v>
      </c>
    </row>
    <row r="17" spans="1:15" s="2" customFormat="1" x14ac:dyDescent="0.2">
      <c r="A17" s="1" t="str">
        <f>'Cashflow Statement'!A17</f>
        <v>Investment to expand operations</v>
      </c>
      <c r="B17" s="52">
        <f>'Cashflow Statement'!B17</f>
        <v>0</v>
      </c>
      <c r="C17" s="52">
        <f>'Cashflow Statement'!C17</f>
        <v>-7051</v>
      </c>
      <c r="D17" s="52">
        <f>'Cashflow Statement'!D17</f>
        <v>-10884</v>
      </c>
      <c r="E17" s="52">
        <f>'Cashflow Statement'!E17</f>
        <v>-9641</v>
      </c>
      <c r="F17" s="52">
        <f>'Cashflow Statement'!F17</f>
        <v>-12730</v>
      </c>
      <c r="G17" s="52">
        <f>'Cashflow Statement'!G17</f>
        <v>-13194</v>
      </c>
      <c r="H17" s="52">
        <f>'Cashflow Statement'!H17</f>
        <v>-10994</v>
      </c>
      <c r="I17" s="52">
        <f>'Cashflow Statement'!I17</f>
        <v>-14474</v>
      </c>
      <c r="J17" s="52">
        <f>'Cashflow Statement'!J17</f>
        <v>-16847</v>
      </c>
      <c r="K17" s="52">
        <f>'Cashflow Statement'!K17</f>
        <v>-14353</v>
      </c>
      <c r="L17" s="52">
        <f>'Cashflow Statement'!L17</f>
        <v>-8867</v>
      </c>
      <c r="M17" s="1"/>
      <c r="N17" s="56">
        <f>(L17/C17)^(1/9)-1</f>
        <v>2.5789959279807428E-2</v>
      </c>
    </row>
    <row r="18" spans="1:15" x14ac:dyDescent="0.2">
      <c r="B18" s="52"/>
      <c r="C18" s="52"/>
      <c r="D18" s="52"/>
      <c r="E18" s="52"/>
      <c r="F18" s="52"/>
      <c r="G18" s="52"/>
      <c r="H18" s="52"/>
      <c r="I18" s="52"/>
      <c r="J18" s="52"/>
      <c r="K18" s="52"/>
      <c r="L18" s="52"/>
      <c r="N18" s="56"/>
    </row>
    <row r="19" spans="1:15" s="2" customFormat="1" x14ac:dyDescent="0.2">
      <c r="A19" s="1"/>
      <c r="B19" s="52"/>
      <c r="C19" s="52"/>
      <c r="D19" s="52"/>
      <c r="E19" s="52"/>
      <c r="F19" s="52"/>
      <c r="G19" s="52"/>
      <c r="H19" s="52"/>
      <c r="I19" s="52"/>
      <c r="J19" s="52"/>
      <c r="K19" s="52"/>
      <c r="L19" s="52"/>
      <c r="M19" s="1"/>
      <c r="N19" s="56"/>
    </row>
    <row r="20" spans="1:15" x14ac:dyDescent="0.2">
      <c r="B20" s="52"/>
      <c r="C20" s="52"/>
      <c r="D20" s="52"/>
      <c r="E20" s="52"/>
      <c r="F20" s="52"/>
      <c r="G20" s="52"/>
      <c r="H20" s="52"/>
      <c r="I20" s="52"/>
      <c r="J20" s="52"/>
      <c r="K20" s="52"/>
      <c r="L20" s="52"/>
      <c r="N20" s="56"/>
    </row>
    <row r="21" spans="1:15" x14ac:dyDescent="0.2">
      <c r="B21" s="52"/>
      <c r="C21" s="52"/>
      <c r="D21" s="52"/>
      <c r="E21" s="52"/>
      <c r="F21" s="52"/>
      <c r="G21" s="52"/>
      <c r="H21" s="52"/>
      <c r="I21" s="52"/>
      <c r="J21" s="52"/>
      <c r="K21" s="52"/>
      <c r="L21" s="52"/>
      <c r="N21" s="56"/>
    </row>
    <row r="22" spans="1:15" s="2" customFormat="1" x14ac:dyDescent="0.2">
      <c r="A22" s="2" t="str">
        <f>'Cashflow Statement'!A22</f>
        <v>Cash provided by investment activities</v>
      </c>
      <c r="B22" s="53">
        <f>'Cashflow Statement'!B22</f>
        <v>0</v>
      </c>
      <c r="C22" s="53">
        <f>'Cashflow Statement'!C22</f>
        <v>-8250</v>
      </c>
      <c r="D22" s="53">
        <f>'Cashflow Statement'!D22</f>
        <v>-19084</v>
      </c>
      <c r="E22" s="53">
        <f>'Cashflow Statement'!E22</f>
        <v>-20408</v>
      </c>
      <c r="F22" s="53">
        <f>'Cashflow Statement'!F22</f>
        <v>-23018</v>
      </c>
      <c r="G22" s="53">
        <f>'Cashflow Statement'!G22</f>
        <v>-24661</v>
      </c>
      <c r="H22" s="53">
        <f>'Cashflow Statement'!H22</f>
        <v>-27241</v>
      </c>
      <c r="I22" s="53">
        <f>'Cashflow Statement'!I22</f>
        <v>-32067</v>
      </c>
      <c r="J22" s="53">
        <f>'Cashflow Statement'!J22</f>
        <v>-36715</v>
      </c>
      <c r="K22" s="53">
        <f>'Cashflow Statement'!K22</f>
        <v>-34328</v>
      </c>
      <c r="L22" s="53">
        <f>'Cashflow Statement'!L22</f>
        <v>-24689</v>
      </c>
      <c r="N22" s="17">
        <f>(L22/C22)^(1/9)-1</f>
        <v>0.12952122069682503</v>
      </c>
    </row>
    <row r="23" spans="1:15" s="2" customFormat="1" x14ac:dyDescent="0.2">
      <c r="B23" s="53"/>
      <c r="C23" s="53"/>
      <c r="D23" s="53"/>
      <c r="E23" s="53"/>
      <c r="F23" s="53"/>
      <c r="G23" s="53"/>
      <c r="H23" s="53"/>
      <c r="I23" s="53"/>
      <c r="J23" s="53"/>
      <c r="K23" s="53"/>
      <c r="L23" s="53"/>
      <c r="N23" s="17"/>
    </row>
    <row r="24" spans="1:15" s="2" customFormat="1" x14ac:dyDescent="0.2">
      <c r="A24" s="2" t="str">
        <f>'Cashflow Statement'!A24</f>
        <v>Cashflow from financing activities</v>
      </c>
      <c r="B24" s="53"/>
      <c r="C24" s="53"/>
      <c r="D24" s="53"/>
      <c r="E24" s="53"/>
      <c r="F24" s="53"/>
      <c r="G24" s="53"/>
      <c r="H24" s="53"/>
      <c r="I24" s="53"/>
      <c r="J24" s="53"/>
      <c r="K24" s="53"/>
      <c r="L24" s="53"/>
      <c r="N24" s="17"/>
    </row>
    <row r="25" spans="1:15" x14ac:dyDescent="0.2">
      <c r="A25" s="1" t="str">
        <f>'Cashflow Statement'!A25</f>
        <v>Borrowings raised</v>
      </c>
      <c r="B25" s="52">
        <f>'Cashflow Statement'!B25</f>
        <v>0</v>
      </c>
      <c r="C25" s="52">
        <f>'Cashflow Statement'!C25</f>
        <v>8952</v>
      </c>
      <c r="D25" s="52">
        <f>'Cashflow Statement'!D25</f>
        <v>30479</v>
      </c>
      <c r="E25" s="52">
        <f>'Cashflow Statement'!E25</f>
        <v>19696</v>
      </c>
      <c r="F25" s="52">
        <f>'Cashflow Statement'!F25</f>
        <v>18418</v>
      </c>
      <c r="G25" s="52">
        <f>'Cashflow Statement'!G25</f>
        <v>11110</v>
      </c>
      <c r="H25" s="52">
        <f>'Cashflow Statement'!H25</f>
        <v>19800</v>
      </c>
      <c r="I25" s="52">
        <f>'Cashflow Statement'!I25</f>
        <v>22380</v>
      </c>
      <c r="J25" s="52">
        <f>'Cashflow Statement'!J25</f>
        <v>34113</v>
      </c>
      <c r="K25" s="52">
        <f>'Cashflow Statement'!K25</f>
        <v>40905</v>
      </c>
      <c r="L25" s="52">
        <f>'Cashflow Statement'!L25</f>
        <v>17009</v>
      </c>
      <c r="N25" s="56">
        <f t="shared" ref="N25:N32" si="2">(L25/C25)^(1/9)-1</f>
        <v>7.3923113891992021E-2</v>
      </c>
    </row>
    <row r="26" spans="1:15" s="2" customFormat="1" x14ac:dyDescent="0.2">
      <c r="A26" s="1" t="str">
        <f>'Cashflow Statement'!A26</f>
        <v>Borrowings repaid</v>
      </c>
      <c r="B26" s="52">
        <f>'Cashflow Statement'!B26</f>
        <v>0</v>
      </c>
      <c r="C26" s="52">
        <f>'Cashflow Statement'!C26</f>
        <v>-8943</v>
      </c>
      <c r="D26" s="52">
        <f>'Cashflow Statement'!D26</f>
        <v>-18892</v>
      </c>
      <c r="E26" s="52">
        <f>'Cashflow Statement'!E26</f>
        <v>-9341</v>
      </c>
      <c r="F26" s="52">
        <f>'Cashflow Statement'!F26</f>
        <v>-5627</v>
      </c>
      <c r="G26" s="52">
        <f>'Cashflow Statement'!G26</f>
        <v>-14046</v>
      </c>
      <c r="H26" s="52">
        <f>'Cashflow Statement'!H26</f>
        <v>-7926</v>
      </c>
      <c r="I26" s="52">
        <f>'Cashflow Statement'!I26</f>
        <v>-7987</v>
      </c>
      <c r="J26" s="52">
        <f>'Cashflow Statement'!J26</f>
        <v>-18433</v>
      </c>
      <c r="K26" s="52">
        <f>'Cashflow Statement'!K26</f>
        <v>-27470</v>
      </c>
      <c r="L26" s="52">
        <f>'Cashflow Statement'!L26</f>
        <v>-24945</v>
      </c>
      <c r="M26" s="1"/>
      <c r="N26" s="56">
        <f t="shared" si="2"/>
        <v>0.12072750571080171</v>
      </c>
    </row>
    <row r="27" spans="1:15" x14ac:dyDescent="0.2">
      <c r="B27" s="52"/>
      <c r="C27" s="52"/>
      <c r="D27" s="52"/>
      <c r="E27" s="52"/>
      <c r="F27" s="52"/>
      <c r="G27" s="52"/>
      <c r="H27" s="52"/>
      <c r="I27" s="52"/>
      <c r="J27" s="52"/>
      <c r="K27" s="52"/>
      <c r="L27" s="52"/>
      <c r="N27" s="56"/>
      <c r="O27" s="12" t="s">
        <v>96</v>
      </c>
    </row>
    <row r="28" spans="1:15" x14ac:dyDescent="0.2">
      <c r="B28" s="52"/>
      <c r="C28" s="52"/>
      <c r="D28" s="52"/>
      <c r="E28" s="52"/>
      <c r="F28" s="52"/>
      <c r="G28" s="52"/>
      <c r="H28" s="52"/>
      <c r="I28" s="52"/>
      <c r="J28" s="52"/>
      <c r="K28" s="52"/>
      <c r="L28" s="52"/>
      <c r="N28" s="56"/>
    </row>
    <row r="29" spans="1:15" x14ac:dyDescent="0.2">
      <c r="B29" s="52"/>
      <c r="C29" s="52"/>
      <c r="D29" s="52"/>
      <c r="E29" s="52"/>
      <c r="F29" s="52"/>
      <c r="G29" s="52"/>
      <c r="H29" s="52"/>
      <c r="I29" s="52"/>
      <c r="J29" s="52"/>
      <c r="K29" s="52"/>
      <c r="L29" s="52"/>
      <c r="N29" s="56"/>
    </row>
    <row r="30" spans="1:15" x14ac:dyDescent="0.2">
      <c r="B30" s="52"/>
      <c r="C30" s="52"/>
      <c r="D30" s="52"/>
      <c r="E30" s="52"/>
      <c r="F30" s="52"/>
      <c r="G30" s="52"/>
      <c r="H30" s="52"/>
      <c r="I30" s="52"/>
      <c r="J30" s="52"/>
      <c r="K30" s="52"/>
      <c r="L30" s="52"/>
      <c r="N30" s="56"/>
    </row>
    <row r="31" spans="1:15" x14ac:dyDescent="0.2">
      <c r="B31" s="52"/>
      <c r="C31" s="52"/>
      <c r="D31" s="52"/>
      <c r="E31" s="52"/>
      <c r="F31" s="52"/>
      <c r="G31" s="52"/>
      <c r="H31" s="52"/>
      <c r="I31" s="52"/>
      <c r="J31" s="52"/>
      <c r="K31" s="52"/>
      <c r="L31" s="52"/>
      <c r="N31" s="56"/>
    </row>
    <row r="32" spans="1:15" s="2" customFormat="1" x14ac:dyDescent="0.2">
      <c r="A32" s="2" t="str">
        <f>'Cashflow Statement'!A32</f>
        <v>Cash provided by financing activities</v>
      </c>
      <c r="B32" s="53">
        <f>'Cashflow Statement'!B32</f>
        <v>0</v>
      </c>
      <c r="C32" s="53">
        <f>'Cashflow Statement'!C32</f>
        <v>9</v>
      </c>
      <c r="D32" s="53">
        <f>'Cashflow Statement'!D32</f>
        <v>11587</v>
      </c>
      <c r="E32" s="53">
        <f>'Cashflow Statement'!E32</f>
        <v>10355</v>
      </c>
      <c r="F32" s="53">
        <f>'Cashflow Statement'!F32</f>
        <v>12791</v>
      </c>
      <c r="G32" s="53">
        <f>'Cashflow Statement'!G32</f>
        <v>-2936</v>
      </c>
      <c r="H32" s="53">
        <f>'Cashflow Statement'!H32</f>
        <v>11874</v>
      </c>
      <c r="I32" s="53">
        <f>'Cashflow Statement'!I32</f>
        <v>14393</v>
      </c>
      <c r="J32" s="53">
        <f>'Cashflow Statement'!J32</f>
        <v>15680</v>
      </c>
      <c r="K32" s="53">
        <f>'Cashflow Statement'!K32</f>
        <v>13435</v>
      </c>
      <c r="L32" s="53">
        <f>'Cashflow Statement'!L32</f>
        <v>-7936</v>
      </c>
      <c r="N32" s="17">
        <f t="shared" si="2"/>
        <v>-3.1245263785397452</v>
      </c>
    </row>
    <row r="33" spans="1:14" s="2" customFormat="1" x14ac:dyDescent="0.2">
      <c r="B33" s="53"/>
      <c r="C33" s="53"/>
      <c r="D33" s="53"/>
      <c r="E33" s="53"/>
      <c r="F33" s="53"/>
      <c r="G33" s="53"/>
      <c r="H33" s="53"/>
      <c r="I33" s="53"/>
      <c r="J33" s="53"/>
      <c r="K33" s="53"/>
      <c r="L33" s="53"/>
      <c r="N33" s="56"/>
    </row>
    <row r="34" spans="1:14" s="2" customFormat="1" x14ac:dyDescent="0.2">
      <c r="A34" s="2" t="str">
        <f>'Cashflow Statement'!A34</f>
        <v>Net increase/(decrease) in cash and cash equivalents</v>
      </c>
      <c r="B34" s="53">
        <f>'Cashflow Statement'!B34</f>
        <v>0</v>
      </c>
      <c r="C34" s="53">
        <f>'Cashflow Statement'!C34</f>
        <v>2046</v>
      </c>
      <c r="D34" s="53">
        <f>'Cashflow Statement'!D34</f>
        <v>-97</v>
      </c>
      <c r="E34" s="53">
        <f>'Cashflow Statement'!E34</f>
        <v>2039</v>
      </c>
      <c r="F34" s="53">
        <f>'Cashflow Statement'!F34</f>
        <v>2932</v>
      </c>
      <c r="G34" s="53">
        <f>'Cashflow Statement'!G34</f>
        <v>-9687</v>
      </c>
      <c r="H34" s="53">
        <f>'Cashflow Statement'!H34</f>
        <v>1409</v>
      </c>
      <c r="I34" s="53">
        <f>'Cashflow Statement'!I34</f>
        <v>1035</v>
      </c>
      <c r="J34" s="53">
        <f>'Cashflow Statement'!J34</f>
        <v>2631</v>
      </c>
      <c r="K34" s="53">
        <f>'Cashflow Statement'!K34</f>
        <v>7679</v>
      </c>
      <c r="L34" s="53">
        <f>'Cashflow Statement'!L34</f>
        <v>-7521</v>
      </c>
      <c r="N34" s="17">
        <f>(L34/C34)^(1/9)-1</f>
        <v>-2.1556302044178999</v>
      </c>
    </row>
    <row r="35" spans="1:14" x14ac:dyDescent="0.2">
      <c r="B35" s="52"/>
      <c r="C35" s="52"/>
      <c r="D35" s="52"/>
      <c r="E35" s="52"/>
      <c r="F35" s="52"/>
      <c r="G35" s="52"/>
      <c r="H35" s="52"/>
      <c r="I35" s="52"/>
      <c r="J35" s="52"/>
      <c r="K35" s="52"/>
      <c r="L35" s="52"/>
      <c r="N35" s="56"/>
    </row>
    <row r="36" spans="1:14" x14ac:dyDescent="0.2">
      <c r="B36" s="52"/>
      <c r="C36" s="52"/>
      <c r="D36" s="52"/>
      <c r="E36" s="52"/>
      <c r="F36" s="52"/>
      <c r="G36" s="52"/>
      <c r="H36" s="52"/>
      <c r="I36" s="52"/>
      <c r="J36" s="52"/>
      <c r="K36" s="52"/>
      <c r="L36" s="52"/>
      <c r="N36" s="56"/>
    </row>
    <row r="37" spans="1:14" x14ac:dyDescent="0.2">
      <c r="A37" s="1" t="str">
        <f>'Cashflow Statement'!A37</f>
        <v>Cash and cash equivalents at the biggining of the year</v>
      </c>
      <c r="B37" s="52">
        <f>'Cashflow Statement'!B37</f>
        <v>0</v>
      </c>
      <c r="C37" s="52">
        <f>'Cashflow Statement'!C37</f>
        <v>3956</v>
      </c>
      <c r="D37" s="52">
        <f>'Cashflow Statement'!D37</f>
        <v>6002</v>
      </c>
      <c r="E37" s="52">
        <f>'Cashflow Statement'!E37</f>
        <v>5905</v>
      </c>
      <c r="F37" s="52">
        <f>'Cashflow Statement'!F37</f>
        <v>7944</v>
      </c>
      <c r="G37" s="52">
        <f>'Cashflow Statement'!G37</f>
        <v>10876</v>
      </c>
      <c r="H37" s="52">
        <f>'Cashflow Statement'!H37</f>
        <v>1189</v>
      </c>
      <c r="I37" s="52">
        <f>'Cashflow Statement'!I37</f>
        <v>2598</v>
      </c>
      <c r="J37" s="52">
        <f>'Cashflow Statement'!J37</f>
        <v>3633</v>
      </c>
      <c r="K37" s="52">
        <f>'Cashflow Statement'!K37</f>
        <v>6264</v>
      </c>
      <c r="L37" s="52">
        <f>'Cashflow Statement'!L37</f>
        <v>13943</v>
      </c>
      <c r="N37" s="56">
        <f>(L37/C37)^(1/9)-1</f>
        <v>0.15024110297481541</v>
      </c>
    </row>
    <row r="38" spans="1:14" x14ac:dyDescent="0.2">
      <c r="B38" s="52"/>
      <c r="C38" s="52"/>
      <c r="D38" s="52"/>
      <c r="E38" s="52"/>
      <c r="F38" s="52"/>
      <c r="G38" s="52"/>
      <c r="H38" s="52"/>
      <c r="I38" s="52"/>
      <c r="J38" s="52"/>
      <c r="K38" s="52"/>
      <c r="L38" s="52"/>
      <c r="N38" s="56"/>
    </row>
    <row r="39" spans="1:14" s="2" customFormat="1" x14ac:dyDescent="0.2">
      <c r="A39" s="2" t="str">
        <f>'Cashflow Statement'!A39</f>
        <v>Cash and cash equivalents at the end of the year</v>
      </c>
      <c r="B39" s="53">
        <f>'Cashflow Statement'!B39</f>
        <v>0</v>
      </c>
      <c r="C39" s="53">
        <f>'Cashflow Statement'!C39</f>
        <v>6002</v>
      </c>
      <c r="D39" s="53">
        <f>'Cashflow Statement'!D39</f>
        <v>5905</v>
      </c>
      <c r="E39" s="53">
        <f>'Cashflow Statement'!E39</f>
        <v>7944</v>
      </c>
      <c r="F39" s="53">
        <f>'Cashflow Statement'!F39</f>
        <v>10876</v>
      </c>
      <c r="G39" s="53">
        <f>'Cashflow Statement'!G39</f>
        <v>1189</v>
      </c>
      <c r="H39" s="53">
        <f>'Cashflow Statement'!H39</f>
        <v>2598</v>
      </c>
      <c r="I39" s="53">
        <f>'Cashflow Statement'!I39</f>
        <v>3633</v>
      </c>
      <c r="J39" s="53">
        <f>'Cashflow Statement'!J39</f>
        <v>6264</v>
      </c>
      <c r="K39" s="53">
        <f>'Cashflow Statement'!K39</f>
        <v>13943</v>
      </c>
      <c r="L39" s="53">
        <f>'Cashflow Statement'!L39</f>
        <v>6422</v>
      </c>
      <c r="N39" s="17">
        <f>(L39/C39)^(1/9)-1</f>
        <v>7.5435154357319512E-3</v>
      </c>
    </row>
    <row r="40" spans="1:14" x14ac:dyDescent="0.2">
      <c r="A40" s="2"/>
      <c r="B40" s="2"/>
      <c r="C40" s="2"/>
      <c r="D40" s="2"/>
      <c r="E40" s="2"/>
      <c r="F40" s="2"/>
      <c r="G40" s="2"/>
      <c r="H40" s="2"/>
      <c r="I40" s="2"/>
      <c r="J40" s="2"/>
      <c r="K40" s="2"/>
      <c r="L40" s="2"/>
    </row>
    <row r="41" spans="1:14" x14ac:dyDescent="0.2">
      <c r="A41" s="2"/>
      <c r="B41" s="2"/>
      <c r="C41" s="2"/>
      <c r="D41" s="2"/>
      <c r="E41" s="2"/>
      <c r="F41" s="2"/>
      <c r="G41" s="2"/>
      <c r="H41" s="2"/>
      <c r="I41" s="2"/>
      <c r="J41" s="2"/>
      <c r="K41" s="2"/>
      <c r="L41" s="2"/>
    </row>
    <row r="42" spans="1:14" x14ac:dyDescent="0.2">
      <c r="A42" s="2"/>
      <c r="B42" s="2"/>
      <c r="C42" s="2"/>
      <c r="D42" s="2"/>
      <c r="E42" s="2"/>
      <c r="F42" s="2"/>
      <c r="G42" s="2"/>
      <c r="H42" s="2"/>
      <c r="I42" s="2"/>
      <c r="J42" s="2"/>
      <c r="K42" s="2"/>
      <c r="L42" s="2"/>
    </row>
    <row r="43" spans="1:14" x14ac:dyDescent="0.2">
      <c r="A43" s="2"/>
      <c r="B43" s="2"/>
      <c r="C43" s="2"/>
      <c r="D43" s="2"/>
      <c r="E43" s="2"/>
      <c r="F43" s="2"/>
      <c r="G43" s="2"/>
      <c r="H43" s="2"/>
      <c r="I43" s="2"/>
      <c r="J43" s="2"/>
      <c r="K43" s="2"/>
      <c r="L43" s="2"/>
    </row>
    <row r="44" spans="1:14" x14ac:dyDescent="0.2">
      <c r="A44" s="2"/>
      <c r="B44" s="2"/>
      <c r="C44" s="2"/>
      <c r="D44" s="2"/>
      <c r="E44" s="2"/>
      <c r="F44" s="2"/>
      <c r="G44" s="2"/>
      <c r="H44" s="2"/>
      <c r="I44" s="2"/>
      <c r="J44" s="2"/>
      <c r="K44" s="2"/>
      <c r="L44" s="2"/>
    </row>
    <row r="45" spans="1:14" x14ac:dyDescent="0.2">
      <c r="A45" s="2"/>
      <c r="B45" s="2"/>
      <c r="C45" s="2"/>
      <c r="D45" s="2"/>
      <c r="E45" s="2"/>
      <c r="F45" s="2"/>
      <c r="G45" s="2"/>
      <c r="H45" s="2"/>
      <c r="I45" s="2"/>
      <c r="J45" s="2"/>
      <c r="K45" s="2"/>
      <c r="L45" s="2"/>
    </row>
    <row r="46" spans="1:14" x14ac:dyDescent="0.2">
      <c r="A46" s="2"/>
      <c r="B46" s="2"/>
      <c r="C46" s="2"/>
      <c r="D46" s="2"/>
      <c r="E46" s="2"/>
      <c r="F46" s="2"/>
      <c r="G46" s="2"/>
      <c r="H46" s="2"/>
      <c r="I46" s="2"/>
      <c r="J46" s="2"/>
      <c r="K46" s="2"/>
      <c r="L46" s="2"/>
    </row>
    <row r="47" spans="1:14" x14ac:dyDescent="0.2">
      <c r="A47" s="2"/>
      <c r="B47" s="2"/>
      <c r="C47" s="2"/>
      <c r="D47" s="2"/>
      <c r="E47" s="2"/>
      <c r="F47" s="2"/>
      <c r="G47" s="2"/>
      <c r="H47" s="2"/>
      <c r="I47" s="2"/>
      <c r="J47" s="2"/>
      <c r="K47" s="2"/>
      <c r="L47" s="2"/>
    </row>
    <row r="48" spans="1:14" x14ac:dyDescent="0.2">
      <c r="A48" s="2"/>
      <c r="B48" s="2"/>
      <c r="C48" s="2"/>
      <c r="D48" s="2"/>
      <c r="E48" s="2"/>
      <c r="F48" s="2"/>
      <c r="G48" s="2"/>
      <c r="H48" s="2"/>
      <c r="I48" s="2"/>
      <c r="J48" s="2"/>
      <c r="K48" s="2"/>
      <c r="L48" s="2"/>
    </row>
    <row r="49" spans="1:12" x14ac:dyDescent="0.2">
      <c r="A49" s="2"/>
      <c r="B49" s="2"/>
      <c r="C49" s="2"/>
      <c r="D49" s="2"/>
      <c r="E49" s="2"/>
      <c r="F49" s="2"/>
      <c r="G49" s="2"/>
      <c r="H49" s="2"/>
      <c r="I49" s="2"/>
      <c r="J49" s="2"/>
      <c r="K49" s="2"/>
      <c r="L49" s="2"/>
    </row>
    <row r="50" spans="1:12" x14ac:dyDescent="0.2">
      <c r="A50" s="2"/>
      <c r="B50" s="2"/>
      <c r="C50" s="2"/>
      <c r="D50" s="2"/>
      <c r="E50" s="2"/>
      <c r="F50" s="2"/>
      <c r="G50" s="2"/>
      <c r="H50" s="2"/>
      <c r="I50" s="2"/>
      <c r="J50" s="2"/>
      <c r="K50" s="2"/>
      <c r="L50" s="2"/>
    </row>
    <row r="51" spans="1:12" x14ac:dyDescent="0.2">
      <c r="A51" s="2"/>
      <c r="B51" s="2"/>
      <c r="C51" s="2"/>
      <c r="D51" s="2"/>
      <c r="E51" s="2"/>
      <c r="F51" s="2"/>
      <c r="G51" s="2"/>
      <c r="H51" s="2"/>
      <c r="I51" s="2"/>
      <c r="J51" s="2"/>
      <c r="K51" s="2"/>
      <c r="L51" s="2"/>
    </row>
    <row r="52" spans="1:12" x14ac:dyDescent="0.2">
      <c r="A52" s="2"/>
      <c r="B52" s="2"/>
      <c r="C52" s="2"/>
      <c r="D52" s="2"/>
      <c r="E52" s="2"/>
      <c r="F52" s="2"/>
      <c r="G52" s="2"/>
      <c r="H52" s="2"/>
      <c r="I52" s="2"/>
      <c r="J52" s="2"/>
      <c r="K52" s="2"/>
      <c r="L52" s="2"/>
    </row>
    <row r="53" spans="1:12" x14ac:dyDescent="0.2">
      <c r="A53" s="2"/>
      <c r="B53" s="2"/>
      <c r="C53" s="2"/>
      <c r="D53" s="2"/>
      <c r="E53" s="2"/>
      <c r="F53" s="2"/>
      <c r="G53" s="2"/>
      <c r="H53" s="2"/>
      <c r="I53" s="2"/>
      <c r="J53" s="2"/>
      <c r="K53" s="2"/>
      <c r="L53" s="2"/>
    </row>
    <row r="54" spans="1:12" x14ac:dyDescent="0.2">
      <c r="A54" s="2"/>
      <c r="B54" s="2"/>
      <c r="C54" s="2"/>
      <c r="D54" s="2"/>
      <c r="E54" s="2"/>
      <c r="F54" s="2"/>
      <c r="G54" s="2"/>
      <c r="H54" s="2"/>
      <c r="I54" s="2"/>
      <c r="J54" s="2"/>
      <c r="K54" s="2"/>
      <c r="L54" s="2"/>
    </row>
    <row r="55" spans="1:12" x14ac:dyDescent="0.2">
      <c r="A55" s="2"/>
      <c r="B55" s="2"/>
      <c r="C55" s="2"/>
      <c r="D55" s="2"/>
      <c r="E55" s="2"/>
      <c r="F55" s="2"/>
      <c r="G55" s="2"/>
      <c r="H55" s="2"/>
      <c r="I55" s="2"/>
      <c r="J55" s="2"/>
      <c r="K55" s="2"/>
      <c r="L55" s="2"/>
    </row>
  </sheetData>
  <mergeCells count="1">
    <mergeCell ref="A1:N1"/>
  </mergeCells>
  <hyperlinks>
    <hyperlink ref="O27" location="Cover!A1" display="Cover"/>
    <hyperlink ref="O1" location="Cover!A1" display="Cover"/>
  </hyperlinks>
  <pageMargins left="0.7" right="0.7" top="0.75" bottom="0.75" header="0.3" footer="0.3"/>
  <ignoredErrors>
    <ignoredError sqref="N6"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00"/>
  </sheetPr>
  <dimension ref="A1:F17"/>
  <sheetViews>
    <sheetView workbookViewId="0"/>
  </sheetViews>
  <sheetFormatPr defaultRowHeight="12.75" x14ac:dyDescent="0.2"/>
  <cols>
    <col min="1" max="1" width="20.7109375" style="1" customWidth="1"/>
    <col min="2" max="16384" width="9.140625" style="1"/>
  </cols>
  <sheetData>
    <row r="1" spans="1:6" ht="15" x14ac:dyDescent="0.2">
      <c r="A1" s="3" t="s">
        <v>35</v>
      </c>
    </row>
    <row r="3" spans="1:6" x14ac:dyDescent="0.2">
      <c r="B3" s="2">
        <f>'Income Statement'!B3</f>
        <v>2007</v>
      </c>
      <c r="C3" s="2">
        <f>'Income Statement'!C3</f>
        <v>2008</v>
      </c>
      <c r="D3" s="2">
        <f>'Income Statement'!D3</f>
        <v>2009</v>
      </c>
      <c r="E3" s="2">
        <f>'Income Statement'!E3</f>
        <v>2010</v>
      </c>
      <c r="F3" s="2">
        <f>'Income Statement'!F3</f>
        <v>2011</v>
      </c>
    </row>
    <row r="4" spans="1:6" x14ac:dyDescent="0.2">
      <c r="A4" s="1" t="s">
        <v>3</v>
      </c>
      <c r="B4" s="1">
        <f>'Income Statement'!B4</f>
        <v>0</v>
      </c>
      <c r="C4" s="1">
        <f>'Income Statement'!C4</f>
        <v>30091</v>
      </c>
      <c r="D4" s="1">
        <f>'Income Statement'!D4</f>
        <v>33592</v>
      </c>
      <c r="E4" s="1">
        <f>'Income Statement'!E4</f>
        <v>35610</v>
      </c>
      <c r="F4" s="1">
        <f>'Income Statement'!F4</f>
        <v>37952</v>
      </c>
    </row>
    <row r="5" spans="1:6" x14ac:dyDescent="0.2">
      <c r="A5" s="1" t="s">
        <v>88</v>
      </c>
    </row>
    <row r="6" spans="1:6" x14ac:dyDescent="0.2">
      <c r="A6" s="1" t="s">
        <v>87</v>
      </c>
      <c r="B6" s="1">
        <f t="shared" ref="B6:F6" si="0">B4-B5</f>
        <v>0</v>
      </c>
      <c r="C6" s="1">
        <f t="shared" si="0"/>
        <v>30091</v>
      </c>
      <c r="D6" s="1">
        <f t="shared" si="0"/>
        <v>33592</v>
      </c>
      <c r="E6" s="1">
        <f t="shared" si="0"/>
        <v>35610</v>
      </c>
      <c r="F6" s="1">
        <f t="shared" si="0"/>
        <v>37952</v>
      </c>
    </row>
    <row r="7" spans="1:6" x14ac:dyDescent="0.2">
      <c r="A7" s="1" t="s">
        <v>89</v>
      </c>
      <c r="C7" s="8"/>
      <c r="D7" s="8"/>
      <c r="E7" s="8"/>
      <c r="F7" s="8"/>
    </row>
    <row r="8" spans="1:6" x14ac:dyDescent="0.2">
      <c r="A8" s="1" t="s">
        <v>90</v>
      </c>
      <c r="C8" s="8"/>
      <c r="D8" s="8"/>
      <c r="E8" s="8"/>
      <c r="F8" s="8"/>
    </row>
    <row r="9" spans="1:6" x14ac:dyDescent="0.2">
      <c r="A9" s="1" t="s">
        <v>91</v>
      </c>
    </row>
    <row r="10" spans="1:6" x14ac:dyDescent="0.2">
      <c r="A10" s="1" t="s">
        <v>4</v>
      </c>
      <c r="B10" s="1">
        <f t="shared" ref="B10:F10" si="1">SUM(B7:B9)</f>
        <v>0</v>
      </c>
      <c r="C10" s="1">
        <f t="shared" si="1"/>
        <v>0</v>
      </c>
      <c r="D10" s="1">
        <f t="shared" si="1"/>
        <v>0</v>
      </c>
      <c r="E10" s="1">
        <f t="shared" si="1"/>
        <v>0</v>
      </c>
      <c r="F10" s="1">
        <f t="shared" si="1"/>
        <v>0</v>
      </c>
    </row>
    <row r="11" spans="1:6" x14ac:dyDescent="0.2">
      <c r="A11" s="1" t="s">
        <v>36</v>
      </c>
      <c r="B11" s="1">
        <f t="shared" ref="B11:F11" si="2">B6-B10</f>
        <v>0</v>
      </c>
      <c r="C11" s="1">
        <f t="shared" si="2"/>
        <v>30091</v>
      </c>
      <c r="D11" s="1">
        <f t="shared" si="2"/>
        <v>33592</v>
      </c>
      <c r="E11" s="1">
        <f t="shared" si="2"/>
        <v>35610</v>
      </c>
      <c r="F11" s="1">
        <f t="shared" si="2"/>
        <v>37952</v>
      </c>
    </row>
    <row r="12" spans="1:6" x14ac:dyDescent="0.2">
      <c r="A12" s="1" t="s">
        <v>37</v>
      </c>
      <c r="B12" s="8" t="e">
        <f t="shared" ref="B12:F12" si="3">B11/B6</f>
        <v>#DIV/0!</v>
      </c>
      <c r="C12" s="8">
        <f t="shared" si="3"/>
        <v>1</v>
      </c>
      <c r="D12" s="8">
        <f t="shared" si="3"/>
        <v>1</v>
      </c>
      <c r="E12" s="8">
        <f t="shared" si="3"/>
        <v>1</v>
      </c>
      <c r="F12" s="8">
        <f t="shared" si="3"/>
        <v>1</v>
      </c>
    </row>
    <row r="15" spans="1:6" x14ac:dyDescent="0.2">
      <c r="A15" s="1" t="s">
        <v>92</v>
      </c>
      <c r="B15" s="1" t="e">
        <f>B7/B6</f>
        <v>#DIV/0!</v>
      </c>
      <c r="C15" s="1">
        <f>C7/C6</f>
        <v>0</v>
      </c>
      <c r="D15" s="1">
        <f t="shared" ref="D15:F15" si="4">D7/D6</f>
        <v>0</v>
      </c>
      <c r="E15" s="1">
        <f t="shared" si="4"/>
        <v>0</v>
      </c>
      <c r="F15" s="1">
        <f t="shared" si="4"/>
        <v>0</v>
      </c>
    </row>
    <row r="16" spans="1:6" x14ac:dyDescent="0.2">
      <c r="A16" s="1" t="s">
        <v>93</v>
      </c>
      <c r="B16" s="1" t="e">
        <f>B8/B6</f>
        <v>#DIV/0!</v>
      </c>
      <c r="C16" s="1">
        <f t="shared" ref="C16:F16" si="5">C8/C6</f>
        <v>0</v>
      </c>
      <c r="D16" s="1">
        <f t="shared" si="5"/>
        <v>0</v>
      </c>
      <c r="E16" s="1">
        <f t="shared" si="5"/>
        <v>0</v>
      </c>
      <c r="F16" s="1">
        <f t="shared" si="5"/>
        <v>0</v>
      </c>
    </row>
    <row r="17" spans="1:6" x14ac:dyDescent="0.2">
      <c r="A17" s="1" t="s">
        <v>94</v>
      </c>
      <c r="B17" s="1" t="e">
        <f>B9/B6</f>
        <v>#DIV/0!</v>
      </c>
      <c r="C17" s="1">
        <f>C9/C6</f>
        <v>0</v>
      </c>
      <c r="D17" s="1">
        <f t="shared" ref="D17:F17" si="6">D9/D6</f>
        <v>0</v>
      </c>
      <c r="E17" s="1">
        <f t="shared" si="6"/>
        <v>0</v>
      </c>
      <c r="F17" s="1">
        <f t="shared" si="6"/>
        <v>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00"/>
  </sheetPr>
  <dimension ref="A1:L18"/>
  <sheetViews>
    <sheetView showGridLines="0" workbookViewId="0">
      <pane xSplit="2" ySplit="3" topLeftCell="C4" activePane="bottomRight" state="frozen"/>
      <selection pane="topRight" activeCell="C1" sqref="C1"/>
      <selection pane="bottomLeft" activeCell="A4" sqref="A4"/>
      <selection pane="bottomRight" activeCell="A14" sqref="A14"/>
    </sheetView>
  </sheetViews>
  <sheetFormatPr defaultRowHeight="12.75" x14ac:dyDescent="0.2"/>
  <cols>
    <col min="1" max="1" width="25.140625" style="1" bestFit="1" customWidth="1"/>
    <col min="2" max="2" width="9.28515625" style="1" hidden="1" customWidth="1"/>
    <col min="3" max="10" width="9.28515625" style="1" customWidth="1"/>
    <col min="11" max="12" width="11.28515625" style="1" bestFit="1" customWidth="1"/>
    <col min="13" max="16384" width="9.140625" style="1"/>
  </cols>
  <sheetData>
    <row r="1" spans="1:12" ht="15" x14ac:dyDescent="0.2">
      <c r="A1" s="136" t="s">
        <v>2</v>
      </c>
      <c r="B1" s="136"/>
      <c r="C1" s="136"/>
      <c r="D1" s="136"/>
      <c r="E1" s="136"/>
      <c r="F1" s="136"/>
      <c r="G1" s="136"/>
      <c r="H1" s="136"/>
      <c r="I1" s="136"/>
      <c r="J1" s="136"/>
      <c r="K1" s="136"/>
      <c r="L1" s="136"/>
    </row>
    <row r="3" spans="1:12" x14ac:dyDescent="0.2">
      <c r="A3" s="2" t="s">
        <v>126</v>
      </c>
      <c r="B3" s="2">
        <v>2007</v>
      </c>
      <c r="C3" s="2">
        <v>2008</v>
      </c>
      <c r="D3" s="2">
        <v>2009</v>
      </c>
      <c r="E3" s="2">
        <v>2010</v>
      </c>
      <c r="F3" s="2">
        <v>2011</v>
      </c>
      <c r="G3" s="2">
        <v>2012</v>
      </c>
      <c r="H3" s="2">
        <v>2013</v>
      </c>
      <c r="I3" s="2">
        <v>2014</v>
      </c>
      <c r="J3" s="2">
        <v>2015</v>
      </c>
      <c r="K3" s="2">
        <v>2016</v>
      </c>
      <c r="L3" s="2">
        <v>2017</v>
      </c>
    </row>
    <row r="4" spans="1:12" x14ac:dyDescent="0.2">
      <c r="A4" s="1" t="s">
        <v>3</v>
      </c>
      <c r="B4" s="52"/>
      <c r="C4" s="52">
        <v>30091</v>
      </c>
      <c r="D4" s="52">
        <v>33592</v>
      </c>
      <c r="E4" s="52">
        <v>35610</v>
      </c>
      <c r="F4" s="52">
        <v>37952</v>
      </c>
      <c r="G4" s="52">
        <v>45900</v>
      </c>
      <c r="H4" s="52">
        <v>50194</v>
      </c>
      <c r="I4" s="52">
        <v>56606</v>
      </c>
      <c r="J4" s="52">
        <v>61152</v>
      </c>
      <c r="K4" s="52">
        <v>62167</v>
      </c>
      <c r="L4" s="52">
        <v>65478</v>
      </c>
    </row>
    <row r="5" spans="1:12" x14ac:dyDescent="0.2">
      <c r="A5" s="1" t="s">
        <v>127</v>
      </c>
      <c r="B5" s="52"/>
      <c r="C5" s="52"/>
      <c r="D5" s="52"/>
      <c r="E5" s="52"/>
      <c r="F5" s="52"/>
      <c r="G5" s="52"/>
      <c r="H5" s="52"/>
      <c r="I5" s="52"/>
      <c r="J5" s="52"/>
      <c r="K5" s="52"/>
      <c r="L5" s="52"/>
    </row>
    <row r="6" spans="1:12" s="2" customFormat="1" x14ac:dyDescent="0.2">
      <c r="A6" s="2" t="s">
        <v>36</v>
      </c>
      <c r="B6" s="53">
        <f t="shared" ref="B6:C6" si="0">B4-B5</f>
        <v>0</v>
      </c>
      <c r="C6" s="53">
        <f t="shared" si="0"/>
        <v>30091</v>
      </c>
      <c r="D6" s="53">
        <f t="shared" ref="D6:L6" si="1">D4-D5</f>
        <v>33592</v>
      </c>
      <c r="E6" s="53">
        <f t="shared" si="1"/>
        <v>35610</v>
      </c>
      <c r="F6" s="53">
        <f t="shared" si="1"/>
        <v>37952</v>
      </c>
      <c r="G6" s="53">
        <f t="shared" si="1"/>
        <v>45900</v>
      </c>
      <c r="H6" s="53">
        <f t="shared" si="1"/>
        <v>50194</v>
      </c>
      <c r="I6" s="53">
        <f t="shared" si="1"/>
        <v>56606</v>
      </c>
      <c r="J6" s="53">
        <f t="shared" si="1"/>
        <v>61152</v>
      </c>
      <c r="K6" s="53">
        <f t="shared" si="1"/>
        <v>62167</v>
      </c>
      <c r="L6" s="53">
        <f t="shared" si="1"/>
        <v>65478</v>
      </c>
    </row>
    <row r="7" spans="1:12" x14ac:dyDescent="0.2">
      <c r="A7" s="1" t="s">
        <v>5</v>
      </c>
      <c r="B7" s="52"/>
      <c r="C7" s="52">
        <v>17281</v>
      </c>
      <c r="D7" s="52">
        <v>20392</v>
      </c>
      <c r="E7" s="52">
        <v>21201</v>
      </c>
      <c r="F7" s="52">
        <v>22189</v>
      </c>
      <c r="G7" s="52">
        <v>27018</v>
      </c>
      <c r="H7" s="52">
        <v>29143</v>
      </c>
      <c r="I7" s="52">
        <v>32967</v>
      </c>
      <c r="J7" s="52">
        <v>35564</v>
      </c>
      <c r="K7" s="52">
        <v>35917</v>
      </c>
      <c r="L7" s="52">
        <v>37921</v>
      </c>
    </row>
    <row r="8" spans="1:12" x14ac:dyDescent="0.2">
      <c r="A8" s="1" t="s">
        <v>175</v>
      </c>
      <c r="B8" s="52"/>
      <c r="C8" s="52">
        <v>3798</v>
      </c>
      <c r="D8" s="52">
        <v>4779</v>
      </c>
      <c r="E8" s="52">
        <v>6089</v>
      </c>
      <c r="F8" s="52">
        <v>7184</v>
      </c>
      <c r="G8" s="52">
        <v>8355</v>
      </c>
      <c r="H8" s="52">
        <v>9277</v>
      </c>
      <c r="I8" s="52">
        <v>10736</v>
      </c>
      <c r="J8" s="52">
        <v>10951</v>
      </c>
      <c r="K8" s="52">
        <v>15275</v>
      </c>
      <c r="L8" s="52">
        <v>13471</v>
      </c>
    </row>
    <row r="9" spans="1:12" x14ac:dyDescent="0.2">
      <c r="A9" s="1" t="s">
        <v>176</v>
      </c>
      <c r="B9" s="52"/>
      <c r="C9" s="52">
        <f>153-122-686-1416+59</f>
        <v>-2012</v>
      </c>
      <c r="D9" s="52">
        <f>324+436-941-82</f>
        <v>-263</v>
      </c>
      <c r="E9" s="52">
        <f>778+180+18-5</f>
        <v>971</v>
      </c>
      <c r="F9" s="52">
        <f>537+155-625-58</f>
        <v>9</v>
      </c>
      <c r="G9" s="52">
        <f>342-31+202+6</f>
        <v>519</v>
      </c>
      <c r="H9" s="52">
        <f>588-28-222-24</f>
        <v>314</v>
      </c>
      <c r="I9" s="52">
        <f>107+388-264-14</f>
        <v>217</v>
      </c>
      <c r="J9" s="52">
        <f>964+162-136-9</f>
        <v>981</v>
      </c>
      <c r="K9" s="52">
        <f>1524+346+590-26</f>
        <v>2434</v>
      </c>
      <c r="L9" s="52">
        <f>2538+243-1576-20</f>
        <v>1185</v>
      </c>
    </row>
    <row r="10" spans="1:12" s="2" customFormat="1" x14ac:dyDescent="0.2">
      <c r="A10" s="2" t="s">
        <v>9</v>
      </c>
      <c r="B10" s="53">
        <f>B6-B7</f>
        <v>0</v>
      </c>
      <c r="C10" s="53">
        <f t="shared" ref="C10" si="2">C6-SUM(C7:C9)</f>
        <v>11024</v>
      </c>
      <c r="D10" s="53">
        <f t="shared" ref="D10:L10" si="3">D6-SUM(D7:D9)</f>
        <v>8684</v>
      </c>
      <c r="E10" s="53">
        <f t="shared" si="3"/>
        <v>7349</v>
      </c>
      <c r="F10" s="53">
        <f t="shared" si="3"/>
        <v>8570</v>
      </c>
      <c r="G10" s="53">
        <f t="shared" si="3"/>
        <v>10008</v>
      </c>
      <c r="H10" s="53">
        <f t="shared" si="3"/>
        <v>11460</v>
      </c>
      <c r="I10" s="53">
        <f t="shared" si="3"/>
        <v>12686</v>
      </c>
      <c r="J10" s="53">
        <f t="shared" si="3"/>
        <v>13656</v>
      </c>
      <c r="K10" s="53">
        <f t="shared" si="3"/>
        <v>8541</v>
      </c>
      <c r="L10" s="53">
        <f t="shared" si="3"/>
        <v>12901</v>
      </c>
    </row>
    <row r="11" spans="1:12" x14ac:dyDescent="0.2">
      <c r="A11" s="1" t="s">
        <v>7</v>
      </c>
      <c r="B11" s="52"/>
      <c r="C11" s="52">
        <f>2692-761</f>
        <v>1931</v>
      </c>
      <c r="D11" s="52">
        <f>2233-267</f>
        <v>1966</v>
      </c>
      <c r="E11" s="52">
        <f>3014-578</f>
        <v>2436</v>
      </c>
      <c r="F11" s="52">
        <f>3439-561</f>
        <v>2878</v>
      </c>
      <c r="G11" s="52">
        <f>4255-488</f>
        <v>3767</v>
      </c>
      <c r="H11" s="52">
        <f>5545-405</f>
        <v>5140</v>
      </c>
      <c r="I11" s="52">
        <f>5917-366</f>
        <v>5551</v>
      </c>
      <c r="J11" s="52">
        <f>6287-221</f>
        <v>6066</v>
      </c>
      <c r="K11" s="52">
        <f>7481-408</f>
        <v>7073</v>
      </c>
      <c r="L11" s="52">
        <f>9045-409</f>
        <v>8636</v>
      </c>
    </row>
    <row r="12" spans="1:12" s="2" customFormat="1" x14ac:dyDescent="0.2">
      <c r="A12" s="2" t="s">
        <v>6</v>
      </c>
      <c r="B12" s="53">
        <f t="shared" ref="B12:L12" si="4">B10-B11</f>
        <v>0</v>
      </c>
      <c r="C12" s="53">
        <f t="shared" si="4"/>
        <v>9093</v>
      </c>
      <c r="D12" s="53">
        <f t="shared" si="4"/>
        <v>6718</v>
      </c>
      <c r="E12" s="53">
        <f t="shared" si="4"/>
        <v>4913</v>
      </c>
      <c r="F12" s="53">
        <f t="shared" si="4"/>
        <v>5692</v>
      </c>
      <c r="G12" s="53">
        <f t="shared" si="4"/>
        <v>6241</v>
      </c>
      <c r="H12" s="53">
        <f t="shared" si="4"/>
        <v>6320</v>
      </c>
      <c r="I12" s="53">
        <f t="shared" si="4"/>
        <v>7135</v>
      </c>
      <c r="J12" s="53">
        <f t="shared" si="4"/>
        <v>7590</v>
      </c>
      <c r="K12" s="53">
        <f t="shared" ref="K12" si="5">K10-K11</f>
        <v>1468</v>
      </c>
      <c r="L12" s="53">
        <f t="shared" si="4"/>
        <v>4265</v>
      </c>
    </row>
    <row r="13" spans="1:12" x14ac:dyDescent="0.2">
      <c r="A13" s="1" t="s">
        <v>8</v>
      </c>
      <c r="B13" s="52"/>
      <c r="C13" s="52">
        <v>2642</v>
      </c>
      <c r="D13" s="52">
        <v>1674</v>
      </c>
      <c r="E13" s="52">
        <v>1722</v>
      </c>
      <c r="F13" s="52">
        <v>1508</v>
      </c>
      <c r="G13" s="52">
        <v>2122</v>
      </c>
      <c r="H13" s="52">
        <v>1980</v>
      </c>
      <c r="I13" s="52">
        <v>1964</v>
      </c>
      <c r="J13" s="52">
        <v>2288</v>
      </c>
      <c r="K13" s="52">
        <v>1075</v>
      </c>
      <c r="L13" s="52">
        <v>1500</v>
      </c>
    </row>
    <row r="14" spans="1:12" s="2" customFormat="1" x14ac:dyDescent="0.2">
      <c r="A14" s="2" t="s">
        <v>273</v>
      </c>
      <c r="B14" s="53">
        <f>B12-B13</f>
        <v>0</v>
      </c>
      <c r="C14" s="53">
        <f t="shared" ref="C14" si="6">C12-C13</f>
        <v>6451</v>
      </c>
      <c r="D14" s="53">
        <f t="shared" ref="D14" si="7">D12-D13</f>
        <v>5044</v>
      </c>
      <c r="E14" s="53">
        <f t="shared" ref="E14" si="8">E12-E13</f>
        <v>3191</v>
      </c>
      <c r="F14" s="53">
        <f t="shared" ref="F14:L14" si="9">F12-F13</f>
        <v>4184</v>
      </c>
      <c r="G14" s="53">
        <f t="shared" si="9"/>
        <v>4119</v>
      </c>
      <c r="H14" s="53">
        <f t="shared" si="9"/>
        <v>4340</v>
      </c>
      <c r="I14" s="53">
        <f t="shared" si="9"/>
        <v>5171</v>
      </c>
      <c r="J14" s="53">
        <f t="shared" si="9"/>
        <v>5302</v>
      </c>
      <c r="K14" s="53">
        <f t="shared" ref="K14" si="10">K12-K13</f>
        <v>393</v>
      </c>
      <c r="L14" s="53">
        <f t="shared" si="9"/>
        <v>2765</v>
      </c>
    </row>
    <row r="17" spans="1:12" x14ac:dyDescent="0.2">
      <c r="A17" s="1" t="s">
        <v>136</v>
      </c>
      <c r="B17" s="7"/>
      <c r="C17" s="7"/>
      <c r="D17" s="7"/>
      <c r="E17" s="7"/>
      <c r="F17" s="7"/>
      <c r="G17" s="7"/>
      <c r="H17" s="7"/>
      <c r="I17" s="7"/>
      <c r="J17" s="7"/>
      <c r="K17" s="7"/>
      <c r="L17" s="7"/>
    </row>
    <row r="18" spans="1:12" x14ac:dyDescent="0.2">
      <c r="A18" s="1" t="s">
        <v>137</v>
      </c>
    </row>
  </sheetData>
  <mergeCells count="1">
    <mergeCell ref="A1:L1"/>
  </mergeCells>
  <pageMargins left="0.7" right="0.7" top="0.75" bottom="0.75" header="0.3" footer="0.3"/>
  <pageSetup orientation="portrait" r:id="rId1"/>
  <ignoredErrors>
    <ignoredError sqref="C11:D11"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3</vt:i4>
      </vt:variant>
    </vt:vector>
  </HeadingPairs>
  <TitlesOfParts>
    <vt:vector size="14" baseType="lpstr">
      <vt:lpstr>Data</vt:lpstr>
      <vt:lpstr>Company Overview</vt:lpstr>
      <vt:lpstr>Summary Performance</vt:lpstr>
      <vt:lpstr>Financial Analsysis</vt:lpstr>
      <vt:lpstr>Income Statement Analysis</vt:lpstr>
      <vt:lpstr>Balance Sheet Analysis</vt:lpstr>
      <vt:lpstr>Cashflow Analysis</vt:lpstr>
      <vt:lpstr>Operations Analysis</vt:lpstr>
      <vt:lpstr>Income Statement</vt:lpstr>
      <vt:lpstr>Balance Sheet</vt:lpstr>
      <vt:lpstr>Cashflow Statement</vt:lpstr>
      <vt:lpstr>'Company Overview'!Print_Area</vt:lpstr>
      <vt:lpstr>'Financial Analsysis'!Print_Area</vt:lpstr>
      <vt:lpstr>Rating</vt:lpstr>
    </vt:vector>
  </TitlesOfParts>
  <Company>PricewaterhouseCoopers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pramashala001</dc:creator>
  <cp:lastModifiedBy>Palesa Ramashala</cp:lastModifiedBy>
  <cp:lastPrinted>2017-12-23T16:52:11Z</cp:lastPrinted>
  <dcterms:created xsi:type="dcterms:W3CDTF">2009-01-23T10:19:39Z</dcterms:created>
  <dcterms:modified xsi:type="dcterms:W3CDTF">2019-10-06T17:57:17Z</dcterms:modified>
</cp:coreProperties>
</file>