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niversiteit working_2019\Rooi Mstick_31Okt2018\Sewes\Universiteit\Article_no2\South African Journal of Botany\Final\Reviewers\Revised documents_2\"/>
    </mc:Choice>
  </mc:AlternateContent>
  <xr:revisionPtr revIDLastSave="0" documentId="13_ncr:1_{27022DCF-0C04-42D5-A2A4-4CA0CB230EE6}" xr6:coauthVersionLast="47" xr6:coauthVersionMax="47" xr10:uidLastSave="{00000000-0000-0000-0000-000000000000}"/>
  <bookViews>
    <workbookView xWindow="-120" yWindow="-120" windowWidth="29040" windowHeight="15840" activeTab="2" xr2:uid="{74703032-3172-497D-BE71-CE6EB8BF29BD}"/>
  </bookViews>
  <sheets>
    <sheet name="Financial cost calculations" sheetId="1" r:id="rId1"/>
    <sheet name="Summary of Prices" sheetId="2" r:id="rId2"/>
    <sheet name="URL Pric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J160" i="2" l="1"/>
  <c r="J161" i="2"/>
  <c r="J162" i="2"/>
  <c r="J163" i="2"/>
  <c r="J164" i="2"/>
  <c r="J165" i="2"/>
  <c r="J166" i="2"/>
  <c r="J159" i="2"/>
  <c r="J172" i="2"/>
  <c r="J173" i="2"/>
  <c r="J174" i="2"/>
  <c r="J175" i="2"/>
  <c r="J177" i="2"/>
  <c r="J171" i="2"/>
  <c r="F175" i="2"/>
  <c r="G175" i="2" s="1"/>
  <c r="F178" i="2"/>
  <c r="G178" i="2" s="1"/>
  <c r="J178" i="2" s="1"/>
  <c r="F177" i="2"/>
  <c r="G177" i="2" s="1"/>
  <c r="F176" i="2"/>
  <c r="G176" i="2" s="1"/>
  <c r="J176" i="2" s="1"/>
  <c r="F174" i="2"/>
  <c r="G174" i="2" s="1"/>
  <c r="F173" i="2"/>
  <c r="G173" i="2" s="1"/>
  <c r="F172" i="2"/>
  <c r="G172" i="2" s="1"/>
  <c r="F171" i="2"/>
  <c r="G171" i="2" s="1"/>
  <c r="H171" i="2" l="1"/>
  <c r="I171" i="2" s="1"/>
  <c r="G86" i="2" l="1"/>
  <c r="E108" i="2"/>
  <c r="F108" i="2" s="1"/>
  <c r="E107" i="2"/>
  <c r="F107" i="2" s="1"/>
  <c r="E106" i="2"/>
  <c r="F106" i="2" s="1"/>
  <c r="E100" i="2"/>
  <c r="F100" i="2" s="1"/>
  <c r="E99" i="2"/>
  <c r="F99" i="2" s="1"/>
  <c r="E98" i="2"/>
  <c r="F98" i="2" s="1"/>
  <c r="E97" i="2"/>
  <c r="F97" i="2" s="1"/>
  <c r="E96" i="2"/>
  <c r="F96" i="2" s="1"/>
  <c r="E95" i="2"/>
  <c r="F95" i="2" s="1"/>
  <c r="E111" i="2"/>
  <c r="F111" i="2" s="1"/>
  <c r="E110" i="2"/>
  <c r="F110" i="2" s="1"/>
  <c r="E109" i="2"/>
  <c r="F109" i="2" s="1"/>
  <c r="B68" i="2"/>
  <c r="B67" i="2"/>
  <c r="B66" i="2"/>
  <c r="E66" i="2" s="1"/>
  <c r="F66" i="2" s="1"/>
  <c r="M63" i="1"/>
  <c r="B89" i="1"/>
  <c r="I73" i="1"/>
  <c r="H73" i="1"/>
  <c r="F162" i="2"/>
  <c r="G162" i="2" s="1"/>
  <c r="F159" i="2"/>
  <c r="G159" i="2" s="1"/>
  <c r="F166" i="2"/>
  <c r="G166" i="2" s="1"/>
  <c r="F165" i="2"/>
  <c r="G165" i="2" s="1"/>
  <c r="F164" i="2"/>
  <c r="G164" i="2" s="1"/>
  <c r="F163" i="2"/>
  <c r="G163" i="2" s="1"/>
  <c r="F161" i="2"/>
  <c r="G161" i="2" s="1"/>
  <c r="F160" i="2"/>
  <c r="G160" i="2" s="1"/>
  <c r="G149" i="2"/>
  <c r="G150" i="2"/>
  <c r="G151" i="2"/>
  <c r="G152" i="2"/>
  <c r="G153" i="2"/>
  <c r="G154" i="2"/>
  <c r="G155" i="2"/>
  <c r="G148" i="2"/>
  <c r="G138" i="2"/>
  <c r="G139" i="2"/>
  <c r="G140" i="2"/>
  <c r="G141" i="2"/>
  <c r="G142" i="2"/>
  <c r="G143" i="2"/>
  <c r="G144" i="2"/>
  <c r="G137" i="2"/>
  <c r="G87" i="2"/>
  <c r="G88" i="2"/>
  <c r="G82" i="2"/>
  <c r="G83" i="2"/>
  <c r="G81" i="2"/>
  <c r="E87" i="2"/>
  <c r="F87" i="2" s="1"/>
  <c r="E88" i="2"/>
  <c r="F88" i="2" s="1"/>
  <c r="E86" i="2"/>
  <c r="F86" i="2" s="1"/>
  <c r="E82" i="2"/>
  <c r="F82" i="2" s="1"/>
  <c r="E83" i="2"/>
  <c r="F83" i="2" s="1"/>
  <c r="E81" i="2"/>
  <c r="F81" i="2" s="1"/>
  <c r="E77" i="2"/>
  <c r="F77" i="2" s="1"/>
  <c r="E78" i="2"/>
  <c r="F78" i="2" s="1"/>
  <c r="E76" i="2"/>
  <c r="F76" i="2" s="1"/>
  <c r="E72" i="2"/>
  <c r="F72" i="2" s="1"/>
  <c r="E73" i="2"/>
  <c r="F73" i="2" s="1"/>
  <c r="E71" i="2"/>
  <c r="F71" i="2" s="1"/>
  <c r="E149" i="2"/>
  <c r="F149" i="2" s="1"/>
  <c r="E150" i="2"/>
  <c r="F150" i="2" s="1"/>
  <c r="E151" i="2"/>
  <c r="F151" i="2" s="1"/>
  <c r="E152" i="2"/>
  <c r="F152" i="2" s="1"/>
  <c r="E153" i="2"/>
  <c r="F153" i="2" s="1"/>
  <c r="E154" i="2"/>
  <c r="F154" i="2" s="1"/>
  <c r="E155" i="2"/>
  <c r="F155" i="2" s="1"/>
  <c r="E148" i="2"/>
  <c r="F148" i="2" s="1"/>
  <c r="E144" i="2"/>
  <c r="F144" i="2" s="1"/>
  <c r="E138" i="2"/>
  <c r="F138" i="2" s="1"/>
  <c r="E139" i="2"/>
  <c r="F139" i="2" s="1"/>
  <c r="E140" i="2"/>
  <c r="F140" i="2" s="1"/>
  <c r="E141" i="2"/>
  <c r="F141" i="2" s="1"/>
  <c r="E142" i="2"/>
  <c r="F142" i="2" s="1"/>
  <c r="E143" i="2"/>
  <c r="F143" i="2" s="1"/>
  <c r="E137" i="2"/>
  <c r="F137" i="2" s="1"/>
  <c r="E116" i="2"/>
  <c r="F116" i="2" s="1"/>
  <c r="E117" i="2"/>
  <c r="F117" i="2" s="1"/>
  <c r="E118" i="2"/>
  <c r="F118" i="2" s="1"/>
  <c r="E119" i="2"/>
  <c r="F119" i="2" s="1"/>
  <c r="E120" i="2"/>
  <c r="F120" i="2" s="1"/>
  <c r="E121" i="2"/>
  <c r="F121" i="2" s="1"/>
  <c r="E122" i="2"/>
  <c r="F122" i="2" s="1"/>
  <c r="E115" i="2"/>
  <c r="F115" i="2" s="1"/>
  <c r="E128" i="2"/>
  <c r="F128" i="2" s="1"/>
  <c r="E127" i="2"/>
  <c r="F127" i="2" s="1"/>
  <c r="E129" i="2"/>
  <c r="F129" i="2" s="1"/>
  <c r="E130" i="2"/>
  <c r="F130" i="2" s="1"/>
  <c r="E131" i="2"/>
  <c r="F131" i="2" s="1"/>
  <c r="E132" i="2"/>
  <c r="F132" i="2" s="1"/>
  <c r="E133" i="2"/>
  <c r="F133" i="2" s="1"/>
  <c r="E126" i="2"/>
  <c r="F126" i="2" s="1"/>
  <c r="C61" i="2"/>
  <c r="D61" i="2" s="1"/>
  <c r="C55" i="2"/>
  <c r="D55" i="2" s="1"/>
  <c r="C49" i="2"/>
  <c r="D49" i="2" s="1"/>
  <c r="C43" i="2"/>
  <c r="D43" i="2" s="1"/>
  <c r="C37" i="2"/>
  <c r="D37" i="2" s="1"/>
  <c r="C29" i="2"/>
  <c r="D29" i="2" s="1"/>
  <c r="C21" i="2"/>
  <c r="D21" i="2" s="1"/>
  <c r="C9" i="2"/>
  <c r="D9" i="2" s="1"/>
  <c r="B23" i="1"/>
  <c r="S78" i="1"/>
  <c r="N78" i="1"/>
  <c r="S74" i="1"/>
  <c r="N74" i="1"/>
  <c r="S64" i="1"/>
  <c r="N64" i="1"/>
  <c r="S54" i="1"/>
  <c r="N54" i="1"/>
  <c r="S44" i="1"/>
  <c r="N44" i="1"/>
  <c r="C23" i="2"/>
  <c r="D23" i="2" s="1"/>
  <c r="B46" i="1"/>
  <c r="B48" i="1"/>
  <c r="B47" i="1"/>
  <c r="B45" i="1"/>
  <c r="B24" i="1"/>
  <c r="C59" i="2"/>
  <c r="D59" i="2" s="1"/>
  <c r="C53" i="2"/>
  <c r="D53" i="2" s="1"/>
  <c r="C47" i="2"/>
  <c r="D47" i="2" s="1"/>
  <c r="C41" i="2"/>
  <c r="D41" i="2" s="1"/>
  <c r="C35" i="2"/>
  <c r="D35" i="2" s="1"/>
  <c r="C31" i="2"/>
  <c r="D31" i="2" s="1"/>
  <c r="C11" i="2"/>
  <c r="D11" i="2" s="1"/>
  <c r="N79" i="1"/>
  <c r="S79" i="1"/>
  <c r="S75" i="1"/>
  <c r="N75" i="1"/>
  <c r="S65" i="1"/>
  <c r="N65" i="1"/>
  <c r="S55" i="1"/>
  <c r="N55" i="1"/>
  <c r="S63" i="1"/>
  <c r="R63" i="1"/>
  <c r="S45" i="1"/>
  <c r="N45" i="1"/>
  <c r="B94" i="1"/>
  <c r="B93" i="1"/>
  <c r="B26" i="1"/>
  <c r="B25" i="1"/>
  <c r="S77" i="1"/>
  <c r="R77" i="1"/>
  <c r="N77" i="1"/>
  <c r="M77" i="1"/>
  <c r="N63" i="1"/>
  <c r="N53" i="1"/>
  <c r="M53" i="1"/>
  <c r="N43" i="1"/>
  <c r="M43" i="1"/>
  <c r="S53" i="1"/>
  <c r="R53" i="1"/>
  <c r="S43" i="1"/>
  <c r="R43" i="1"/>
  <c r="R28" i="1"/>
  <c r="M28" i="1"/>
  <c r="S14" i="1"/>
  <c r="R14" i="1"/>
  <c r="S4" i="1"/>
  <c r="R4" i="1"/>
  <c r="N4" i="1"/>
  <c r="M4" i="1"/>
  <c r="N14" i="1"/>
  <c r="M14" i="1"/>
  <c r="H72" i="1"/>
  <c r="H71" i="1"/>
  <c r="H70" i="1"/>
  <c r="H69" i="1"/>
  <c r="H68" i="1"/>
  <c r="H67" i="1"/>
  <c r="H66" i="1"/>
  <c r="H65" i="1"/>
  <c r="H64" i="1"/>
  <c r="H63" i="1"/>
  <c r="H62" i="1"/>
  <c r="H61" i="1"/>
  <c r="H60" i="1"/>
  <c r="H59" i="1"/>
  <c r="H58" i="1"/>
  <c r="H56" i="1"/>
  <c r="H57" i="1"/>
  <c r="H55" i="1"/>
  <c r="H54" i="1"/>
  <c r="H53" i="1"/>
  <c r="H52" i="1"/>
  <c r="D87" i="1"/>
  <c r="D86" i="1"/>
  <c r="D85" i="1"/>
  <c r="D83" i="1"/>
  <c r="D84"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I29" i="1"/>
  <c r="H37" i="1"/>
  <c r="H36" i="1"/>
  <c r="H35" i="1"/>
  <c r="H34" i="1"/>
  <c r="H33" i="1"/>
  <c r="H32" i="1"/>
  <c r="H15" i="1"/>
  <c r="H14" i="1"/>
  <c r="H13" i="1"/>
  <c r="D31" i="1"/>
  <c r="D30" i="1"/>
  <c r="D29" i="1"/>
  <c r="H12" i="1"/>
  <c r="H11" i="1"/>
  <c r="H10" i="1"/>
  <c r="H9" i="1"/>
  <c r="H8" i="1"/>
  <c r="H7" i="1"/>
  <c r="H6" i="1"/>
  <c r="H5" i="1"/>
  <c r="H4" i="1"/>
  <c r="D9" i="1"/>
  <c r="D8" i="1"/>
  <c r="D7" i="1"/>
  <c r="D6" i="1"/>
  <c r="D5" i="1"/>
  <c r="D4" i="1"/>
  <c r="E68" i="2" l="1"/>
  <c r="F68" i="2" s="1"/>
  <c r="E67" i="2"/>
  <c r="F67" i="2" s="1"/>
  <c r="H159" i="2"/>
  <c r="I159" i="2" s="1"/>
  <c r="I52" i="1"/>
  <c r="I64" i="1"/>
  <c r="I67" i="1"/>
  <c r="I55" i="1"/>
  <c r="I61" i="1"/>
  <c r="E67" i="1"/>
  <c r="E79" i="1"/>
  <c r="I58" i="1"/>
  <c r="I70" i="1"/>
  <c r="E52" i="1"/>
  <c r="E29" i="1"/>
  <c r="E85" i="1"/>
  <c r="E64" i="1"/>
  <c r="E82" i="1"/>
  <c r="E70" i="1"/>
  <c r="E61" i="1"/>
  <c r="E55" i="1"/>
  <c r="E76" i="1"/>
  <c r="E58" i="1"/>
  <c r="I13" i="1"/>
  <c r="E73" i="1"/>
  <c r="I35" i="1"/>
  <c r="E7" i="1"/>
  <c r="I32" i="1"/>
  <c r="I10" i="1"/>
  <c r="E4" i="1"/>
  <c r="I4" i="1"/>
  <c r="I7" i="1"/>
  <c r="B39" i="1" l="1"/>
</calcChain>
</file>

<file path=xl/sharedStrings.xml><?xml version="1.0" encoding="utf-8"?>
<sst xmlns="http://schemas.openxmlformats.org/spreadsheetml/2006/main" count="965" uniqueCount="464">
  <si>
    <t>Price per sample (ZAR)</t>
  </si>
  <si>
    <t>Consumables</t>
  </si>
  <si>
    <t>R 2399 (10 mL)</t>
  </si>
  <si>
    <t>R 16582 (100 mL)</t>
  </si>
  <si>
    <t>R 8803 (50 mL)</t>
  </si>
  <si>
    <t>R 514 (1 L)</t>
  </si>
  <si>
    <t>R 1037 (1 L)</t>
  </si>
  <si>
    <t>R 10300 (20 L)</t>
  </si>
  <si>
    <t>R 1578 (50 disposable 200MHz tubes)</t>
  </si>
  <si>
    <t>R 2325 (25 disposable 200MHz tubes)</t>
  </si>
  <si>
    <t>R 354 (5 disposable 200MHz tubes)</t>
  </si>
  <si>
    <t>Microcentrifuge tubes (1.5ml)</t>
  </si>
  <si>
    <t>R 255 (500/ pack)</t>
  </si>
  <si>
    <t>R 662 (1000/ pack)</t>
  </si>
  <si>
    <t>R 651 (1000/ pack)</t>
  </si>
  <si>
    <t>Pipette tips (1000 uL)</t>
  </si>
  <si>
    <t>R 4200 (5000/ pack)</t>
  </si>
  <si>
    <t>R 1193 (1000/ pack)</t>
  </si>
  <si>
    <t>R 671 (1000/ pack)</t>
  </si>
  <si>
    <t xml:space="preserve">Average Price (ZAR) </t>
  </si>
  <si>
    <t>Average price (ZAR)</t>
  </si>
  <si>
    <t>GC-MS</t>
  </si>
  <si>
    <t>R 899 (100/ pack)</t>
  </si>
  <si>
    <t>R 2012 (100/ pack)</t>
  </si>
  <si>
    <t xml:space="preserve">R 1762 (100/ pack) </t>
  </si>
  <si>
    <t>R 2417 (50/ pack)</t>
  </si>
  <si>
    <t xml:space="preserve">R 2835 (50/ pack) </t>
  </si>
  <si>
    <t>R 1273 (50/ pack)</t>
  </si>
  <si>
    <t>CTAB (Hexadecyltrimethylammonium bromide)</t>
  </si>
  <si>
    <t>PVP-40 (Polyvinylpyrrolidone 40000 mol wt)</t>
  </si>
  <si>
    <t>IAA (Isoamyl alcohol or 3-Methylbutanol)</t>
  </si>
  <si>
    <t>Agarose</t>
  </si>
  <si>
    <t>R 1461 (100 g)</t>
  </si>
  <si>
    <t>R 1647 (50 g)</t>
  </si>
  <si>
    <t>R 2118 (100 g)</t>
  </si>
  <si>
    <t>**20 mg per mL CTAB buffer</t>
  </si>
  <si>
    <t>R 773 (100 g)</t>
  </si>
  <si>
    <t>USD/ZAR</t>
  </si>
  <si>
    <t>EUR/ZAR</t>
  </si>
  <si>
    <t>*0,04 g per 1 mL extraction</t>
  </si>
  <si>
    <t>**0,04 g per sample</t>
  </si>
  <si>
    <t>R 297,55 (100 g)</t>
  </si>
  <si>
    <t>R 567,11 (100 g)</t>
  </si>
  <si>
    <t>R 3010 (1 L)</t>
  </si>
  <si>
    <t>R 1139 (1 L)</t>
  </si>
  <si>
    <t>*24:1 Chloroform: IAA</t>
  </si>
  <si>
    <t>R 894 (1 L)</t>
  </si>
  <si>
    <t>R 1445 (1 L)</t>
  </si>
  <si>
    <t>R 2105 (1 L)</t>
  </si>
  <si>
    <t>R 1373 (1 L)</t>
  </si>
  <si>
    <t xml:space="preserve">Chloroform (HPLC grade) </t>
  </si>
  <si>
    <t>R 1131 (500 g)</t>
  </si>
  <si>
    <t>R 1023 (500 g)</t>
  </si>
  <si>
    <t>R 1589 (500 g)</t>
  </si>
  <si>
    <t>Ammonium acetate (7.5M)</t>
  </si>
  <si>
    <t>*1 g AA/ 1.73 mL ddH2O (578 mg AA/ 1 mL ddH2O)</t>
  </si>
  <si>
    <t>Ethanol (HPLC grade)</t>
  </si>
  <si>
    <t>R 465 (500 mL)</t>
  </si>
  <si>
    <t>R 939 (1 L)</t>
  </si>
  <si>
    <t>R 6203 (20 L)</t>
  </si>
  <si>
    <t>Isopropanol or 2-Propanol</t>
  </si>
  <si>
    <t>R 1690 (1 L)</t>
  </si>
  <si>
    <t>R 678 (1 L)</t>
  </si>
  <si>
    <t>R 882 (1 L)</t>
  </si>
  <si>
    <t>ddH2O (Nuclease-Free; HPLC grade)</t>
  </si>
  <si>
    <t>R 1294 (1 L)</t>
  </si>
  <si>
    <t>R 594 (1 L)</t>
  </si>
  <si>
    <t>R 819 (1 L)</t>
  </si>
  <si>
    <t>Sephadex G-50 (DNA grade)</t>
  </si>
  <si>
    <t>*15 mL ddH2O/1 g Sephadex; 750 uL per sample</t>
  </si>
  <si>
    <t>R 1294 (10 g)</t>
  </si>
  <si>
    <t xml:space="preserve">R 3590 (25 g) </t>
  </si>
  <si>
    <t xml:space="preserve">R 1898 (25 g) </t>
  </si>
  <si>
    <t>*The mix contains dNTP's, Polymerase enzyme and appropriate buffer</t>
  </si>
  <si>
    <t>R 8138 (200 rxn's)</t>
  </si>
  <si>
    <t>R 6278 (250 rxn's)</t>
  </si>
  <si>
    <t>R 3081 (100 rxn's)</t>
  </si>
  <si>
    <t>*1 g per 50 mL CTAB buffer (1 mL per DNA extraction)</t>
  </si>
  <si>
    <t>**960 uL: 40 uL for 1 mL per DNA extraction</t>
  </si>
  <si>
    <t>**28 uL per sample (1000 uL/ 28 uL = 35,71; 578 mg/ 35,71 = 16,19 mg per DNA extraction</t>
  </si>
  <si>
    <t>*70% EtOH (2 mL per DNA extraction)</t>
  </si>
  <si>
    <t>**1.4 mL EtOH + 0.6 mL ddH2O = 2 mL (1 DNA extraction)</t>
  </si>
  <si>
    <t>**0,204 mL</t>
  </si>
  <si>
    <t xml:space="preserve">*204 uL Isopropanol per DNA extraction </t>
  </si>
  <si>
    <t>*DNA storage (100 uL) + 2 mL 70% EtOH (600 uL) + sequencing rxn (2,9 uL x 6 barcodes; 3 barcode pairs) + PCR rxn (9 uL x 3 barcode pairs) + G-50 cleanup PCR (750 uL x 3 barcode pairs) + G-50 cleanup sequencing (750 uL x 6 barcodes) = 7494,4 uL per plant sample (7,5 mL) (3 barcodes extracted and sequenced)</t>
  </si>
  <si>
    <t>**15 mL/0,75 mL = 20 samples; 1000 mg/20 = 50 mg Sephadex per clean; 3 cleaning steps per barcode (1 PCR &amp; 2 sequencing PCR) = 150 mg per barcode; 150 x 3 (barcodes) = 450 mg (3 barcodes extracted and sequenced)</t>
  </si>
  <si>
    <t>*Contains labelled dNTP's, Polymerase enzyme and buffers</t>
  </si>
  <si>
    <t>R 37731 (4 mL)</t>
  </si>
  <si>
    <t>R 13107,50 (0,8 mL)</t>
  </si>
  <si>
    <t>**1 uL per cycle sequencing rxn (1 uL x 2 (F&amp;R) = 2 uL per barcode; 2 x 3 (barcodes) = 6 uL per plant sample</t>
  </si>
  <si>
    <t>R 18883,86 (0,8 mL)</t>
  </si>
  <si>
    <t>BigDye v3.1 Cycle Sequencing mix (2 rxn's per barcode - Forward &amp; Reverse sequences)</t>
  </si>
  <si>
    <t>**3 rxn's per plant sample (3 barcodes)</t>
  </si>
  <si>
    <t>*0,5 g per 50 mL Borax or TMS electrophoresis buffer (1 gel)</t>
  </si>
  <si>
    <t>R 882 (10 g)</t>
  </si>
  <si>
    <t>R 9012 (100 g)</t>
  </si>
  <si>
    <t>R 4509 (100 g)</t>
  </si>
  <si>
    <t>**10 samples (DNA quanitification or PCR product) per gel; 0,5 g/10 samples = 0,05 g per sample; 0,05 g x 4 (1 DNA quantification + 3 barcode PCR products) = 0,2 g per plant sample (3 barcodes)</t>
  </si>
  <si>
    <t>Microcentrifuge tubes (0.2ml)</t>
  </si>
  <si>
    <t>Microcentrifuge tubes (0.5ml)</t>
  </si>
  <si>
    <t>Pipette tips (200 uL)</t>
  </si>
  <si>
    <t>Pipette tips (10 uL)</t>
  </si>
  <si>
    <t>Micro spin columns</t>
  </si>
  <si>
    <t>R 1008 (1000/ pack)</t>
  </si>
  <si>
    <t>R 993 (1000/ pack)</t>
  </si>
  <si>
    <t>R 900 (1000/ pack)</t>
  </si>
  <si>
    <t>R 692 (1000/ pack)</t>
  </si>
  <si>
    <t>R 1620 (1000/ pack)</t>
  </si>
  <si>
    <t>R 2503 (10000/ pack)</t>
  </si>
  <si>
    <t>R 307 (1000/ pack)</t>
  </si>
  <si>
    <t>R 11750 (15000/ pack)</t>
  </si>
  <si>
    <t>R 5226 (5000/ pack)</t>
  </si>
  <si>
    <t>R 1747 (1000/ pack)</t>
  </si>
  <si>
    <t xml:space="preserve">R 531 (1000/ pack) </t>
  </si>
  <si>
    <t>R 3354 (50/ pack)</t>
  </si>
  <si>
    <t xml:space="preserve">R 3598 (50/ pack) </t>
  </si>
  <si>
    <t xml:space="preserve">R 3673 (50/ pack) </t>
  </si>
  <si>
    <t xml:space="preserve">*2 tubes per DNA extraction, 1 per cleanup (PCR), 2 per cleanup (sequencing PCR x 2 for both primers) </t>
  </si>
  <si>
    <t>**2+1+(2x3(barcodes))=9 per plant sample</t>
  </si>
  <si>
    <t>*1 per PCR, 2 per sequencing PCR's</t>
  </si>
  <si>
    <t>**3 tubes per plant sample</t>
  </si>
  <si>
    <t>R 2309 (1000/ pack)</t>
  </si>
  <si>
    <t>*2 per barcode (forward &amp; reverse)</t>
  </si>
  <si>
    <t>*12 per DNA extraction, 1 per PCR cleanup, 2 per sequencing PCR cleanup (1 barcode)</t>
  </si>
  <si>
    <t>**12+1+(2x3(barcodes))=19 per plant sample</t>
  </si>
  <si>
    <t>*2 per barcode pair</t>
  </si>
  <si>
    <t>**2 x 3(barcodes) = 6</t>
  </si>
  <si>
    <t>*5 per PCR, 5 per sequencing PCR (1 barcode)</t>
  </si>
  <si>
    <t>**5 + (5 x 2(F&amp;R) x 3(barcodes)) = 35 per plant sample</t>
  </si>
  <si>
    <t>**Reusable columns</t>
  </si>
  <si>
    <t>*2 per plant sample</t>
  </si>
  <si>
    <t>*1 mL per sample</t>
  </si>
  <si>
    <t xml:space="preserve">Methanol - d4 </t>
  </si>
  <si>
    <t>*300 mL per sample</t>
  </si>
  <si>
    <t xml:space="preserve">Methanol - HPLC grade </t>
  </si>
  <si>
    <t>*1 tube per sample (disposable)</t>
  </si>
  <si>
    <t xml:space="preserve">NMR tubes </t>
  </si>
  <si>
    <t>*1 per sample</t>
  </si>
  <si>
    <t xml:space="preserve">Microcentrifuge tubes (1.5ml) </t>
  </si>
  <si>
    <t>*3 per sample</t>
  </si>
  <si>
    <t xml:space="preserve">0.45 micron syringe filters  </t>
  </si>
  <si>
    <t xml:space="preserve">Pipette tips (1000 uL) </t>
  </si>
  <si>
    <t xml:space="preserve">GC-MS vials (2 mL) &amp; caps </t>
  </si>
  <si>
    <t>Price (ZAR)</t>
  </si>
  <si>
    <t>Disclaimer: The cost of running and maintaining the different instruments used during sample preperation and analysis were not included in the calculations. Furthermore, these prices are intended for research purposes and can change depending on many factors. This is purely intended for comparitive purposes.</t>
  </si>
  <si>
    <r>
      <rPr>
        <b/>
        <vertAlign val="superscript"/>
        <sz val="12"/>
        <color theme="1"/>
        <rFont val="Calibri"/>
        <family val="2"/>
        <scheme val="minor"/>
      </rPr>
      <t>1</t>
    </r>
    <r>
      <rPr>
        <b/>
        <sz val="12"/>
        <color theme="1"/>
        <rFont val="Calibri"/>
        <family val="2"/>
        <scheme val="minor"/>
      </rPr>
      <t>H-NMR</t>
    </r>
  </si>
  <si>
    <t>*Untargeted methanolic proton NMR</t>
  </si>
  <si>
    <t>*Untargeted methanolic GC-MS</t>
  </si>
  <si>
    <r>
      <t>*3 barcode regions (</t>
    </r>
    <r>
      <rPr>
        <i/>
        <sz val="11"/>
        <color theme="1"/>
        <rFont val="Calibri"/>
        <family val="2"/>
        <scheme val="minor"/>
      </rPr>
      <t>rbcL, matK, trnH-psbA)</t>
    </r>
  </si>
  <si>
    <t xml:space="preserve">DNA barcoding (Sanger Sequencing) </t>
  </si>
  <si>
    <t>R 722,00 per hour</t>
  </si>
  <si>
    <t>R 963,00 per hour</t>
  </si>
  <si>
    <t>Facility &amp; commercial analysis cost (ZAR)</t>
  </si>
  <si>
    <t>Cost for initial interpretation of the data (ZAR)</t>
  </si>
  <si>
    <t>Central Analytical Facility (CAF - Stellenbosh University)</t>
  </si>
  <si>
    <t xml:space="preserve">Commercial prices for analyses </t>
  </si>
  <si>
    <t>Rand (ZAR) value of consumable/ reagent/ facility use</t>
  </si>
  <si>
    <t>Process NMR Associates, LLC (New York, USA)</t>
  </si>
  <si>
    <t>R 3682,50 per hour</t>
  </si>
  <si>
    <t xml:space="preserve">R 1178,40 per hour </t>
  </si>
  <si>
    <t>Average cost (ZAR) - Analysis</t>
  </si>
  <si>
    <t>Average cost (ZAR) - Interpretation</t>
  </si>
  <si>
    <t>R 545,68 per hour</t>
  </si>
  <si>
    <t>Mass spectrometry (GC-MS) - Cornell Institute of Biotechnology (USA)</t>
  </si>
  <si>
    <t>Facility &amp; commercial analysis cost (ZAR) - Analysis setup</t>
  </si>
  <si>
    <t>R 3535,2 once off</t>
  </si>
  <si>
    <t>Facility &amp; commercial analysis cost (ZAR) - Sample analysis</t>
  </si>
  <si>
    <t>R 2356,8 per hour</t>
  </si>
  <si>
    <t>R 9427,2 once off</t>
  </si>
  <si>
    <t>R 9223,31 once off</t>
  </si>
  <si>
    <t>Mass spectrometry (GC-MS) - Montana State University (USA)</t>
  </si>
  <si>
    <t>R 736,50 per sample</t>
  </si>
  <si>
    <t>Mass spectrometry (GC-MS) - Queen Mary University of London (UK)</t>
  </si>
  <si>
    <t>GBP/ZAR</t>
  </si>
  <si>
    <t>R 381,10 per sample</t>
  </si>
  <si>
    <t>PCR mix (1 rxn per barcode - 3 barcodes)</t>
  </si>
  <si>
    <t>African Centre for DNA Barcoding (ACDB)</t>
  </si>
  <si>
    <t>Canadian Centre for DNA barcoding (CCDB)</t>
  </si>
  <si>
    <t>Plant barcoding (matK &amp; rbcL)</t>
  </si>
  <si>
    <t>R 450 per sample</t>
  </si>
  <si>
    <t>Additional barcode</t>
  </si>
  <si>
    <t>R 276,19 per sample</t>
  </si>
  <si>
    <t>R 5038,08 per report</t>
  </si>
  <si>
    <t xml:space="preserve">Total price per sample preparation and in house sequencing of 3 barcodes (ZAR) </t>
  </si>
  <si>
    <t>Price (ZAR) - 3 product brands</t>
  </si>
  <si>
    <t>R 883,8 once off</t>
  </si>
  <si>
    <t>R 618,00 once off</t>
  </si>
  <si>
    <t>R 153,44 per barcode</t>
  </si>
  <si>
    <t>Solvents and Reagents</t>
  </si>
  <si>
    <t>Additional analytical tests</t>
  </si>
  <si>
    <t xml:space="preserve">HPLC </t>
  </si>
  <si>
    <t>LC-MS</t>
  </si>
  <si>
    <t>R 1596,86 per sample</t>
  </si>
  <si>
    <t>R 9223,31 per project</t>
  </si>
  <si>
    <t>Cornell Instatute of Biotechnology</t>
  </si>
  <si>
    <t xml:space="preserve">Louisiana State University </t>
  </si>
  <si>
    <t>Queen Mary University of London</t>
  </si>
  <si>
    <t>University of Idaho</t>
  </si>
  <si>
    <t>MALDI</t>
  </si>
  <si>
    <t>R 353.20 per hour</t>
  </si>
  <si>
    <t>R 3535,2 per report</t>
  </si>
  <si>
    <t>R 206 per hour</t>
  </si>
  <si>
    <t>R 618 per project</t>
  </si>
  <si>
    <t>R 2356,80 per hour</t>
  </si>
  <si>
    <t>R 4713,60 per project</t>
  </si>
  <si>
    <t>R 1590,84 per hour</t>
  </si>
  <si>
    <t>R 633,39 per hour</t>
  </si>
  <si>
    <t xml:space="preserve">External Academic prices for analyses </t>
  </si>
  <si>
    <t>R 545,00 per hour</t>
  </si>
  <si>
    <t>R 480,00 per hour</t>
  </si>
  <si>
    <t>NMR facility Ohio State University (600MHz)</t>
  </si>
  <si>
    <t>R 1053,20 per hour</t>
  </si>
  <si>
    <t>R 2025,38 per hour</t>
  </si>
  <si>
    <t>R 182,65 per hour</t>
  </si>
  <si>
    <t>R 846,98 per hour</t>
  </si>
  <si>
    <t>Montana State University (600MHz)</t>
  </si>
  <si>
    <t xml:space="preserve">R 736,50 per hour </t>
  </si>
  <si>
    <t>R 515,55 per hour</t>
  </si>
  <si>
    <t>R 338,00 per hour</t>
  </si>
  <si>
    <t>R 5049,00 once off</t>
  </si>
  <si>
    <t>R 2209,50 once off</t>
  </si>
  <si>
    <t>R 1473,00 per hour</t>
  </si>
  <si>
    <t>R 5892,00 once off</t>
  </si>
  <si>
    <t>R 368,25 per sample</t>
  </si>
  <si>
    <t>R 450,00 per sample</t>
  </si>
  <si>
    <t>R 230,32 per additional barcode</t>
  </si>
  <si>
    <t>Cornell Instatute of Biotechnology - Sequencing</t>
  </si>
  <si>
    <t>University of Maryland - Sequencing</t>
  </si>
  <si>
    <t xml:space="preserve">DNA barcoding (DNA extraction, PCR, Sequencing - bidirectional) </t>
  </si>
  <si>
    <t>R 638,40 per barcode</t>
  </si>
  <si>
    <t>R 1276,80 per sample</t>
  </si>
  <si>
    <t>R 574,47 per barcode</t>
  </si>
  <si>
    <t>R 1148,94 per sample</t>
  </si>
  <si>
    <t>R 403,16 per barcode</t>
  </si>
  <si>
    <t>R 806,32 per sample</t>
  </si>
  <si>
    <t>R 506,42 per sample</t>
  </si>
  <si>
    <t>R 412,44 per barcode</t>
  </si>
  <si>
    <t>R 824,88 per sample</t>
  </si>
  <si>
    <t>R 2946,00 per project</t>
  </si>
  <si>
    <t>R 220,95 per hour</t>
  </si>
  <si>
    <t>R 2209,5 per report</t>
  </si>
  <si>
    <t>Washington State University</t>
  </si>
  <si>
    <t>R 165,71 per hour</t>
  </si>
  <si>
    <t>R 1767,6 per report</t>
  </si>
  <si>
    <t>R 530,28 per hour</t>
  </si>
  <si>
    <t xml:space="preserve">Montana State University </t>
  </si>
  <si>
    <t>R 441,9 per hour</t>
  </si>
  <si>
    <t>R 883,8 per project</t>
  </si>
  <si>
    <t>UV-Vis</t>
  </si>
  <si>
    <t>R 73,65 per hour</t>
  </si>
  <si>
    <t>ESI-MS</t>
  </si>
  <si>
    <t>Idaho University</t>
  </si>
  <si>
    <t>Total price (ZAR) for 10 samples at 30 min/ sample (5 hours/ 10 samples) - Commercial</t>
  </si>
  <si>
    <t>R 984,53 per hour</t>
  </si>
  <si>
    <t>R 2223,63 per hour</t>
  </si>
  <si>
    <t>Average facility &amp; analysis cost (ZAR) - Academic rates</t>
  </si>
  <si>
    <t>Average cost for initial interpretation of the data (ZAR) - Academic rates</t>
  </si>
  <si>
    <t>Average facility &amp; analysis cost (ZAR) - Commercial rates</t>
  </si>
  <si>
    <t>Average cost for initial interpretation of the data (ZAR) - Commercial rates</t>
  </si>
  <si>
    <t>R 488,50 per hour</t>
  </si>
  <si>
    <t>R 614,18 per hour</t>
  </si>
  <si>
    <t>Total price (ZAR) for 10 samples at 30 min/ sample (5 hours/ 10 samples) - Academic rates</t>
  </si>
  <si>
    <t>R 3110,70 per report</t>
  </si>
  <si>
    <t>R 1005,02 per sample</t>
  </si>
  <si>
    <t>R 640,06 per sample</t>
  </si>
  <si>
    <t>Average price per sample preparation and sequencing of 3 barcodes (ZAR) - Academic rates</t>
  </si>
  <si>
    <t>Average price per sample preparation and sequencing of 3 barcodes (ZAR) - Commercial rates</t>
  </si>
  <si>
    <t>R 893,88 per sample</t>
  </si>
  <si>
    <t>R 1244,70 per sample</t>
  </si>
  <si>
    <t>Total price (ZAR) for 10 samples  (3 barcodes bidirectional) - Academic rates</t>
  </si>
  <si>
    <t>Total price (ZAR) for 10 samples  (3 barcodes bidirectional) - Commercial rates</t>
  </si>
  <si>
    <t>Exchange rates used (15/08/2021)</t>
  </si>
  <si>
    <t>Total price (ZAR) for 10 samples at 30 min/ sample (5 hours/ 10 HPLC samples) - Commercial rates</t>
  </si>
  <si>
    <t>Total price (ZAR) for 10 samples at 30 min/ sample (5 hours/ 10 HPLC samples) - Academic rates</t>
  </si>
  <si>
    <t>Total price (ZAR) for 10 samples at 30 min/ sample (5 hours/ 10 LC-MS samples) - Commercial rates</t>
  </si>
  <si>
    <t>Total price (ZAR) for 10 samples at 30 min/ sample (5 hours/ 10 LC-MS samples) - Academic rates</t>
  </si>
  <si>
    <t>Total price (ZAR) for 10 samples at 30 min/ sample (5 hours/ 10 MALDI samples) - Academic rates</t>
  </si>
  <si>
    <t>Total price (ZAR) for 10 samples at 30 min/ sample (5 hours/ 10 MALDI samples) - Commercial rates</t>
  </si>
  <si>
    <t>Total price (ZAR) for 10 samples at 30 min/ sample (5 hours/ 10 UV-Vis samples) - Commercial rates</t>
  </si>
  <si>
    <t>Total price (ZAR) for 10 samples at 30 min/ sample (5 hours/ 10 UV-Vis samples) - Academic rates</t>
  </si>
  <si>
    <t>Total price (ZAR) for 10 samples at 30 min/ sample (5 hours/ 10 ESI-MS samples) - Commercial rates</t>
  </si>
  <si>
    <t>Total price (ZAR) for 10 samples at 30 min/ sample (5 hours/ 10 ESI-MS samples) - Academic rates</t>
  </si>
  <si>
    <t>R 648,12 per hour</t>
  </si>
  <si>
    <t>R 412 per hour</t>
  </si>
  <si>
    <t>R 338,79 per hour</t>
  </si>
  <si>
    <t>Total price per sample preparation (ZAR) - GC-MS</t>
  </si>
  <si>
    <t>Total price per sample preparation (ZAR) - NMR</t>
  </si>
  <si>
    <t>HPLC</t>
  </si>
  <si>
    <t>R 512,46 per sample</t>
  </si>
  <si>
    <t>R 10638,00 per 10 samples</t>
  </si>
  <si>
    <t>R 21165,40 per 10 samples</t>
  </si>
  <si>
    <t>R 268,38 per sample</t>
  </si>
  <si>
    <t>R 8938,80 per 10 samples</t>
  </si>
  <si>
    <t>R 12447,00 per 10 samples</t>
  </si>
  <si>
    <t>R 6158,4 per 10 samples</t>
  </si>
  <si>
    <t>R 5203,3 per 10 samples</t>
  </si>
  <si>
    <t>R 16781,42 per 10 samples</t>
  </si>
  <si>
    <t>R 12951,62 per 10 samples</t>
  </si>
  <si>
    <t>R 10267,05 per 10 samples</t>
  </si>
  <si>
    <t>R 7216,05 per 10 samples</t>
  </si>
  <si>
    <t>R 4617,1 per 10 samples</t>
  </si>
  <si>
    <t>R 3880,6 per 10 samples</t>
  </si>
  <si>
    <t>R 11485 per 10 samples</t>
  </si>
  <si>
    <t>R 8354,9 per 10 samples</t>
  </si>
  <si>
    <t xml:space="preserve">Alalysis </t>
  </si>
  <si>
    <t>(%)</t>
  </si>
  <si>
    <r>
      <t xml:space="preserve">Total price per sample preparation </t>
    </r>
    <r>
      <rPr>
        <b/>
        <sz val="11"/>
        <color theme="1"/>
        <rFont val="Calibri"/>
        <family val="2"/>
        <scheme val="minor"/>
      </rPr>
      <t>and</t>
    </r>
    <r>
      <rPr>
        <sz val="11"/>
        <color theme="1"/>
        <rFont val="Calibri"/>
        <family val="2"/>
        <scheme val="minor"/>
      </rPr>
      <t xml:space="preserve"> in house sequencing of 3 barcodes (ZAR) </t>
    </r>
  </si>
  <si>
    <t>Percentage (%) - Commercial VS Academic rates</t>
  </si>
  <si>
    <t>Total price per sample preparation and analysis in house (ZAR) - NMR</t>
  </si>
  <si>
    <t>Total price per sample preparation and analysis in house (ZAR) - GC-MS</t>
  </si>
  <si>
    <t>Academic - The cost of analysis and interpretation if the work is related to academia</t>
  </si>
  <si>
    <t>Commercial - The cost of analysis and interpretation if the work is not academically related</t>
  </si>
  <si>
    <t>In house - The cost of sample preperation, analysis and interpretation of the data by the user without specific assistance and excluding maintanance costs</t>
  </si>
  <si>
    <t>Facility &amp; Academic analysis cost (ZAR)</t>
  </si>
  <si>
    <t>Facility &amp; Academic analysis cost (ZAR) - Analysis setup</t>
  </si>
  <si>
    <t>Facility &amp; Academic analysis cost (ZAR) - Sample analysis</t>
  </si>
  <si>
    <t>Average facility &amp; analysis cost for 1 sample per 30 min (ZAR) - Academic rates (Excluding data interpretation)</t>
  </si>
  <si>
    <t>Average facility &amp; analysis cost for 1 sample per 30 min (ZAR) - Commercial rates (Excluding data interpretation)</t>
  </si>
  <si>
    <t>R 12195,10 per 10 samples</t>
  </si>
  <si>
    <t>R 17772,08 per 10 samples</t>
  </si>
  <si>
    <t>Total price (ZAR) for 1 samples at 30 min/ sample excluding data interpretation - Commercial rates</t>
  </si>
  <si>
    <t>Total price (ZAR) for 1 samples at 30 min/ sample excluding data interpretation - Academic rates</t>
  </si>
  <si>
    <t>R 756,71 per sample (30 min)</t>
  </si>
  <si>
    <t>R 1004,73 per sample (30 min)</t>
  </si>
  <si>
    <t>R 908,44 per sample (30 min)</t>
  </si>
  <si>
    <t>R 1273,4 per sample (30 min)</t>
  </si>
  <si>
    <t>R 408,18 per sample</t>
  </si>
  <si>
    <t>R 710,21 per sample</t>
  </si>
  <si>
    <t>R 499,08 per sample</t>
  </si>
  <si>
    <t>R 367,16 per sample</t>
  </si>
  <si>
    <t>R 1192,47 per sample</t>
  </si>
  <si>
    <t>R 868,41 per sample</t>
  </si>
  <si>
    <t>R 378,86 per sample</t>
  </si>
  <si>
    <t>R 305,21 per sample</t>
  </si>
  <si>
    <t>R 828,12 per sample</t>
  </si>
  <si>
    <t>R 515,11 per sample</t>
  </si>
  <si>
    <t>NMR</t>
  </si>
  <si>
    <r>
      <t xml:space="preserve">Comparison of the rates of different methods per </t>
    </r>
    <r>
      <rPr>
        <b/>
        <i/>
        <sz val="11"/>
        <color theme="1"/>
        <rFont val="Calibri"/>
        <family val="2"/>
        <scheme val="minor"/>
      </rPr>
      <t>10 samples</t>
    </r>
  </si>
  <si>
    <t>DNA barcoding</t>
  </si>
  <si>
    <t>Academic rates sorted from lowest to highest (10 sample average)</t>
  </si>
  <si>
    <t>Commercial rates sorted lowest to highest (10 sample average)</t>
  </si>
  <si>
    <t>Total price (ZAR) for 10 samples at 30 min/ sample (5 hours/ 10 GC-MS samples) - Academic rates</t>
  </si>
  <si>
    <t>Total price (ZAR) for 10 samples at 30 min/ sample (5 hours/ 10 NMR samples) - Academic rates</t>
  </si>
  <si>
    <t>Total price (ZAR) for 10 samples at 30 min/ sample (5 hours/ 10 NMR samples) - Commercial</t>
  </si>
  <si>
    <t>Total price (ZAR) for 10 samples at 30 min/ sample (5 hours/ 10 GC-MS samples) - Commercial</t>
  </si>
  <si>
    <t>%  (rounded)*</t>
  </si>
  <si>
    <t>(UV-Vis / UV-VIS)*100</t>
  </si>
  <si>
    <t>(HPLC / UV-VIS)*100</t>
  </si>
  <si>
    <t>(MALDI-MS / UV-VIS)*100</t>
  </si>
  <si>
    <t>(ESI-MS / UV-VIS)*100</t>
  </si>
  <si>
    <t>(DNA barcoding / UV-VIS)*100</t>
  </si>
  <si>
    <t>(H-NMR / UV-VIS)*100</t>
  </si>
  <si>
    <t>(GC-MS / UV-VIS)*100</t>
  </si>
  <si>
    <t>(LC-MS / UV-VIS)*100</t>
  </si>
  <si>
    <t xml:space="preserve">* The values in the '%  (rounded)' column represents the % difference between the two methods e.g., (LC-MS / UV-Vis)*100 has a value of 334, indicating that LC-MS is 334% more expensive compared to UV-Vis at academic rates. </t>
  </si>
  <si>
    <t>(DNA barcoding / DNA barcoding)*100</t>
  </si>
  <si>
    <t>(H-NMR / DNA barcoding)*100</t>
  </si>
  <si>
    <t>(GC-MS / DNA barcoding)*100</t>
  </si>
  <si>
    <t>Financial cost comparrison of the three methods investigated for plant identification (10 sample average) - Academic rates</t>
  </si>
  <si>
    <t>Financial cost comparrison of the three methods investigated for plant identification (10 sample average) - Commercial rates</t>
  </si>
  <si>
    <t>(H-NMR / H-NMR)*100</t>
  </si>
  <si>
    <t>(DNA barcoding / H-NMR)*100</t>
  </si>
  <si>
    <t>(GC-MS / H-NMR)*100</t>
  </si>
  <si>
    <t>Financial cost comparrison of the three methods investigated for plant identification (1 sample excluding data interpretation) - Academic rates</t>
  </si>
  <si>
    <t>Financial cost comparrison of the three methods investigated for plant identification (1 sample excluding data interpretation) - Commercial rates</t>
  </si>
  <si>
    <t>Price per 10 samples excluding data interpretation</t>
  </si>
  <si>
    <t>Full service price per 10 samples</t>
  </si>
  <si>
    <r>
      <t xml:space="preserve">Comparison of the rates between full service and data generation only of different methods per </t>
    </r>
    <r>
      <rPr>
        <b/>
        <i/>
        <sz val="11"/>
        <color theme="1"/>
        <rFont val="Calibri"/>
        <family val="2"/>
        <scheme val="minor"/>
      </rPr>
      <t>10 samples</t>
    </r>
  </si>
  <si>
    <t>Average % difference of all techniques</t>
  </si>
  <si>
    <t>Primers (100 nmole Oligo, 10-90 bases) from IDT</t>
  </si>
  <si>
    <t>R 13,61 per base. 27bp primer = R 367,47</t>
  </si>
  <si>
    <t>*Stock primers are diluted from 100mM/ mL to 10mM/ 100uL (X 100 aliqots or 10mL primer stock), 1.25 uL per PCR and 1.6 uL per sequencing PCR - Enough for 3590 samples single direction (1795 bidirectional rxn's)</t>
  </si>
  <si>
    <t>**1,25 x 2(F&amp;R PCR) + 1.6 x 2(F&amp;R sequencing) = 5,7 uL per plant sample. 10mL / 5,7uL = 1754 samples (single barcode)</t>
  </si>
  <si>
    <t>R 486,07 per sample</t>
  </si>
  <si>
    <t>MALDI-MS</t>
  </si>
  <si>
    <t xml:space="preserve">Note: All of the prices for the additional analyses includes a sample preperation cost of R 268,83 </t>
  </si>
  <si>
    <t>Financial cost comparrison of the three methods investigated for plant identification (10 sample average) - In-house rates</t>
  </si>
  <si>
    <t>Total price (ZAR) for 10 samples at 30 min/ sample (5 hours/ 10 GC-MS samples) - In-house rates</t>
  </si>
  <si>
    <t>Total price (ZAR) for 10 samples  (3 barcodes bidirectional) - In-house rates</t>
  </si>
  <si>
    <t>Total price (ZAR) for 10 samples at 30 min/ sample (5 hours/ 10 NMR samples) - In-house rates</t>
  </si>
  <si>
    <t>H-NMR</t>
  </si>
  <si>
    <t>(GC-MS/GC-MS)*100</t>
  </si>
  <si>
    <t>(DNA barcoding/GC-MS)*100</t>
  </si>
  <si>
    <t>(H-NMR/GC-MS)*100</t>
  </si>
  <si>
    <t>NA</t>
  </si>
  <si>
    <t>(H-NMR/In-house H-NMR)*100</t>
  </si>
  <si>
    <t>(GC-MS/In-house GC-MS)*100</t>
  </si>
  <si>
    <t>(DNA barcoding/In-house DNA bar)*100</t>
  </si>
  <si>
    <t>Financial cost comparrison of the three methods investigated for plant identification (10 sample average) - In-house VS academic and commercial rates</t>
  </si>
  <si>
    <t>Half-service - Excluding initial data interpretation or report generation</t>
  </si>
  <si>
    <t>Full-service - Including initial data interpretation or report generation by the facility</t>
  </si>
  <si>
    <t>Total price (ZAR) for 1 samples at 30 min/ sample (half-service) - Academic rates</t>
  </si>
  <si>
    <t>Total price (ZAR) for 1 samples at 30 min/ sample (half-service)- Commercial rates</t>
  </si>
  <si>
    <t>Total price (ZAR) for 1 samples at 30 min/ sample (half-service) - Commercial rates</t>
  </si>
  <si>
    <t>Price per 10 samples excluding data interpretation (half-service)</t>
  </si>
  <si>
    <t>Price per 1 sample excluding data interpretation (half-service)</t>
  </si>
  <si>
    <t>Commercial rates sorted lowest to highest (1 sample excluding data interpretation) (half-service)</t>
  </si>
  <si>
    <t>Total price (ZAR) for 10 samples at 30 min/ sample (5 hours/ 10 samples) (full-service)  - Academic rates</t>
  </si>
  <si>
    <t>Total price (ZAR) for 10 samples at 30 min/ sample (5 hours/ 10 samples) (full-service) - Commercial</t>
  </si>
  <si>
    <t>Total price (ZAR) for 10 samples at 30 min/ sample (5 hours/ 10 samples) (full-service) - Academic rates</t>
  </si>
  <si>
    <t>Total price (ZAR) for 10 samples at 30 min/ sample (5 hours/ 10 HPLC samples) (full-service) - Commercial rates</t>
  </si>
  <si>
    <t>Total price (ZAR) for 10 samples at 30 min/ sample (5 hours/ 10 HPLC samples) (full-service) - Academic rates</t>
  </si>
  <si>
    <t>Total price (ZAR) for 10 samples at 30 min/ sample (5 hours/ 10 LC-MS samples) (full-service) - Commercial rates</t>
  </si>
  <si>
    <t>Total price (ZAR) for 10 samples at 30 min/ sample (5 hours/ 10 LC-MS samples) (full-service) - Academic rates</t>
  </si>
  <si>
    <t>Total price (ZAR) for 10 samples at 30 min/ sample (5 hours/ 10 MALDI samples) (full-service) - Commercial rates</t>
  </si>
  <si>
    <t>Total price (ZAR) for 10 samples at 30 min/ sample (5 hours/ 10 MALDI samples) (full-service) - Academic rates</t>
  </si>
  <si>
    <t>Total price (ZAR) for 10 samples at 30 min/ sample (5 hours/ 10 UV-Vis samples) (full-service) - Commercial rates</t>
  </si>
  <si>
    <t>Total price (ZAR) for 10 samples at 30 min/ sample (5 hours/ 10 UV-Vis samples) (full-service) - Academic rates</t>
  </si>
  <si>
    <t>Total price (ZAR) for 10 samples at 30 min/ sample (5 hours/ 10 ESI-MS samples) (full-service) - Commercial rates</t>
  </si>
  <si>
    <t>Total price (ZAR) for 10 samples at 30 min/ sample (5 hours/ 10 ESI-MS samples) (full-service) - Academic rates</t>
  </si>
  <si>
    <t>Financial cost comparrison of the three methods investigated for plant identification (10 sample average) - In-house VS academic and commercial rates (full-service)</t>
  </si>
  <si>
    <t>Price per 10 samples including academic and commercial data interpretation (full-service)</t>
  </si>
  <si>
    <t>Cost comparrison between full-service analysis and half-service (excluding method development, interpretation and report generation) - Academic rates</t>
  </si>
  <si>
    <t>UV-Vis - (Full service / half-service)*100</t>
  </si>
  <si>
    <t>HPLC - (Full service / half-service)*100</t>
  </si>
  <si>
    <t>MALDI - (Full service / half-service)*100</t>
  </si>
  <si>
    <t>ESI-MS - (Full service / half-service)*100</t>
  </si>
  <si>
    <t>DNA barcoding - (Full service / half-service)*100</t>
  </si>
  <si>
    <t>H-NMR - (Full service / half-service)*100</t>
  </si>
  <si>
    <t>GC-MS - (Full service / half-service)*100</t>
  </si>
  <si>
    <t>LC-MS - (Full service / half-service)*100</t>
  </si>
  <si>
    <t>Cost comparrison between full-service analysis and half-service (excluding method development, interpretation and report generation) - Commercial rates</t>
  </si>
  <si>
    <t>Total price (ZAR) for 10 samples at 30 min/ sample (5 hours/ 10 HPLC samples) -  Commercial rates</t>
  </si>
  <si>
    <t>Total price (ZAR) for 10 samples at 30 min/ sample (5 hours/ 10 ESI-MS samples) -  Commercial rates</t>
  </si>
  <si>
    <t>Total price (ZAR) for 10 samples  (3 barcodes bidirectional) -  Commercial rates</t>
  </si>
  <si>
    <t>Total price (ZAR) for 10 samples at 30 min/ sample (5 hours/ 10 NMR samples) -  Commercial rates</t>
  </si>
  <si>
    <t>Total price (ZAR) for 10 samples at 30 min/ sample (5 hours/ 10 GC-MS samples) -  Commercial rates</t>
  </si>
  <si>
    <t>Total price (ZAR) for 10 samples at 30 min/ sample (5 hours/ 10 LC-MS samples) -  Commercial rates</t>
  </si>
  <si>
    <t>Academic rates sorted lowest to highest (1 sample excluding data interpretation) (half-service)</t>
  </si>
  <si>
    <t>% increace from half-service cost (% - 100)</t>
  </si>
  <si>
    <t>Average pricing in South African Rand (ZAR) of the different sample preparation methods used in the SAJB plant identification manuscript (Integrating chemotaxonomic-based metabolomics data with DNA barcoding for plant identification: A case study on south-east African Erythroxylaceae species). Prices were obtained from Merck, Applied Biosystems, Thermo Fisher Scientific, Integrated DNA Technologies (IDT), Central Analytical Facility (Stellenbosch University), Oregon State University, Process NMR Associates LLC, Cornell Instatute of Biotechnology, Louisiana State University, Montana State University, Queen Mary University of London, University of Maryland Centre for Environmantal Science, Washington State University, University of Idaho, Ohio State University, African Centre for DNA Barcoding, and the Canadian Centre for DNA Barcoding. The URL links used for price calculations are available for reference under the 'URL prices' tab. Please refer to the Supplimentary data of the manuscript for more information.</t>
  </si>
  <si>
    <t>Washington State University: Biological Systems Engineering - Analytical Chemistry Service Centre</t>
  </si>
  <si>
    <t xml:space="preserve">http://sites.bsyse.wsu.edu/core/research/servicecntrs/CACL-service-cntr/caclrates.html </t>
  </si>
  <si>
    <t>Montana State University: Department of Chemistry and Biochemistry – MSU Mass Spec Core Fees</t>
  </si>
  <si>
    <t xml:space="preserve">http://www.montana.edu/massspec/fees.html </t>
  </si>
  <si>
    <t>Stellenbosch University: Central Analytical Facility – DNA Sequencer</t>
  </si>
  <si>
    <t xml:space="preserve">http://www.sun.ac.za/english/faculty/science/CAF/units/dna-sequencer </t>
  </si>
  <si>
    <t>Stellenbosch University: Central Analytical Facility – Mass Spectrometry</t>
  </si>
  <si>
    <t xml:space="preserve">http://www.sun.ac.za/english/faculty/science/CAF/units/mass-spectrometry   </t>
  </si>
  <si>
    <t>Stellenbosch University: Central Analytical Facility – Nuclear Magnetic Resonance</t>
  </si>
  <si>
    <t xml:space="preserve">http://www.sun.ac.za/english/faculty/science/CAF/units/nuclear-magnetic-resonance-western%20cape-south%20africa-stellenbosch   </t>
  </si>
  <si>
    <t>Canadian Centre for DNA Barcoding: The sequencing facility of the Centre for Biodiversity Genomics - Pricing</t>
  </si>
  <si>
    <t>https://ccdb.ca/pricing/</t>
  </si>
  <si>
    <t>Scripps Center for Metabolomics – Mass Spectrometry Services</t>
  </si>
  <si>
    <t xml:space="preserve">https://masspec.scripps.edu/services/index.html#prices </t>
  </si>
  <si>
    <t>Oregon State University: College of Science – Nuclear Magnetic Resonance Facility</t>
  </si>
  <si>
    <t xml:space="preserve">https://nmr.science.oregonstate.edu/content/industry-price-list </t>
  </si>
  <si>
    <t>African Center for DNA Barcoding</t>
  </si>
  <si>
    <t xml:space="preserve">https://www.acdb.co.za/services  </t>
  </si>
  <si>
    <t>Cornell University: Cornell Institute of Biotechnology – Proteomics and Metabolomics Facility</t>
  </si>
  <si>
    <t xml:space="preserve">https://www.biotech.cornell.edu/core-facilities-brc/price-list/30 </t>
  </si>
  <si>
    <t>Ohio State University: Campus Chemical Instrument Center – Nuclear Magnetic Resonance</t>
  </si>
  <si>
    <t xml:space="preserve">https://www.ccic.osu.edu/NMR-Rates </t>
  </si>
  <si>
    <t>Louisiana State University: Collage of Science – Mass Spectrometry Facility</t>
  </si>
  <si>
    <t xml:space="preserve">https://www.lsu.edu/science/chemistry/facilities/msf/instruments_rates.php#collapseSix </t>
  </si>
  <si>
    <t>Process NMR Associates, LLC – Price list</t>
  </si>
  <si>
    <t xml:space="preserve">https://www.process-nmr.com/services/price-list/ </t>
  </si>
  <si>
    <t>Queen Mary University of London: School of Physical and Chemical Sciences</t>
  </si>
  <si>
    <t xml:space="preserve">https://www.qmul.ac.uk/spcs/about-us/our-facilities-and-services/ </t>
  </si>
  <si>
    <t>University of Idaho: Department of Chemistry – Pricing for Services</t>
  </si>
  <si>
    <t xml:space="preserve">https://www.uidaho.edu/sci/chem/mass-spec-core/pricing </t>
  </si>
  <si>
    <t>University of Maryland: Center for Environmental Sciences – Services and Tools</t>
  </si>
  <si>
    <t xml:space="preserve">https://www.umces.edu/services-and-tools  </t>
  </si>
  <si>
    <t xml:space="preserve">The following facility, institution or university internet sites were consulted for the price evaluations: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</si>
</sst>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quot;#,##0;[Red]\-&quot;R&quot;#,##0"/>
    <numFmt numFmtId="8" formatCode="&quot;R&quot;#,##0.00;[Red]\-&quot;R&quot;#,##0.00"/>
    <numFmt numFmtId="44" formatCode="_-&quot;R&quot;* #,##0.00_-;\-&quot;R&quot;* #,##0.00_-;_-&quot;R&quot;* &quot;-&quot;??_-;_-@_-"/>
    <numFmt numFmtId="164" formatCode="&quot;R&quot;#,##0.00"/>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vertAlign val="superscript"/>
      <sz val="12"/>
      <color theme="1"/>
      <name val="Calibri"/>
      <family val="2"/>
      <scheme val="minor"/>
    </font>
    <font>
      <i/>
      <sz val="11"/>
      <color theme="1"/>
      <name val="Calibri"/>
      <family val="2"/>
      <scheme val="minor"/>
    </font>
    <font>
      <b/>
      <i/>
      <sz val="11"/>
      <color theme="1"/>
      <name val="Calibri"/>
      <family val="2"/>
      <scheme val="minor"/>
    </font>
    <font>
      <sz val="8"/>
      <name val="Calibri"/>
      <family val="2"/>
      <scheme val="minor"/>
    </font>
    <font>
      <b/>
      <u/>
      <sz val="14"/>
      <color theme="1"/>
      <name val="Calibri"/>
      <family val="2"/>
      <scheme val="minor"/>
    </font>
    <font>
      <sz val="12"/>
      <color theme="1"/>
      <name val="Times New Roman"/>
      <family val="1"/>
    </font>
    <font>
      <u/>
      <sz val="11"/>
      <color theme="10"/>
      <name val="Calibri"/>
      <family val="2"/>
      <scheme val="minor"/>
    </font>
    <font>
      <sz val="12"/>
      <color rgb="FF222222"/>
      <name val="Times New Roman"/>
      <family val="1"/>
    </font>
    <font>
      <b/>
      <u/>
      <sz val="12"/>
      <color theme="1"/>
      <name val="Times New Roman"/>
      <family val="1"/>
    </font>
  </fonts>
  <fills count="20">
    <fill>
      <patternFill patternType="none"/>
    </fill>
    <fill>
      <patternFill patternType="gray125"/>
    </fill>
    <fill>
      <patternFill patternType="solid">
        <fgColor theme="7"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rgb="FFFD6763"/>
        <bgColor indexed="64"/>
      </patternFill>
    </fill>
    <fill>
      <patternFill patternType="solid">
        <fgColor theme="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6"/>
        <bgColor indexed="64"/>
      </patternFill>
    </fill>
    <fill>
      <patternFill patternType="solid">
        <fgColor theme="9"/>
        <bgColor indexed="64"/>
      </patternFill>
    </fill>
    <fill>
      <patternFill patternType="solid">
        <fgColor theme="8" tint="0.39997558519241921"/>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100">
    <xf numFmtId="0" fontId="0" fillId="0" borderId="0" xfId="0"/>
    <xf numFmtId="0" fontId="1" fillId="0" borderId="0" xfId="0" applyFont="1"/>
    <xf numFmtId="0" fontId="1" fillId="4" borderId="0" xfId="0" applyFont="1" applyFill="1"/>
    <xf numFmtId="0" fontId="2" fillId="8" borderId="0" xfId="0" applyFont="1" applyFill="1"/>
    <xf numFmtId="0" fontId="2" fillId="6" borderId="0" xfId="0" applyFont="1" applyFill="1"/>
    <xf numFmtId="0" fontId="2" fillId="4" borderId="0" xfId="0" applyFont="1" applyFill="1"/>
    <xf numFmtId="0" fontId="0" fillId="4" borderId="0" xfId="0" applyFont="1" applyFill="1" applyAlignment="1">
      <alignment wrapText="1"/>
    </xf>
    <xf numFmtId="0" fontId="2" fillId="4" borderId="0" xfId="0" applyFont="1" applyFill="1" applyAlignment="1">
      <alignment wrapText="1"/>
    </xf>
    <xf numFmtId="0" fontId="2" fillId="2" borderId="0" xfId="0" applyFont="1" applyFill="1"/>
    <xf numFmtId="0" fontId="2" fillId="2" borderId="0" xfId="0" applyFont="1" applyFill="1" applyAlignment="1">
      <alignment wrapText="1"/>
    </xf>
    <xf numFmtId="0" fontId="0" fillId="0" borderId="0" xfId="0" applyFont="1" applyAlignment="1"/>
    <xf numFmtId="0" fontId="0" fillId="0" borderId="0" xfId="0" applyFont="1"/>
    <xf numFmtId="0" fontId="0" fillId="3" borderId="0" xfId="0" applyFont="1" applyFill="1"/>
    <xf numFmtId="0" fontId="0" fillId="2" borderId="0" xfId="0" applyFont="1" applyFill="1"/>
    <xf numFmtId="6" fontId="0" fillId="0" borderId="0" xfId="0" applyNumberFormat="1" applyFont="1"/>
    <xf numFmtId="0" fontId="0" fillId="2" borderId="0" xfId="0" applyFont="1" applyFill="1" applyAlignment="1">
      <alignment wrapText="1"/>
    </xf>
    <xf numFmtId="0" fontId="0" fillId="5" borderId="0" xfId="0" applyFont="1" applyFill="1"/>
    <xf numFmtId="0" fontId="0" fillId="0" borderId="0" xfId="0" applyFont="1" applyFill="1"/>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wrapText="1"/>
    </xf>
    <xf numFmtId="0" fontId="0" fillId="6" borderId="0" xfId="0" applyFont="1" applyFill="1"/>
    <xf numFmtId="0" fontId="0" fillId="6" borderId="0" xfId="0" applyFont="1" applyFill="1" applyAlignment="1"/>
    <xf numFmtId="0" fontId="0" fillId="7" borderId="0" xfId="0" applyFont="1" applyFill="1"/>
    <xf numFmtId="0" fontId="0" fillId="5" borderId="0" xfId="0" applyFont="1" applyFill="1" applyAlignment="1">
      <alignment wrapText="1"/>
    </xf>
    <xf numFmtId="0" fontId="0" fillId="4" borderId="0" xfId="0" applyFont="1" applyFill="1"/>
    <xf numFmtId="44" fontId="0" fillId="0" borderId="0" xfId="0" applyNumberFormat="1" applyFont="1"/>
    <xf numFmtId="0" fontId="0" fillId="3" borderId="0" xfId="0" applyFont="1" applyFill="1" applyAlignment="1">
      <alignment wrapText="1"/>
    </xf>
    <xf numFmtId="8" fontId="0" fillId="0" borderId="0" xfId="0" applyNumberFormat="1" applyFont="1"/>
    <xf numFmtId="0" fontId="0" fillId="0" borderId="0" xfId="0" applyFont="1" applyAlignment="1">
      <alignment wrapText="1"/>
    </xf>
    <xf numFmtId="2" fontId="2" fillId="2" borderId="0" xfId="0" applyNumberFormat="1" applyFont="1" applyFill="1"/>
    <xf numFmtId="0" fontId="2" fillId="6" borderId="0" xfId="0" applyFont="1" applyFill="1" applyAlignment="1">
      <alignment wrapText="1"/>
    </xf>
    <xf numFmtId="0" fontId="4" fillId="6" borderId="0" xfId="0" applyFont="1" applyFill="1" applyAlignment="1">
      <alignment vertical="center" wrapText="1"/>
    </xf>
    <xf numFmtId="2" fontId="2" fillId="6" borderId="0" xfId="0" applyNumberFormat="1" applyFont="1" applyFill="1"/>
    <xf numFmtId="2" fontId="2" fillId="4" borderId="0" xfId="0" applyNumberFormat="1" applyFont="1" applyFill="1"/>
    <xf numFmtId="0" fontId="4" fillId="5" borderId="0" xfId="0" applyFont="1" applyFill="1" applyAlignment="1">
      <alignment vertical="center" wrapText="1"/>
    </xf>
    <xf numFmtId="0" fontId="4" fillId="5" borderId="0" xfId="0" applyFont="1" applyFill="1" applyAlignment="1"/>
    <xf numFmtId="0" fontId="0" fillId="0" borderId="0" xfId="0" applyFont="1" applyFill="1" applyAlignment="1">
      <alignment wrapText="1"/>
    </xf>
    <xf numFmtId="0" fontId="4" fillId="0" borderId="0" xfId="0" applyFont="1" applyFill="1" applyAlignment="1">
      <alignment vertical="center" wrapText="1"/>
    </xf>
    <xf numFmtId="0" fontId="4" fillId="0" borderId="0" xfId="0" applyFont="1" applyFill="1" applyAlignment="1"/>
    <xf numFmtId="0" fontId="4" fillId="0" borderId="0" xfId="0" applyFont="1" applyFill="1" applyAlignment="1">
      <alignment wrapText="1"/>
    </xf>
    <xf numFmtId="8" fontId="4" fillId="0" borderId="0" xfId="0" applyNumberFormat="1" applyFont="1" applyFill="1" applyAlignment="1">
      <alignment vertical="center" wrapText="1"/>
    </xf>
    <xf numFmtId="0" fontId="4" fillId="6" borderId="0" xfId="0" applyFont="1" applyFill="1" applyAlignment="1">
      <alignment wrapText="1"/>
    </xf>
    <xf numFmtId="0" fontId="2" fillId="10" borderId="0" xfId="0" applyFont="1" applyFill="1"/>
    <xf numFmtId="8" fontId="0" fillId="0" borderId="0" xfId="0" applyNumberFormat="1" applyFont="1" applyFill="1"/>
    <xf numFmtId="0" fontId="4" fillId="3" borderId="0" xfId="0" applyFont="1" applyFill="1" applyAlignment="1"/>
    <xf numFmtId="0" fontId="0" fillId="10" borderId="0" xfId="0" applyFont="1" applyFill="1"/>
    <xf numFmtId="0" fontId="4" fillId="11" borderId="0" xfId="0" applyFont="1" applyFill="1" applyAlignment="1">
      <alignment vertical="center" wrapText="1"/>
    </xf>
    <xf numFmtId="0" fontId="4" fillId="11" borderId="0" xfId="0" applyFont="1" applyFill="1" applyAlignment="1"/>
    <xf numFmtId="0" fontId="0" fillId="12" borderId="0" xfId="0" applyFont="1" applyFill="1"/>
    <xf numFmtId="0" fontId="2" fillId="0" borderId="0" xfId="0" applyFont="1" applyFill="1" applyAlignment="1">
      <alignment wrapText="1"/>
    </xf>
    <xf numFmtId="0" fontId="2" fillId="10" borderId="0" xfId="0" applyFont="1" applyFill="1" applyAlignment="1">
      <alignment wrapText="1"/>
    </xf>
    <xf numFmtId="0" fontId="0" fillId="4" borderId="0" xfId="0" applyFill="1"/>
    <xf numFmtId="0" fontId="0" fillId="13" borderId="0" xfId="0" applyFill="1"/>
    <xf numFmtId="0" fontId="0" fillId="0" borderId="0" xfId="0" applyFill="1"/>
    <xf numFmtId="0" fontId="1" fillId="0" borderId="0" xfId="0" applyFont="1" applyAlignment="1">
      <alignment wrapText="1"/>
    </xf>
    <xf numFmtId="0" fontId="3" fillId="14" borderId="0" xfId="0" applyFont="1" applyFill="1"/>
    <xf numFmtId="0" fontId="2" fillId="14" borderId="0" xfId="0" applyFont="1" applyFill="1"/>
    <xf numFmtId="0" fontId="3" fillId="15" borderId="0" xfId="0" applyFont="1" applyFill="1"/>
    <xf numFmtId="0" fontId="2" fillId="15" borderId="0" xfId="0" applyFont="1" applyFill="1"/>
    <xf numFmtId="0" fontId="2" fillId="16" borderId="0" xfId="0" applyFont="1" applyFill="1" applyAlignment="1">
      <alignment wrapText="1"/>
    </xf>
    <xf numFmtId="0" fontId="0" fillId="16" borderId="0" xfId="0" applyFont="1" applyFill="1"/>
    <xf numFmtId="0" fontId="4" fillId="10" borderId="0" xfId="0" applyFont="1" applyFill="1" applyAlignment="1"/>
    <xf numFmtId="0" fontId="0" fillId="13" borderId="0" xfId="0" applyFont="1" applyFill="1" applyAlignment="1"/>
    <xf numFmtId="0" fontId="0" fillId="4" borderId="0" xfId="0" applyFont="1" applyFill="1" applyAlignment="1"/>
    <xf numFmtId="0" fontId="0" fillId="0" borderId="0" xfId="0" applyFont="1" applyFill="1" applyAlignment="1"/>
    <xf numFmtId="8" fontId="0" fillId="0" borderId="0" xfId="0" applyNumberFormat="1"/>
    <xf numFmtId="8" fontId="0" fillId="0" borderId="0" xfId="0" applyNumberFormat="1" applyFill="1"/>
    <xf numFmtId="6" fontId="0" fillId="0" borderId="0" xfId="0" applyNumberFormat="1"/>
    <xf numFmtId="164" fontId="0" fillId="0" borderId="0" xfId="0" applyNumberFormat="1"/>
    <xf numFmtId="164" fontId="0" fillId="0" borderId="0" xfId="0" applyNumberFormat="1" applyFill="1"/>
    <xf numFmtId="0" fontId="0" fillId="0" borderId="0" xfId="0" applyAlignment="1"/>
    <xf numFmtId="0" fontId="0" fillId="0" borderId="0" xfId="0" applyFill="1" applyAlignment="1">
      <alignment wrapText="1"/>
    </xf>
    <xf numFmtId="0" fontId="1" fillId="0" borderId="0" xfId="0" applyFont="1" applyAlignment="1"/>
    <xf numFmtId="0" fontId="1" fillId="0" borderId="0" xfId="0" applyFont="1" applyFill="1" applyAlignment="1">
      <alignment wrapText="1"/>
    </xf>
    <xf numFmtId="9" fontId="0" fillId="0" borderId="0" xfId="0" applyNumberFormat="1"/>
    <xf numFmtId="0" fontId="0" fillId="0" borderId="0" xfId="0" applyAlignment="1">
      <alignment horizontal="center"/>
    </xf>
    <xf numFmtId="0" fontId="0" fillId="18" borderId="0" xfId="0" applyFill="1"/>
    <xf numFmtId="0" fontId="0" fillId="0" borderId="0" xfId="0" applyFill="1" applyAlignment="1"/>
    <xf numFmtId="0" fontId="0" fillId="0" borderId="0" xfId="0" applyAlignment="1">
      <alignment horizontal="center"/>
    </xf>
    <xf numFmtId="0" fontId="7" fillId="18" borderId="0" xfId="0" applyFont="1" applyFill="1" applyAlignment="1">
      <alignment wrapText="1"/>
    </xf>
    <xf numFmtId="0" fontId="7" fillId="4" borderId="0" xfId="0" applyFont="1" applyFill="1"/>
    <xf numFmtId="0" fontId="7" fillId="13" borderId="0" xfId="0" applyFont="1" applyFill="1"/>
    <xf numFmtId="0" fontId="7" fillId="19" borderId="0" xfId="0" applyFont="1" applyFill="1"/>
    <xf numFmtId="0" fontId="1" fillId="0" borderId="0" xfId="0" applyFont="1" applyFill="1"/>
    <xf numFmtId="0" fontId="1" fillId="4" borderId="0" xfId="0" applyFont="1" applyFill="1" applyAlignment="1">
      <alignment wrapText="1"/>
    </xf>
    <xf numFmtId="0" fontId="1" fillId="13" borderId="0" xfId="0" applyFont="1" applyFill="1" applyAlignment="1">
      <alignment wrapText="1"/>
    </xf>
    <xf numFmtId="0" fontId="1" fillId="0" borderId="0" xfId="0" applyFont="1" applyFill="1" applyAlignment="1"/>
    <xf numFmtId="0" fontId="11" fillId="0" borderId="0" xfId="0" applyFont="1" applyAlignment="1">
      <alignment vertical="center"/>
    </xf>
    <xf numFmtId="0" fontId="12" fillId="0" borderId="0" xfId="1" applyAlignment="1">
      <alignment vertical="center"/>
    </xf>
    <xf numFmtId="0" fontId="13" fillId="0" borderId="0" xfId="0" applyFont="1" applyAlignment="1">
      <alignment vertical="center"/>
    </xf>
    <xf numFmtId="0" fontId="14" fillId="0" borderId="0" xfId="0" applyFont="1" applyAlignment="1">
      <alignment vertical="center"/>
    </xf>
    <xf numFmtId="0" fontId="5" fillId="9" borderId="0" xfId="0" applyFont="1" applyFill="1" applyAlignment="1">
      <alignment horizontal="center" wrapText="1"/>
    </xf>
    <xf numFmtId="0" fontId="5" fillId="17" borderId="0" xfId="0" applyFont="1" applyFill="1" applyAlignment="1">
      <alignment horizontal="center" wrapText="1"/>
    </xf>
    <xf numFmtId="0" fontId="10" fillId="0" borderId="0" xfId="0" applyFont="1" applyAlignment="1">
      <alignment horizontal="center" wrapText="1"/>
    </xf>
    <xf numFmtId="0" fontId="0" fillId="0" borderId="0" xfId="0" applyAlignment="1">
      <alignment horizontal="center"/>
    </xf>
    <xf numFmtId="0" fontId="1" fillId="0" borderId="0" xfId="0" applyFont="1" applyFill="1" applyAlignment="1">
      <alignment horizontal="center"/>
    </xf>
    <xf numFmtId="0" fontId="1" fillId="0" borderId="0" xfId="0" applyFont="1" applyAlignment="1">
      <alignment horizontal="center"/>
    </xf>
    <xf numFmtId="0" fontId="0" fillId="0" borderId="0" xfId="0" applyFill="1" applyAlignment="1">
      <alignment horizontal="center"/>
    </xf>
    <xf numFmtId="0" fontId="0" fillId="13" borderId="0" xfId="0"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D6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nmr.science.oregonstate.edu/content/industry-price-list" TargetMode="External"/><Relationship Id="rId13" Type="http://schemas.openxmlformats.org/officeDocument/2006/relationships/hyperlink" Target="https://www.process-nmr.com/services/price-list/" TargetMode="External"/><Relationship Id="rId3" Type="http://schemas.openxmlformats.org/officeDocument/2006/relationships/hyperlink" Target="http://www.sun.ac.za/english/faculty/science/CAF/units/dna-sequencer" TargetMode="External"/><Relationship Id="rId7" Type="http://schemas.openxmlformats.org/officeDocument/2006/relationships/hyperlink" Target="https://masspec.scripps.edu/services/index.html" TargetMode="External"/><Relationship Id="rId12" Type="http://schemas.openxmlformats.org/officeDocument/2006/relationships/hyperlink" Target="https://www.lsu.edu/science/chemistry/facilities/msf/instruments_rates.php" TargetMode="External"/><Relationship Id="rId17" Type="http://schemas.openxmlformats.org/officeDocument/2006/relationships/printerSettings" Target="../printerSettings/printerSettings3.bin"/><Relationship Id="rId2" Type="http://schemas.openxmlformats.org/officeDocument/2006/relationships/hyperlink" Target="http://www.montana.edu/massspec/fees.html" TargetMode="External"/><Relationship Id="rId16" Type="http://schemas.openxmlformats.org/officeDocument/2006/relationships/hyperlink" Target="https://www.umces.edu/services-and-tools" TargetMode="External"/><Relationship Id="rId1" Type="http://schemas.openxmlformats.org/officeDocument/2006/relationships/hyperlink" Target="http://sites.bsyse.wsu.edu/core/research/servicecntrs/CACL-service-cntr/caclrates.html" TargetMode="External"/><Relationship Id="rId6" Type="http://schemas.openxmlformats.org/officeDocument/2006/relationships/hyperlink" Target="https://ccdb.ca/pricing/" TargetMode="External"/><Relationship Id="rId11" Type="http://schemas.openxmlformats.org/officeDocument/2006/relationships/hyperlink" Target="https://www.ccic.osu.edu/NMR-Rates" TargetMode="External"/><Relationship Id="rId5" Type="http://schemas.openxmlformats.org/officeDocument/2006/relationships/hyperlink" Target="http://www.sun.ac.za/english/faculty/science/CAF/units/nuclear-magnetic-resonance-western%20cape-south%20africa-stellenbosch" TargetMode="External"/><Relationship Id="rId15" Type="http://schemas.openxmlformats.org/officeDocument/2006/relationships/hyperlink" Target="https://www.uidaho.edu/sci/chem/mass-spec-core/pricing" TargetMode="External"/><Relationship Id="rId10" Type="http://schemas.openxmlformats.org/officeDocument/2006/relationships/hyperlink" Target="https://www.biotech.cornell.edu/core-facilities-brc/price-list/30" TargetMode="External"/><Relationship Id="rId4" Type="http://schemas.openxmlformats.org/officeDocument/2006/relationships/hyperlink" Target="http://www.sun.ac.za/english/faculty/science/CAF/units/mass-spectrometry" TargetMode="External"/><Relationship Id="rId9" Type="http://schemas.openxmlformats.org/officeDocument/2006/relationships/hyperlink" Target="https://www.acdb.co.za/services" TargetMode="External"/><Relationship Id="rId14" Type="http://schemas.openxmlformats.org/officeDocument/2006/relationships/hyperlink" Target="https://www.qmul.ac.uk/spcs/about-us/our-facilities-and-serv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33A3D-55CC-473E-8B5C-20DC6A787C74}">
  <dimension ref="A1:S124"/>
  <sheetViews>
    <sheetView zoomScale="70" zoomScaleNormal="70" workbookViewId="0">
      <selection activeCell="E19" sqref="E19"/>
    </sheetView>
  </sheetViews>
  <sheetFormatPr defaultRowHeight="15" x14ac:dyDescent="0.25"/>
  <cols>
    <col min="1" max="1" width="33" style="11" customWidth="1"/>
    <col min="2" max="2" width="55.7109375" style="11" customWidth="1"/>
    <col min="3" max="3" width="30.140625" style="11" customWidth="1"/>
    <col min="4" max="4" width="27.5703125" style="11" customWidth="1"/>
    <col min="5" max="5" width="20.140625" style="11" customWidth="1"/>
    <col min="6" max="6" width="41.5703125" style="11" customWidth="1"/>
    <col min="7" max="7" width="40.7109375" style="11" customWidth="1"/>
    <col min="8" max="8" width="23" style="11" customWidth="1"/>
    <col min="9" max="9" width="20.28515625" style="11" customWidth="1"/>
    <col min="10" max="10" width="9.140625" style="11"/>
    <col min="11" max="11" width="54.28515625" style="11" customWidth="1"/>
    <col min="12" max="12" width="23.7109375" style="11" customWidth="1"/>
    <col min="13" max="13" width="29.140625" style="11" customWidth="1"/>
    <col min="14" max="14" width="37.7109375" style="11" customWidth="1"/>
    <col min="15" max="15" width="9.140625" style="11"/>
    <col min="16" max="16" width="55.85546875" style="11" customWidth="1"/>
    <col min="17" max="18" width="31.28515625" style="11" customWidth="1"/>
    <col min="19" max="19" width="36.28515625" style="11" customWidth="1"/>
    <col min="20" max="16384" width="9.140625" style="11"/>
  </cols>
  <sheetData>
    <row r="1" spans="1:19" ht="91.5" customHeight="1" x14ac:dyDescent="0.3">
      <c r="A1" s="94" t="s">
        <v>430</v>
      </c>
      <c r="B1" s="94"/>
      <c r="C1" s="94"/>
      <c r="D1" s="94"/>
      <c r="E1" s="94"/>
      <c r="F1" s="94"/>
      <c r="G1" s="94"/>
      <c r="H1" s="94"/>
      <c r="I1" s="94"/>
      <c r="J1" s="94"/>
      <c r="K1" s="94"/>
      <c r="L1" s="10"/>
      <c r="M1" s="10"/>
      <c r="N1" s="10"/>
      <c r="O1" s="10"/>
    </row>
    <row r="3" spans="1:19" ht="18.75" x14ac:dyDescent="0.3">
      <c r="B3" s="3" t="s">
        <v>188</v>
      </c>
      <c r="C3" s="3" t="s">
        <v>184</v>
      </c>
      <c r="D3" s="3" t="s">
        <v>0</v>
      </c>
      <c r="E3" s="3" t="s">
        <v>19</v>
      </c>
      <c r="F3" s="3" t="s">
        <v>1</v>
      </c>
      <c r="G3" s="3" t="s">
        <v>184</v>
      </c>
      <c r="H3" s="3" t="s">
        <v>0</v>
      </c>
      <c r="I3" s="3" t="s">
        <v>20</v>
      </c>
      <c r="K3" s="56" t="s">
        <v>155</v>
      </c>
      <c r="L3" s="57" t="s">
        <v>143</v>
      </c>
      <c r="M3" s="57" t="s">
        <v>160</v>
      </c>
      <c r="N3" s="57" t="s">
        <v>161</v>
      </c>
      <c r="P3" s="58" t="s">
        <v>207</v>
      </c>
      <c r="Q3" s="59" t="s">
        <v>143</v>
      </c>
      <c r="R3" s="59" t="s">
        <v>160</v>
      </c>
      <c r="S3" s="59" t="s">
        <v>161</v>
      </c>
    </row>
    <row r="4" spans="1:19" ht="18" x14ac:dyDescent="0.25">
      <c r="A4" s="8" t="s">
        <v>145</v>
      </c>
      <c r="B4" s="12" t="s">
        <v>132</v>
      </c>
      <c r="C4" s="11" t="s">
        <v>3</v>
      </c>
      <c r="D4" s="11">
        <f>16582/(100/1)</f>
        <v>165.82</v>
      </c>
      <c r="E4" s="13">
        <f>AVERAGE(D4,D5,D6)</f>
        <v>193.92666666666665</v>
      </c>
      <c r="F4" s="12" t="s">
        <v>136</v>
      </c>
      <c r="G4" s="14" t="s">
        <v>8</v>
      </c>
      <c r="H4" s="11">
        <f>1578/50</f>
        <v>31.56</v>
      </c>
      <c r="I4" s="13">
        <f>AVERAGE(H4,H5,H6)</f>
        <v>65.12</v>
      </c>
      <c r="K4" s="8" t="s">
        <v>145</v>
      </c>
      <c r="M4" s="13">
        <f>AVERAGE(722,1053.2,1178.4)</f>
        <v>984.53333333333342</v>
      </c>
      <c r="N4" s="13">
        <f>AVERAGE(963,2025.38,3682.5)</f>
        <v>2223.6266666666666</v>
      </c>
      <c r="P4" s="8" t="s">
        <v>145</v>
      </c>
      <c r="R4" s="13">
        <f>AVERAGE(545,182.65,736.5)</f>
        <v>488.05</v>
      </c>
      <c r="S4" s="13">
        <f>AVERAGE(480,846.98,515.55)</f>
        <v>614.17666666666662</v>
      </c>
    </row>
    <row r="5" spans="1:19" ht="31.5" customHeight="1" x14ac:dyDescent="0.25">
      <c r="A5" s="15" t="s">
        <v>146</v>
      </c>
      <c r="B5" s="16" t="s">
        <v>131</v>
      </c>
      <c r="C5" s="11" t="s">
        <v>2</v>
      </c>
      <c r="D5" s="11">
        <f>2399/(10/1)</f>
        <v>239.9</v>
      </c>
      <c r="F5" s="16" t="s">
        <v>135</v>
      </c>
      <c r="G5" s="11" t="s">
        <v>9</v>
      </c>
      <c r="H5" s="11">
        <f>2325/25</f>
        <v>93</v>
      </c>
      <c r="K5" s="27" t="s">
        <v>154</v>
      </c>
      <c r="P5" s="27" t="s">
        <v>154</v>
      </c>
    </row>
    <row r="6" spans="1:19" ht="27.75" customHeight="1" x14ac:dyDescent="0.25">
      <c r="A6" s="13"/>
      <c r="B6" s="16"/>
      <c r="C6" s="11" t="s">
        <v>4</v>
      </c>
      <c r="D6" s="11">
        <f>8803/(50/1)</f>
        <v>176.06</v>
      </c>
      <c r="F6" s="16"/>
      <c r="G6" s="11" t="s">
        <v>10</v>
      </c>
      <c r="H6" s="11">
        <f>354/5</f>
        <v>70.8</v>
      </c>
      <c r="K6" s="35" t="s">
        <v>152</v>
      </c>
      <c r="L6" s="11" t="s">
        <v>150</v>
      </c>
      <c r="P6" s="35" t="s">
        <v>313</v>
      </c>
      <c r="Q6" s="17" t="s">
        <v>208</v>
      </c>
    </row>
    <row r="7" spans="1:19" ht="15.75" x14ac:dyDescent="0.25">
      <c r="A7" s="13"/>
      <c r="B7" s="12" t="s">
        <v>134</v>
      </c>
      <c r="C7" s="11" t="s">
        <v>5</v>
      </c>
      <c r="D7" s="11">
        <f>514/(1000/300)</f>
        <v>154.19999999999999</v>
      </c>
      <c r="E7" s="13">
        <f>AVERAGE(D7,D8,D9)</f>
        <v>206.6</v>
      </c>
      <c r="F7" s="12" t="s">
        <v>138</v>
      </c>
      <c r="G7" s="11" t="s">
        <v>12</v>
      </c>
      <c r="H7" s="11">
        <f>255/500</f>
        <v>0.51</v>
      </c>
      <c r="I7" s="13">
        <f>AVERAGE(H7,H8,H9)</f>
        <v>0.60766666666666669</v>
      </c>
      <c r="K7" s="36" t="s">
        <v>153</v>
      </c>
      <c r="L7" s="11" t="s">
        <v>151</v>
      </c>
      <c r="P7" s="36" t="s">
        <v>153</v>
      </c>
      <c r="Q7" s="17" t="s">
        <v>209</v>
      </c>
    </row>
    <row r="8" spans="1:19" x14ac:dyDescent="0.25">
      <c r="A8" s="13"/>
      <c r="B8" s="16" t="s">
        <v>133</v>
      </c>
      <c r="C8" s="11" t="s">
        <v>6</v>
      </c>
      <c r="D8" s="11">
        <f>1037/(1000/300)</f>
        <v>311.09999999999997</v>
      </c>
      <c r="F8" s="16" t="s">
        <v>137</v>
      </c>
      <c r="G8" s="11" t="s">
        <v>14</v>
      </c>
      <c r="H8" s="11">
        <f>651/1000</f>
        <v>0.65100000000000002</v>
      </c>
      <c r="K8" s="12" t="s">
        <v>210</v>
      </c>
      <c r="P8" s="12" t="s">
        <v>210</v>
      </c>
      <c r="Q8" s="17"/>
    </row>
    <row r="9" spans="1:19" ht="31.5" customHeight="1" x14ac:dyDescent="0.25">
      <c r="A9" s="13"/>
      <c r="B9" s="16"/>
      <c r="C9" s="11" t="s">
        <v>7</v>
      </c>
      <c r="D9" s="11">
        <f>10300/(20000/300)</f>
        <v>154.5</v>
      </c>
      <c r="F9" s="16"/>
      <c r="G9" s="11" t="s">
        <v>13</v>
      </c>
      <c r="H9" s="11">
        <f>662/1000</f>
        <v>0.66200000000000003</v>
      </c>
      <c r="K9" s="35" t="s">
        <v>152</v>
      </c>
      <c r="L9" s="11" t="s">
        <v>211</v>
      </c>
      <c r="P9" s="35" t="s">
        <v>313</v>
      </c>
      <c r="Q9" s="17" t="s">
        <v>213</v>
      </c>
    </row>
    <row r="10" spans="1:19" ht="15.75" x14ac:dyDescent="0.25">
      <c r="A10" s="13"/>
      <c r="F10" s="12" t="s">
        <v>15</v>
      </c>
      <c r="G10" s="11" t="s">
        <v>16</v>
      </c>
      <c r="H10" s="11">
        <f>4200/(5000/3)</f>
        <v>2.52</v>
      </c>
      <c r="I10" s="13">
        <f>AVERAGE(H10,H11,H12)</f>
        <v>2.7040000000000002</v>
      </c>
      <c r="K10" s="36" t="s">
        <v>153</v>
      </c>
      <c r="L10" s="11" t="s">
        <v>212</v>
      </c>
      <c r="P10" s="36" t="s">
        <v>153</v>
      </c>
      <c r="Q10" s="17" t="s">
        <v>214</v>
      </c>
    </row>
    <row r="11" spans="1:19" x14ac:dyDescent="0.25">
      <c r="A11" s="13"/>
      <c r="F11" s="16" t="s">
        <v>139</v>
      </c>
      <c r="G11" s="11" t="s">
        <v>17</v>
      </c>
      <c r="H11" s="11">
        <f>1193/(1000/3)</f>
        <v>3.5790000000000002</v>
      </c>
      <c r="K11" s="12" t="s">
        <v>157</v>
      </c>
      <c r="P11" s="12" t="s">
        <v>215</v>
      </c>
      <c r="Q11" s="17"/>
    </row>
    <row r="12" spans="1:19" ht="21" customHeight="1" x14ac:dyDescent="0.25">
      <c r="A12" s="13"/>
      <c r="F12" s="16"/>
      <c r="G12" s="11" t="s">
        <v>18</v>
      </c>
      <c r="H12" s="11">
        <f>671/(1000/3)</f>
        <v>2.0129999999999999</v>
      </c>
      <c r="K12" s="35" t="s">
        <v>152</v>
      </c>
      <c r="L12" s="11" t="s">
        <v>159</v>
      </c>
      <c r="P12" s="35" t="s">
        <v>313</v>
      </c>
      <c r="Q12" s="17" t="s">
        <v>216</v>
      </c>
    </row>
    <row r="13" spans="1:19" ht="15.75" x14ac:dyDescent="0.25">
      <c r="A13" s="13"/>
      <c r="F13" s="12" t="s">
        <v>140</v>
      </c>
      <c r="G13" s="11" t="s">
        <v>25</v>
      </c>
      <c r="H13" s="11">
        <f>2417/(50/1)</f>
        <v>48.34</v>
      </c>
      <c r="I13" s="13">
        <f>AVERAGE(H13,H14,H15)</f>
        <v>43.5</v>
      </c>
      <c r="K13" s="36" t="s">
        <v>153</v>
      </c>
      <c r="L13" s="11" t="s">
        <v>158</v>
      </c>
      <c r="P13" s="36" t="s">
        <v>153</v>
      </c>
      <c r="Q13" s="17" t="s">
        <v>217</v>
      </c>
    </row>
    <row r="14" spans="1:19" ht="15.75" x14ac:dyDescent="0.25">
      <c r="A14" s="13"/>
      <c r="F14" s="16" t="s">
        <v>137</v>
      </c>
      <c r="G14" s="11" t="s">
        <v>26</v>
      </c>
      <c r="H14" s="11">
        <f>2835/(50/1)</f>
        <v>56.7</v>
      </c>
      <c r="K14" s="4" t="s">
        <v>21</v>
      </c>
      <c r="M14" s="21">
        <f>AVERAGE(545.68,2356.8,736.5,381.1)</f>
        <v>1005.02</v>
      </c>
      <c r="N14" s="21">
        <f>AVERAGE(9223.31,9427.2,883.8,618)</f>
        <v>5038.0775000000003</v>
      </c>
      <c r="P14" s="4" t="s">
        <v>21</v>
      </c>
      <c r="Q14" s="17"/>
      <c r="R14" s="21">
        <f>AVERAGE(338,1473,368.25,381)</f>
        <v>640.0625</v>
      </c>
      <c r="S14" s="21">
        <f>AVERAGE(5049,5892,883.8,618)</f>
        <v>3110.7</v>
      </c>
    </row>
    <row r="15" spans="1:19" ht="37.5" customHeight="1" x14ac:dyDescent="0.25">
      <c r="A15" s="13"/>
      <c r="F15" s="16"/>
      <c r="G15" s="11" t="s">
        <v>27</v>
      </c>
      <c r="H15" s="11">
        <f>1273/(50/1)</f>
        <v>25.46</v>
      </c>
      <c r="K15" s="27" t="s">
        <v>154</v>
      </c>
      <c r="P15" s="27" t="s">
        <v>154</v>
      </c>
      <c r="Q15" s="17"/>
    </row>
    <row r="16" spans="1:19" ht="27.75" customHeight="1" x14ac:dyDescent="0.25">
      <c r="A16" s="13"/>
      <c r="F16" s="17"/>
      <c r="K16" s="35" t="s">
        <v>152</v>
      </c>
      <c r="L16" s="11" t="s">
        <v>162</v>
      </c>
      <c r="P16" s="35" t="s">
        <v>313</v>
      </c>
      <c r="Q16" s="17" t="s">
        <v>218</v>
      </c>
    </row>
    <row r="17" spans="1:18" ht="31.5" x14ac:dyDescent="0.25">
      <c r="A17" s="9" t="s">
        <v>286</v>
      </c>
      <c r="B17" s="30">
        <f>SUM(E4,E7,I4,I7,I10,I13)</f>
        <v>512.45833333333326</v>
      </c>
      <c r="K17" s="36" t="s">
        <v>153</v>
      </c>
      <c r="L17" s="11" t="s">
        <v>169</v>
      </c>
      <c r="P17" s="36" t="s">
        <v>153</v>
      </c>
      <c r="Q17" s="17" t="s">
        <v>219</v>
      </c>
    </row>
    <row r="18" spans="1:18" ht="34.5" customHeight="1" x14ac:dyDescent="0.25">
      <c r="A18" s="18"/>
      <c r="B18" s="30"/>
      <c r="K18" s="27" t="s">
        <v>163</v>
      </c>
      <c r="P18" s="27" t="s">
        <v>163</v>
      </c>
      <c r="Q18" s="17"/>
    </row>
    <row r="19" spans="1:18" ht="39.75" customHeight="1" x14ac:dyDescent="0.25">
      <c r="A19" s="19" t="s">
        <v>255</v>
      </c>
      <c r="B19" s="30" t="s">
        <v>259</v>
      </c>
      <c r="K19" s="35" t="s">
        <v>164</v>
      </c>
      <c r="L19" s="11" t="s">
        <v>165</v>
      </c>
      <c r="P19" s="35" t="s">
        <v>314</v>
      </c>
      <c r="Q19" s="17" t="s">
        <v>220</v>
      </c>
    </row>
    <row r="20" spans="1:18" ht="45" customHeight="1" x14ac:dyDescent="0.25">
      <c r="A20" s="20" t="s">
        <v>256</v>
      </c>
      <c r="B20" s="30" t="s">
        <v>260</v>
      </c>
      <c r="K20" s="35" t="s">
        <v>166</v>
      </c>
      <c r="L20" s="11" t="s">
        <v>167</v>
      </c>
      <c r="P20" s="35" t="s">
        <v>315</v>
      </c>
      <c r="Q20" s="17" t="s">
        <v>221</v>
      </c>
    </row>
    <row r="21" spans="1:18" ht="54" customHeight="1" x14ac:dyDescent="0.25">
      <c r="A21" s="19" t="s">
        <v>257</v>
      </c>
      <c r="B21" s="30" t="s">
        <v>253</v>
      </c>
      <c r="K21" s="36" t="s">
        <v>153</v>
      </c>
      <c r="L21" s="11" t="s">
        <v>168</v>
      </c>
      <c r="P21" s="36" t="s">
        <v>153</v>
      </c>
      <c r="Q21" s="17" t="s">
        <v>222</v>
      </c>
    </row>
    <row r="22" spans="1:18" ht="66.75" customHeight="1" x14ac:dyDescent="0.25">
      <c r="A22" s="20" t="s">
        <v>258</v>
      </c>
      <c r="B22" s="30" t="s">
        <v>254</v>
      </c>
      <c r="K22" s="27" t="s">
        <v>170</v>
      </c>
      <c r="P22" s="27" t="s">
        <v>170</v>
      </c>
      <c r="Q22" s="17"/>
    </row>
    <row r="23" spans="1:18" ht="102" customHeight="1" x14ac:dyDescent="0.25">
      <c r="A23" s="19" t="s">
        <v>316</v>
      </c>
      <c r="B23" s="30">
        <f>512.46+(488.5/2)</f>
        <v>756.71</v>
      </c>
      <c r="K23" s="35" t="s">
        <v>152</v>
      </c>
      <c r="L23" s="11" t="s">
        <v>171</v>
      </c>
      <c r="P23" s="35" t="s">
        <v>313</v>
      </c>
      <c r="Q23" s="17" t="s">
        <v>223</v>
      </c>
    </row>
    <row r="24" spans="1:18" ht="90.75" customHeight="1" x14ac:dyDescent="0.25">
      <c r="A24" s="19" t="s">
        <v>317</v>
      </c>
      <c r="B24" s="30">
        <f>512.46+(984.53/2)</f>
        <v>1004.725</v>
      </c>
      <c r="K24" s="36" t="s">
        <v>153</v>
      </c>
      <c r="L24" s="11" t="s">
        <v>185</v>
      </c>
      <c r="P24" s="36" t="s">
        <v>153</v>
      </c>
      <c r="Q24" s="17" t="s">
        <v>185</v>
      </c>
    </row>
    <row r="25" spans="1:18" ht="93" customHeight="1" x14ac:dyDescent="0.25">
      <c r="A25" s="9" t="s">
        <v>261</v>
      </c>
      <c r="B25" s="30">
        <f>(512.46*10)+(488.5*5)+(614.18*5)</f>
        <v>10638</v>
      </c>
      <c r="K25" s="27" t="s">
        <v>172</v>
      </c>
      <c r="P25" s="27" t="s">
        <v>172</v>
      </c>
      <c r="Q25" s="17"/>
    </row>
    <row r="26" spans="1:18" ht="72" customHeight="1" x14ac:dyDescent="0.25">
      <c r="A26" s="9" t="s">
        <v>252</v>
      </c>
      <c r="B26" s="30">
        <f>(512.46*10)+(984.53*5)+(2223.63*5)</f>
        <v>21165.4</v>
      </c>
      <c r="K26" s="35" t="s">
        <v>166</v>
      </c>
      <c r="L26" s="11" t="s">
        <v>174</v>
      </c>
      <c r="P26" s="35" t="s">
        <v>315</v>
      </c>
      <c r="Q26" s="17" t="s">
        <v>174</v>
      </c>
    </row>
    <row r="27" spans="1:18" ht="24" customHeight="1" x14ac:dyDescent="0.25">
      <c r="A27" s="13"/>
      <c r="B27" s="13"/>
      <c r="K27" s="36" t="s">
        <v>153</v>
      </c>
      <c r="L27" s="38" t="s">
        <v>186</v>
      </c>
      <c r="P27" s="36" t="s">
        <v>153</v>
      </c>
      <c r="Q27" s="38" t="s">
        <v>186</v>
      </c>
    </row>
    <row r="28" spans="1:18" ht="31.5" x14ac:dyDescent="0.25">
      <c r="B28" s="3" t="s">
        <v>188</v>
      </c>
      <c r="C28" s="3" t="s">
        <v>184</v>
      </c>
      <c r="D28" s="3" t="s">
        <v>0</v>
      </c>
      <c r="E28" s="3" t="s">
        <v>19</v>
      </c>
      <c r="F28" s="3" t="s">
        <v>1</v>
      </c>
      <c r="G28" s="3" t="s">
        <v>184</v>
      </c>
      <c r="H28" s="3" t="s">
        <v>0</v>
      </c>
      <c r="I28" s="3" t="s">
        <v>20</v>
      </c>
      <c r="K28" s="7" t="s">
        <v>228</v>
      </c>
      <c r="M28" s="25">
        <f>AVERAGE((450+230.32),(1276.8+638.4),(506.42+153.44),(1148.94+574.47))</f>
        <v>1244.6975</v>
      </c>
      <c r="P28" s="7" t="s">
        <v>228</v>
      </c>
      <c r="Q28" s="17"/>
      <c r="R28" s="25">
        <f>AVERAGE((450+230.32),(837.4+418.7),(276.19+153.44),(806.32+403.16))</f>
        <v>893.88249999999994</v>
      </c>
    </row>
    <row r="29" spans="1:18" ht="28.5" customHeight="1" x14ac:dyDescent="0.25">
      <c r="A29" s="4" t="s">
        <v>21</v>
      </c>
      <c r="B29" s="12" t="s">
        <v>134</v>
      </c>
      <c r="C29" s="11" t="s">
        <v>5</v>
      </c>
      <c r="D29" s="11">
        <f>514/(1000/300)</f>
        <v>154.19999999999999</v>
      </c>
      <c r="E29" s="21">
        <f>AVERAGE(D29,D30,D31)</f>
        <v>206.6</v>
      </c>
      <c r="F29" s="12" t="s">
        <v>141</v>
      </c>
      <c r="G29" s="11" t="s">
        <v>16</v>
      </c>
      <c r="H29" s="11">
        <v>2.52</v>
      </c>
      <c r="I29" s="21">
        <f>AVERAGE(H29,H30,H31)</f>
        <v>2.7040000000000002</v>
      </c>
      <c r="K29" s="27" t="s">
        <v>176</v>
      </c>
      <c r="P29" s="27" t="s">
        <v>176</v>
      </c>
      <c r="Q29" s="17"/>
    </row>
    <row r="30" spans="1:18" ht="15.75" x14ac:dyDescent="0.25">
      <c r="A30" s="22" t="s">
        <v>147</v>
      </c>
      <c r="B30" s="16" t="s">
        <v>133</v>
      </c>
      <c r="C30" s="11" t="s">
        <v>6</v>
      </c>
      <c r="D30" s="11">
        <f>1037/(1000/300)</f>
        <v>311.09999999999997</v>
      </c>
      <c r="F30" s="16" t="s">
        <v>139</v>
      </c>
      <c r="G30" s="11" t="s">
        <v>17</v>
      </c>
      <c r="H30" s="11">
        <v>3.5790000000000002</v>
      </c>
      <c r="K30" s="35" t="s">
        <v>178</v>
      </c>
      <c r="L30" s="41" t="s">
        <v>179</v>
      </c>
      <c r="P30" s="35" t="s">
        <v>178</v>
      </c>
      <c r="Q30" s="41" t="s">
        <v>224</v>
      </c>
    </row>
    <row r="31" spans="1:18" ht="31.5" x14ac:dyDescent="0.25">
      <c r="A31" s="21"/>
      <c r="B31" s="16"/>
      <c r="C31" s="11" t="s">
        <v>7</v>
      </c>
      <c r="D31" s="11">
        <f>10300/(20000/300)</f>
        <v>154.5</v>
      </c>
      <c r="F31" s="16"/>
      <c r="G31" s="11" t="s">
        <v>18</v>
      </c>
      <c r="H31" s="11">
        <v>2.0129999999999999</v>
      </c>
      <c r="K31" s="36" t="s">
        <v>180</v>
      </c>
      <c r="L31" s="40" t="s">
        <v>225</v>
      </c>
      <c r="P31" s="36" t="s">
        <v>180</v>
      </c>
      <c r="Q31" s="40" t="s">
        <v>225</v>
      </c>
    </row>
    <row r="32" spans="1:18" ht="15.75" x14ac:dyDescent="0.25">
      <c r="A32" s="21"/>
      <c r="F32" s="12" t="s">
        <v>142</v>
      </c>
      <c r="G32" s="11" t="s">
        <v>22</v>
      </c>
      <c r="H32" s="11">
        <f>899/(100/1)</f>
        <v>8.99</v>
      </c>
      <c r="I32" s="21">
        <f>AVERAGE(H32,H33,H34)</f>
        <v>15.576666666666668</v>
      </c>
      <c r="K32" s="12" t="s">
        <v>154</v>
      </c>
      <c r="P32" s="45" t="s">
        <v>227</v>
      </c>
      <c r="Q32" s="17"/>
    </row>
    <row r="33" spans="1:19" ht="15.75" x14ac:dyDescent="0.25">
      <c r="A33" s="21"/>
      <c r="F33" s="16" t="s">
        <v>137</v>
      </c>
      <c r="G33" s="11" t="s">
        <v>23</v>
      </c>
      <c r="H33" s="11">
        <f>2012/(100/1)</f>
        <v>20.12</v>
      </c>
      <c r="K33" s="35" t="s">
        <v>178</v>
      </c>
      <c r="L33" s="28" t="s">
        <v>230</v>
      </c>
      <c r="P33" s="35" t="s">
        <v>178</v>
      </c>
      <c r="Q33" s="44" t="s">
        <v>237</v>
      </c>
    </row>
    <row r="34" spans="1:19" ht="15.75" x14ac:dyDescent="0.25">
      <c r="A34" s="21"/>
      <c r="F34" s="16"/>
      <c r="G34" s="11" t="s">
        <v>24</v>
      </c>
      <c r="H34" s="11">
        <f>1762/(100/1)</f>
        <v>17.62</v>
      </c>
      <c r="K34" s="36" t="s">
        <v>180</v>
      </c>
      <c r="L34" s="11" t="s">
        <v>229</v>
      </c>
      <c r="P34" s="36" t="s">
        <v>180</v>
      </c>
      <c r="Q34" s="17" t="s">
        <v>236</v>
      </c>
    </row>
    <row r="35" spans="1:19" x14ac:dyDescent="0.25">
      <c r="A35" s="21"/>
      <c r="F35" s="12" t="s">
        <v>140</v>
      </c>
      <c r="G35" s="11" t="s">
        <v>25</v>
      </c>
      <c r="H35" s="11">
        <f>2417/(50/1)</f>
        <v>48.34</v>
      </c>
      <c r="I35" s="21">
        <f>AVERAGE(H35,H36,H37)</f>
        <v>43.5</v>
      </c>
      <c r="K35" s="12" t="s">
        <v>177</v>
      </c>
      <c r="P35" s="12" t="s">
        <v>177</v>
      </c>
      <c r="Q35" s="17"/>
    </row>
    <row r="36" spans="1:19" ht="48" customHeight="1" x14ac:dyDescent="0.25">
      <c r="A36" s="21"/>
      <c r="F36" s="16" t="s">
        <v>137</v>
      </c>
      <c r="G36" s="11" t="s">
        <v>26</v>
      </c>
      <c r="H36" s="11">
        <f>2835/(50/1)</f>
        <v>56.7</v>
      </c>
      <c r="K36" s="35" t="s">
        <v>178</v>
      </c>
      <c r="L36" s="11" t="s">
        <v>235</v>
      </c>
      <c r="P36" s="47" t="s">
        <v>178</v>
      </c>
      <c r="Q36" s="17" t="s">
        <v>181</v>
      </c>
    </row>
    <row r="37" spans="1:19" ht="39.75" customHeight="1" x14ac:dyDescent="0.25">
      <c r="A37" s="21"/>
      <c r="F37" s="16"/>
      <c r="G37" s="11" t="s">
        <v>27</v>
      </c>
      <c r="H37" s="11">
        <f>1273/(50/1)</f>
        <v>25.46</v>
      </c>
      <c r="K37" s="36" t="s">
        <v>180</v>
      </c>
      <c r="L37" s="11" t="s">
        <v>187</v>
      </c>
      <c r="P37" s="48" t="s">
        <v>180</v>
      </c>
      <c r="Q37" s="17" t="s">
        <v>187</v>
      </c>
    </row>
    <row r="38" spans="1:19" ht="15.75" x14ac:dyDescent="0.25">
      <c r="A38" s="21"/>
      <c r="K38" s="45" t="s">
        <v>227</v>
      </c>
      <c r="L38" s="39"/>
      <c r="P38" s="45" t="s">
        <v>226</v>
      </c>
      <c r="Q38" s="17"/>
    </row>
    <row r="39" spans="1:19" ht="43.5" customHeight="1" x14ac:dyDescent="0.25">
      <c r="A39" s="31" t="s">
        <v>285</v>
      </c>
      <c r="B39" s="33">
        <f>SUM(E29,I29,I32,I35)</f>
        <v>268.38066666666668</v>
      </c>
      <c r="C39" s="17"/>
      <c r="K39" s="35" t="s">
        <v>178</v>
      </c>
      <c r="L39" s="39" t="s">
        <v>232</v>
      </c>
      <c r="P39" s="35" t="s">
        <v>178</v>
      </c>
      <c r="Q39" s="38" t="s">
        <v>234</v>
      </c>
    </row>
    <row r="40" spans="1:19" ht="52.5" customHeight="1" x14ac:dyDescent="0.25">
      <c r="A40" s="4"/>
      <c r="B40" s="33"/>
      <c r="C40" s="17"/>
      <c r="K40" s="36" t="s">
        <v>180</v>
      </c>
      <c r="L40" s="39" t="s">
        <v>231</v>
      </c>
      <c r="P40" s="36" t="s">
        <v>180</v>
      </c>
      <c r="Q40" s="39" t="s">
        <v>233</v>
      </c>
    </row>
    <row r="41" spans="1:19" ht="46.5" customHeight="1" x14ac:dyDescent="0.25">
      <c r="A41" s="32" t="s">
        <v>255</v>
      </c>
      <c r="B41" s="33" t="s">
        <v>264</v>
      </c>
      <c r="C41" s="17"/>
      <c r="L41" s="39"/>
      <c r="Q41" s="17"/>
    </row>
    <row r="42" spans="1:19" ht="57" customHeight="1" x14ac:dyDescent="0.25">
      <c r="A42" s="42" t="s">
        <v>256</v>
      </c>
      <c r="B42" s="33" t="s">
        <v>262</v>
      </c>
      <c r="C42" s="17"/>
      <c r="K42" s="43" t="s">
        <v>189</v>
      </c>
      <c r="L42" s="62"/>
      <c r="M42" s="46"/>
      <c r="N42" s="46"/>
      <c r="O42" s="46"/>
      <c r="P42" s="43" t="s">
        <v>189</v>
      </c>
      <c r="Q42" s="46"/>
      <c r="R42" s="46"/>
      <c r="S42" s="46"/>
    </row>
    <row r="43" spans="1:19" ht="65.25" customHeight="1" x14ac:dyDescent="0.25">
      <c r="A43" s="32" t="s">
        <v>257</v>
      </c>
      <c r="B43" s="33" t="s">
        <v>263</v>
      </c>
      <c r="C43" s="17"/>
      <c r="K43" s="8" t="s">
        <v>190</v>
      </c>
      <c r="L43" s="39"/>
      <c r="M43" s="49">
        <f>AVERAGE(353.2,206)</f>
        <v>279.60000000000002</v>
      </c>
      <c r="N43" s="49">
        <f>AVERAGE(3535.2,618)</f>
        <v>2076.6</v>
      </c>
      <c r="P43" s="8" t="s">
        <v>190</v>
      </c>
      <c r="Q43" s="17"/>
      <c r="R43" s="49">
        <f>AVERAGE(220.95,206,165.71)</f>
        <v>197.55333333333331</v>
      </c>
      <c r="S43" s="49">
        <f>AVERAGE(2209.5,618,1767.6)</f>
        <v>1531.7</v>
      </c>
    </row>
    <row r="44" spans="1:19" ht="75.75" customHeight="1" x14ac:dyDescent="0.25">
      <c r="A44" s="42" t="s">
        <v>258</v>
      </c>
      <c r="B44" s="33" t="s">
        <v>182</v>
      </c>
      <c r="C44" s="17"/>
      <c r="K44" s="27" t="s">
        <v>194</v>
      </c>
      <c r="M44" s="60" t="s">
        <v>320</v>
      </c>
      <c r="N44" s="61">
        <f>(268.38)+(279.6/2)</f>
        <v>408.18</v>
      </c>
      <c r="P44" s="27" t="s">
        <v>194</v>
      </c>
      <c r="Q44" s="17"/>
      <c r="R44" s="60" t="s">
        <v>321</v>
      </c>
      <c r="S44" s="61">
        <f>268.38+(197.55/2)</f>
        <v>367.15499999999997</v>
      </c>
    </row>
    <row r="45" spans="1:19" ht="75.75" customHeight="1" x14ac:dyDescent="0.25">
      <c r="A45" s="32" t="s">
        <v>316</v>
      </c>
      <c r="B45" s="33">
        <f>268.38+(640.06)</f>
        <v>908.43999999999994</v>
      </c>
      <c r="K45" s="35" t="s">
        <v>152</v>
      </c>
      <c r="L45" s="11" t="s">
        <v>199</v>
      </c>
      <c r="M45" s="51" t="s">
        <v>272</v>
      </c>
      <c r="N45" s="46">
        <f>(268.38*10)+(279.6*5)+(2076.6)</f>
        <v>6158.4</v>
      </c>
      <c r="P45" s="35" t="s">
        <v>313</v>
      </c>
      <c r="Q45" s="17" t="s">
        <v>239</v>
      </c>
      <c r="R45" s="51" t="s">
        <v>273</v>
      </c>
      <c r="S45" s="46">
        <f>(268.38*10)+(197.56*5)+(1531.7)</f>
        <v>5203.3</v>
      </c>
    </row>
    <row r="46" spans="1:19" ht="88.5" customHeight="1" x14ac:dyDescent="0.25">
      <c r="A46" s="32" t="s">
        <v>317</v>
      </c>
      <c r="B46" s="33">
        <f>268.38+(1005.02)</f>
        <v>1273.4000000000001</v>
      </c>
      <c r="K46" s="36" t="s">
        <v>153</v>
      </c>
      <c r="L46" s="28" t="s">
        <v>200</v>
      </c>
      <c r="M46" s="50"/>
      <c r="P46" s="36" t="s">
        <v>153</v>
      </c>
      <c r="Q46" s="44" t="s">
        <v>240</v>
      </c>
    </row>
    <row r="47" spans="1:19" ht="47.25" x14ac:dyDescent="0.25">
      <c r="A47" s="31" t="s">
        <v>261</v>
      </c>
      <c r="B47" s="33">
        <f>(268.38*10)+(640.06*10)+(3110.7)</f>
        <v>12195.099999999999</v>
      </c>
      <c r="C47" s="17"/>
      <c r="K47" s="12" t="s">
        <v>196</v>
      </c>
      <c r="P47" s="12" t="s">
        <v>196</v>
      </c>
      <c r="Q47" s="17"/>
    </row>
    <row r="48" spans="1:19" ht="54.75" customHeight="1" x14ac:dyDescent="0.25">
      <c r="A48" s="31" t="s">
        <v>252</v>
      </c>
      <c r="B48" s="33">
        <f>(268.38*10)+(1005.02*10)+(5038.08)</f>
        <v>17772.080000000002</v>
      </c>
      <c r="C48" s="17"/>
      <c r="K48" s="35" t="s">
        <v>152</v>
      </c>
      <c r="L48" s="11" t="s">
        <v>201</v>
      </c>
      <c r="P48" s="35" t="s">
        <v>313</v>
      </c>
      <c r="Q48" s="17" t="s">
        <v>201</v>
      </c>
    </row>
    <row r="49" spans="1:19" ht="15.75" x14ac:dyDescent="0.25">
      <c r="A49" s="31"/>
      <c r="B49" s="33"/>
      <c r="C49" s="17"/>
      <c r="K49" s="36" t="s">
        <v>153</v>
      </c>
      <c r="L49" s="11" t="s">
        <v>202</v>
      </c>
      <c r="P49" s="36" t="s">
        <v>153</v>
      </c>
      <c r="Q49" s="17" t="s">
        <v>202</v>
      </c>
    </row>
    <row r="50" spans="1:19" ht="15.75" x14ac:dyDescent="0.25">
      <c r="A50" s="31"/>
      <c r="B50" s="33"/>
      <c r="C50" s="17"/>
      <c r="K50" s="12"/>
      <c r="P50" s="12" t="s">
        <v>241</v>
      </c>
      <c r="Q50" s="17"/>
    </row>
    <row r="51" spans="1:19" ht="15.75" x14ac:dyDescent="0.25">
      <c r="B51" s="3" t="s">
        <v>188</v>
      </c>
      <c r="C51" s="3" t="s">
        <v>184</v>
      </c>
      <c r="D51" s="3" t="s">
        <v>0</v>
      </c>
      <c r="E51" s="3" t="s">
        <v>19</v>
      </c>
      <c r="F51" s="3" t="s">
        <v>1</v>
      </c>
      <c r="G51" s="3" t="s">
        <v>184</v>
      </c>
      <c r="H51" s="3" t="s">
        <v>0</v>
      </c>
      <c r="I51" s="3" t="s">
        <v>20</v>
      </c>
      <c r="K51" s="35"/>
      <c r="P51" s="35" t="s">
        <v>313</v>
      </c>
      <c r="Q51" s="17" t="s">
        <v>242</v>
      </c>
    </row>
    <row r="52" spans="1:19" ht="31.5" x14ac:dyDescent="0.25">
      <c r="A52" s="7" t="s">
        <v>149</v>
      </c>
      <c r="B52" s="12" t="s">
        <v>28</v>
      </c>
      <c r="C52" s="11" t="s">
        <v>32</v>
      </c>
      <c r="D52" s="11">
        <f>1461/(100/0.02)</f>
        <v>0.29220000000000002</v>
      </c>
      <c r="E52" s="23">
        <f>AVERAGE(D52,D53,D54)</f>
        <v>0.4582</v>
      </c>
      <c r="F52" s="12" t="s">
        <v>11</v>
      </c>
      <c r="G52" s="11" t="s">
        <v>12</v>
      </c>
      <c r="H52" s="11">
        <f>255/(500/9)</f>
        <v>4.59</v>
      </c>
      <c r="I52" s="23">
        <f>AVERAGE(H52,H53,H54)</f>
        <v>5.4690000000000003</v>
      </c>
      <c r="K52" s="36"/>
      <c r="P52" s="36" t="s">
        <v>153</v>
      </c>
      <c r="Q52" s="17" t="s">
        <v>243</v>
      </c>
    </row>
    <row r="53" spans="1:19" ht="45" x14ac:dyDescent="0.25">
      <c r="A53" s="6" t="s">
        <v>148</v>
      </c>
      <c r="B53" s="16" t="s">
        <v>77</v>
      </c>
      <c r="C53" s="11" t="s">
        <v>33</v>
      </c>
      <c r="D53" s="11">
        <f>1647/(50/0.02)</f>
        <v>0.65880000000000005</v>
      </c>
      <c r="F53" s="24" t="s">
        <v>117</v>
      </c>
      <c r="G53" s="11" t="s">
        <v>14</v>
      </c>
      <c r="H53" s="11">
        <f>651/(1000/9)</f>
        <v>5.859</v>
      </c>
      <c r="K53" s="8" t="s">
        <v>191</v>
      </c>
      <c r="M53" s="49">
        <f>AVERAGE(1596.86,2356.8,1590.84)</f>
        <v>1848.1666666666667</v>
      </c>
      <c r="N53" s="49">
        <f>AVERAGE(9223.31,4713.6,633.39)</f>
        <v>4856.7666666666664</v>
      </c>
      <c r="P53" s="8" t="s">
        <v>191</v>
      </c>
      <c r="Q53" s="17"/>
      <c r="R53" s="49">
        <f>AVERAGE(1596.86,1473,530.28)</f>
        <v>1200.0466666666664</v>
      </c>
      <c r="S53" s="49">
        <f>AVERAGE(9223.31,2946,633.39)</f>
        <v>4267.5666666666666</v>
      </c>
    </row>
    <row r="54" spans="1:19" ht="71.25" customHeight="1" x14ac:dyDescent="0.25">
      <c r="A54" s="2"/>
      <c r="B54" s="16" t="s">
        <v>35</v>
      </c>
      <c r="C54" s="11" t="s">
        <v>34</v>
      </c>
      <c r="D54" s="11">
        <f>2118/(100/0.02)</f>
        <v>0.42359999999999998</v>
      </c>
      <c r="F54" s="16" t="s">
        <v>118</v>
      </c>
      <c r="G54" s="11" t="s">
        <v>13</v>
      </c>
      <c r="H54" s="11">
        <f>662/(1000/9)</f>
        <v>5.9580000000000002</v>
      </c>
      <c r="K54" s="27" t="s">
        <v>154</v>
      </c>
      <c r="M54" s="60" t="s">
        <v>320</v>
      </c>
      <c r="N54" s="61">
        <f>(268.38)+(1848.17/2)</f>
        <v>1192.4650000000001</v>
      </c>
      <c r="P54" s="27" t="s">
        <v>154</v>
      </c>
      <c r="Q54" s="17"/>
      <c r="R54" s="60" t="s">
        <v>321</v>
      </c>
      <c r="S54" s="61">
        <f>(268.38)+(1200.05/2)</f>
        <v>868.40499999999997</v>
      </c>
    </row>
    <row r="55" spans="1:19" ht="63" x14ac:dyDescent="0.25">
      <c r="A55" s="25"/>
      <c r="B55" s="12" t="s">
        <v>29</v>
      </c>
      <c r="C55" s="11" t="s">
        <v>36</v>
      </c>
      <c r="D55" s="11">
        <f>773/(100/0.04)</f>
        <v>0.30919999999999997</v>
      </c>
      <c r="E55" s="23">
        <f>AVERAGE(D55,D56,D57)</f>
        <v>0.21835466666666667</v>
      </c>
      <c r="F55" s="12" t="s">
        <v>98</v>
      </c>
      <c r="G55" s="11" t="s">
        <v>103</v>
      </c>
      <c r="H55" s="11">
        <f>1008/(1000/3)</f>
        <v>3.024</v>
      </c>
      <c r="I55" s="23">
        <f>AVERAGE(H55,H56,H57)</f>
        <v>4.3099999999999996</v>
      </c>
      <c r="K55" s="35" t="s">
        <v>152</v>
      </c>
      <c r="L55" s="11" t="s">
        <v>192</v>
      </c>
      <c r="M55" s="51" t="s">
        <v>274</v>
      </c>
      <c r="N55" s="46">
        <f>(268.38*10)+(1848.17*5)+(4856.77)</f>
        <v>16781.420000000002</v>
      </c>
      <c r="P55" s="35" t="s">
        <v>313</v>
      </c>
      <c r="Q55" s="17" t="s">
        <v>192</v>
      </c>
      <c r="R55" s="51" t="s">
        <v>275</v>
      </c>
      <c r="S55" s="46">
        <f>(268.38*10)+(1200.05*5)+(4267.57)</f>
        <v>12951.619999999999</v>
      </c>
    </row>
    <row r="56" spans="1:19" ht="15.75" x14ac:dyDescent="0.25">
      <c r="A56" s="25"/>
      <c r="B56" s="16" t="s">
        <v>39</v>
      </c>
      <c r="C56" s="11" t="s">
        <v>41</v>
      </c>
      <c r="D56" s="11">
        <f>297.55/(100/0.04)</f>
        <v>0.11902</v>
      </c>
      <c r="F56" s="16" t="s">
        <v>119</v>
      </c>
      <c r="G56" s="11" t="s">
        <v>121</v>
      </c>
      <c r="H56" s="11">
        <f>2309/(1000/3)</f>
        <v>6.9270000000000005</v>
      </c>
      <c r="K56" s="36" t="s">
        <v>153</v>
      </c>
      <c r="L56" s="11" t="s">
        <v>193</v>
      </c>
      <c r="P56" s="36" t="s">
        <v>153</v>
      </c>
      <c r="Q56" s="17" t="s">
        <v>193</v>
      </c>
    </row>
    <row r="57" spans="1:19" x14ac:dyDescent="0.25">
      <c r="A57" s="25"/>
      <c r="B57" s="16" t="s">
        <v>40</v>
      </c>
      <c r="C57" s="11" t="s">
        <v>42</v>
      </c>
      <c r="D57" s="11">
        <f>567.11/(100/0.04)</f>
        <v>0.22684400000000002</v>
      </c>
      <c r="F57" s="16" t="s">
        <v>120</v>
      </c>
      <c r="G57" s="11" t="s">
        <v>104</v>
      </c>
      <c r="H57" s="11">
        <f>993/(1000/3)</f>
        <v>2.9790000000000001</v>
      </c>
      <c r="K57" s="12" t="s">
        <v>194</v>
      </c>
      <c r="P57" s="12" t="s">
        <v>194</v>
      </c>
      <c r="Q57" s="17"/>
    </row>
    <row r="58" spans="1:19" ht="15.75" x14ac:dyDescent="0.25">
      <c r="A58" s="25"/>
      <c r="B58" s="12" t="s">
        <v>30</v>
      </c>
      <c r="C58" s="11" t="s">
        <v>46</v>
      </c>
      <c r="D58" s="11">
        <f>894/(1000/0.04)</f>
        <v>3.576E-2</v>
      </c>
      <c r="E58" s="23">
        <f>AVERAGE(D58,D59,D60)</f>
        <v>6.7240000000000008E-2</v>
      </c>
      <c r="F58" s="12" t="s">
        <v>99</v>
      </c>
      <c r="G58" s="11" t="s">
        <v>105</v>
      </c>
      <c r="H58" s="11">
        <f>900/(1000/2)</f>
        <v>1.8</v>
      </c>
      <c r="I58" s="23">
        <f>AVERAGE(H58,H59,H60)</f>
        <v>2.1413333333333333</v>
      </c>
      <c r="K58" s="35" t="s">
        <v>152</v>
      </c>
      <c r="L58" s="11" t="s">
        <v>203</v>
      </c>
      <c r="P58" s="35" t="s">
        <v>313</v>
      </c>
      <c r="Q58" s="17" t="s">
        <v>221</v>
      </c>
    </row>
    <row r="59" spans="1:19" ht="15.75" x14ac:dyDescent="0.25">
      <c r="A59" s="25"/>
      <c r="B59" s="16" t="s">
        <v>45</v>
      </c>
      <c r="C59" s="11" t="s">
        <v>43</v>
      </c>
      <c r="D59" s="11">
        <f>3010/(1000/0.04)</f>
        <v>0.12039999999999999</v>
      </c>
      <c r="F59" s="16" t="s">
        <v>122</v>
      </c>
      <c r="G59" s="11" t="s">
        <v>106</v>
      </c>
      <c r="H59" s="11">
        <f>692/(1000/2)</f>
        <v>1.3839999999999999</v>
      </c>
      <c r="K59" s="36" t="s">
        <v>153</v>
      </c>
      <c r="L59" s="11" t="s">
        <v>204</v>
      </c>
      <c r="P59" s="36" t="s">
        <v>153</v>
      </c>
      <c r="Q59" s="17" t="s">
        <v>238</v>
      </c>
    </row>
    <row r="60" spans="1:19" x14ac:dyDescent="0.25">
      <c r="A60" s="25"/>
      <c r="B60" s="16" t="s">
        <v>78</v>
      </c>
      <c r="C60" s="11" t="s">
        <v>44</v>
      </c>
      <c r="D60" s="11">
        <f>1139/(1000/0.04)</f>
        <v>4.5560000000000003E-2</v>
      </c>
      <c r="F60" s="16"/>
      <c r="G60" s="11" t="s">
        <v>107</v>
      </c>
      <c r="H60" s="11">
        <f>1620/(1000/2)</f>
        <v>3.24</v>
      </c>
      <c r="K60" s="12" t="s">
        <v>195</v>
      </c>
      <c r="P60" s="12" t="s">
        <v>195</v>
      </c>
      <c r="Q60" s="17"/>
    </row>
    <row r="61" spans="1:19" ht="15.75" x14ac:dyDescent="0.25">
      <c r="A61" s="25"/>
      <c r="B61" s="12" t="s">
        <v>50</v>
      </c>
      <c r="C61" s="11" t="s">
        <v>47</v>
      </c>
      <c r="D61" s="11">
        <f>1445/(1000/0.96)</f>
        <v>1.3872</v>
      </c>
      <c r="E61" s="23">
        <f>AVERAGE(D61,D62,D63)</f>
        <v>1.5753599999999999</v>
      </c>
      <c r="F61" s="12" t="s">
        <v>15</v>
      </c>
      <c r="G61" s="11" t="s">
        <v>16</v>
      </c>
      <c r="H61" s="11">
        <f>4200/(5000/19)</f>
        <v>15.96</v>
      </c>
      <c r="I61" s="23">
        <f>AVERAGE(H62,H61,H63)</f>
        <v>17.125333333333334</v>
      </c>
      <c r="K61" s="35" t="s">
        <v>152</v>
      </c>
      <c r="L61" s="11" t="s">
        <v>205</v>
      </c>
      <c r="P61" s="35" t="s">
        <v>313</v>
      </c>
      <c r="Q61" s="17" t="s">
        <v>244</v>
      </c>
    </row>
    <row r="62" spans="1:19" ht="30" x14ac:dyDescent="0.25">
      <c r="A62" s="25"/>
      <c r="B62" s="16" t="s">
        <v>45</v>
      </c>
      <c r="C62" s="11" t="s">
        <v>48</v>
      </c>
      <c r="D62" s="11">
        <f>2105/(1000/0.96)</f>
        <v>2.0207999999999999</v>
      </c>
      <c r="F62" s="24" t="s">
        <v>123</v>
      </c>
      <c r="G62" s="11" t="s">
        <v>17</v>
      </c>
      <c r="H62" s="11">
        <f>1193/(1000/19)</f>
        <v>22.667000000000002</v>
      </c>
      <c r="K62" s="36" t="s">
        <v>153</v>
      </c>
      <c r="L62" s="11" t="s">
        <v>206</v>
      </c>
      <c r="P62" s="36" t="s">
        <v>153</v>
      </c>
      <c r="Q62" s="17" t="s">
        <v>206</v>
      </c>
    </row>
    <row r="63" spans="1:19" ht="15.75" x14ac:dyDescent="0.25">
      <c r="A63" s="25"/>
      <c r="B63" s="16" t="s">
        <v>78</v>
      </c>
      <c r="C63" s="11" t="s">
        <v>49</v>
      </c>
      <c r="D63" s="11">
        <f>1373/(1000/0.96)</f>
        <v>1.3180799999999999</v>
      </c>
      <c r="F63" s="16" t="s">
        <v>124</v>
      </c>
      <c r="G63" s="11" t="s">
        <v>18</v>
      </c>
      <c r="H63" s="11">
        <f>671/(1000/19)</f>
        <v>12.749000000000001</v>
      </c>
      <c r="K63" s="8" t="s">
        <v>374</v>
      </c>
      <c r="M63" s="49">
        <f>AVERAGE(1590.84,648.12,412)</f>
        <v>883.65333333333331</v>
      </c>
      <c r="N63" s="49">
        <f>AVERAGE(633.39,648.12,618)</f>
        <v>633.16999999999996</v>
      </c>
      <c r="P63" s="8" t="s">
        <v>198</v>
      </c>
      <c r="Q63" s="17"/>
      <c r="R63" s="49">
        <f>AVERAGE(530.28,441.9,412)</f>
        <v>461.39333333333326</v>
      </c>
      <c r="S63" s="49">
        <f>AVERAGE(633.39,83.8,618)</f>
        <v>445.06333333333333</v>
      </c>
    </row>
    <row r="64" spans="1:19" ht="77.25" customHeight="1" x14ac:dyDescent="0.25">
      <c r="A64" s="25"/>
      <c r="B64" s="12" t="s">
        <v>54</v>
      </c>
      <c r="C64" s="11" t="s">
        <v>51</v>
      </c>
      <c r="D64" s="11">
        <f>1131/(500/0.01619)</f>
        <v>3.662178E-2</v>
      </c>
      <c r="E64" s="23">
        <f>AVERAGE(D64,D65,D66)</f>
        <v>4.0399446666666665E-2</v>
      </c>
      <c r="F64" s="12" t="s">
        <v>100</v>
      </c>
      <c r="G64" s="11" t="s">
        <v>110</v>
      </c>
      <c r="H64" s="11">
        <f>11750/(15000/6)</f>
        <v>4.7</v>
      </c>
      <c r="I64" s="23">
        <f>AVERAGE(H64,H65,H66)</f>
        <v>2.6812666666666671</v>
      </c>
      <c r="K64" s="27" t="s">
        <v>195</v>
      </c>
      <c r="M64" s="60" t="s">
        <v>320</v>
      </c>
      <c r="N64" s="61">
        <f>(268.38)+(883.65/2)</f>
        <v>710.20499999999993</v>
      </c>
      <c r="P64" s="27" t="s">
        <v>195</v>
      </c>
      <c r="Q64" s="17"/>
      <c r="R64" s="60" t="s">
        <v>321</v>
      </c>
      <c r="S64" s="61">
        <f>(268.38)+(461.39/2)</f>
        <v>499.07499999999999</v>
      </c>
    </row>
    <row r="65" spans="1:19" ht="63" x14ac:dyDescent="0.25">
      <c r="A65" s="25"/>
      <c r="B65" s="16" t="s">
        <v>55</v>
      </c>
      <c r="C65" s="11" t="s">
        <v>52</v>
      </c>
      <c r="D65" s="11">
        <f>1023/(500/0.01619)</f>
        <v>3.312474E-2</v>
      </c>
      <c r="F65" s="16" t="s">
        <v>125</v>
      </c>
      <c r="G65" s="11" t="s">
        <v>108</v>
      </c>
      <c r="H65" s="11">
        <f>2503/(10000/6)</f>
        <v>1.5018</v>
      </c>
      <c r="K65" s="35" t="s">
        <v>152</v>
      </c>
      <c r="L65" s="11" t="s">
        <v>205</v>
      </c>
      <c r="M65" s="51" t="s">
        <v>277</v>
      </c>
      <c r="N65" s="46">
        <f>(268.38*10)+(883.65*5)+(633*5)</f>
        <v>10267.049999999999</v>
      </c>
      <c r="P65" s="35" t="s">
        <v>313</v>
      </c>
      <c r="Q65" s="17" t="s">
        <v>244</v>
      </c>
      <c r="R65" s="51" t="s">
        <v>276</v>
      </c>
      <c r="S65" s="46">
        <f>(268.38*10)+(461.39*5)+(445.06*5)</f>
        <v>7216.05</v>
      </c>
    </row>
    <row r="66" spans="1:19" ht="30" x14ac:dyDescent="0.25">
      <c r="A66" s="25"/>
      <c r="B66" s="24" t="s">
        <v>79</v>
      </c>
      <c r="C66" s="11" t="s">
        <v>53</v>
      </c>
      <c r="D66" s="11">
        <f>1589/(500/0.01619)</f>
        <v>5.1451819999999995E-2</v>
      </c>
      <c r="F66" s="16" t="s">
        <v>126</v>
      </c>
      <c r="G66" s="11" t="s">
        <v>109</v>
      </c>
      <c r="H66" s="11">
        <f>307/(1000/6)</f>
        <v>1.8420000000000001</v>
      </c>
      <c r="K66" s="36" t="s">
        <v>153</v>
      </c>
      <c r="L66" s="11" t="s">
        <v>206</v>
      </c>
      <c r="P66" s="36" t="s">
        <v>153</v>
      </c>
      <c r="Q66" s="17" t="s">
        <v>206</v>
      </c>
      <c r="R66" s="50"/>
      <c r="S66" s="17"/>
    </row>
    <row r="67" spans="1:19" x14ac:dyDescent="0.25">
      <c r="A67" s="25"/>
      <c r="B67" s="12" t="s">
        <v>56</v>
      </c>
      <c r="C67" s="11" t="s">
        <v>57</v>
      </c>
      <c r="D67" s="11">
        <f>465/(500/1.4)</f>
        <v>1.3019999999999998</v>
      </c>
      <c r="E67" s="23">
        <f>AVERAGE(D67,D68,D69)</f>
        <v>1.0169366666666668</v>
      </c>
      <c r="F67" s="12" t="s">
        <v>101</v>
      </c>
      <c r="G67" s="11" t="s">
        <v>111</v>
      </c>
      <c r="H67" s="11">
        <f>5226/(5000/35)</f>
        <v>36.582000000000001</v>
      </c>
      <c r="I67" s="23">
        <f>AVERAGE(H67,H68,H69)</f>
        <v>38.770666666666664</v>
      </c>
      <c r="K67" s="12" t="s">
        <v>197</v>
      </c>
      <c r="P67" s="12" t="s">
        <v>245</v>
      </c>
      <c r="Q67" s="17"/>
    </row>
    <row r="68" spans="1:19" ht="15.75" x14ac:dyDescent="0.25">
      <c r="A68" s="25"/>
      <c r="B68" s="16" t="s">
        <v>80</v>
      </c>
      <c r="C68" s="11" t="s">
        <v>58</v>
      </c>
      <c r="D68" s="11">
        <f>939/(1000/1.4)</f>
        <v>1.3146</v>
      </c>
      <c r="F68" s="16" t="s">
        <v>127</v>
      </c>
      <c r="G68" s="11" t="s">
        <v>112</v>
      </c>
      <c r="H68" s="11">
        <f>1747/(1000/35)</f>
        <v>61.144999999999996</v>
      </c>
      <c r="K68" s="35" t="s">
        <v>152</v>
      </c>
      <c r="L68" s="11" t="s">
        <v>282</v>
      </c>
      <c r="P68" s="35" t="s">
        <v>313</v>
      </c>
      <c r="Q68" s="44" t="s">
        <v>246</v>
      </c>
    </row>
    <row r="69" spans="1:19" ht="30" x14ac:dyDescent="0.25">
      <c r="A69" s="25"/>
      <c r="B69" s="16" t="s">
        <v>81</v>
      </c>
      <c r="C69" s="11" t="s">
        <v>59</v>
      </c>
      <c r="D69" s="11">
        <f>6203/(20000/1.4)</f>
        <v>0.43420999999999998</v>
      </c>
      <c r="F69" s="24" t="s">
        <v>128</v>
      </c>
      <c r="G69" s="11" t="s">
        <v>113</v>
      </c>
      <c r="H69" s="11">
        <f>531/(1000/35)</f>
        <v>18.584999999999997</v>
      </c>
      <c r="K69" s="36" t="s">
        <v>153</v>
      </c>
      <c r="L69" s="11" t="s">
        <v>282</v>
      </c>
      <c r="P69" s="36" t="s">
        <v>153</v>
      </c>
      <c r="Q69" s="17" t="s">
        <v>247</v>
      </c>
    </row>
    <row r="70" spans="1:19" x14ac:dyDescent="0.25">
      <c r="A70" s="25"/>
      <c r="B70" s="12" t="s">
        <v>60</v>
      </c>
      <c r="C70" s="11" t="s">
        <v>61</v>
      </c>
      <c r="D70" s="11">
        <f>1690/(1000/0.204)</f>
        <v>0.34476000000000001</v>
      </c>
      <c r="E70" s="23">
        <f>AVERAGE(D70,D71,D72)</f>
        <v>0.221</v>
      </c>
      <c r="F70" s="12" t="s">
        <v>102</v>
      </c>
      <c r="G70" s="11" t="s">
        <v>114</v>
      </c>
      <c r="H70" s="11">
        <f>3354/(50/2)</f>
        <v>134.16</v>
      </c>
      <c r="I70" s="23">
        <f>AVERAGE(H70,H71,H72)</f>
        <v>141.66666666666666</v>
      </c>
      <c r="K70" s="12" t="s">
        <v>196</v>
      </c>
      <c r="P70" s="12" t="s">
        <v>196</v>
      </c>
      <c r="Q70" s="17"/>
    </row>
    <row r="71" spans="1:19" ht="15.75" x14ac:dyDescent="0.25">
      <c r="A71" s="25"/>
      <c r="B71" s="16" t="s">
        <v>83</v>
      </c>
      <c r="C71" s="11" t="s">
        <v>62</v>
      </c>
      <c r="D71" s="11">
        <f>678/(1000/0.204)</f>
        <v>0.13831199999999999</v>
      </c>
      <c r="F71" s="16" t="s">
        <v>130</v>
      </c>
      <c r="G71" s="11" t="s">
        <v>115</v>
      </c>
      <c r="H71" s="11">
        <f>3598/(50/2)</f>
        <v>143.91999999999999</v>
      </c>
      <c r="K71" s="35" t="s">
        <v>152</v>
      </c>
      <c r="L71" s="11" t="s">
        <v>283</v>
      </c>
      <c r="P71" s="35" t="s">
        <v>313</v>
      </c>
      <c r="Q71" s="17" t="s">
        <v>283</v>
      </c>
    </row>
    <row r="72" spans="1:19" ht="15.75" x14ac:dyDescent="0.25">
      <c r="A72" s="25"/>
      <c r="B72" s="16" t="s">
        <v>82</v>
      </c>
      <c r="C72" s="11" t="s">
        <v>63</v>
      </c>
      <c r="D72" s="11">
        <f>882/(1000/0.204)</f>
        <v>0.179928</v>
      </c>
      <c r="F72" s="16" t="s">
        <v>129</v>
      </c>
      <c r="G72" s="11" t="s">
        <v>116</v>
      </c>
      <c r="H72" s="11">
        <f>3673/(50/2)</f>
        <v>146.91999999999999</v>
      </c>
      <c r="K72" s="36" t="s">
        <v>153</v>
      </c>
      <c r="L72" s="11" t="s">
        <v>202</v>
      </c>
      <c r="P72" s="36" t="s">
        <v>153</v>
      </c>
      <c r="Q72" s="17" t="s">
        <v>202</v>
      </c>
    </row>
    <row r="73" spans="1:19" ht="30" x14ac:dyDescent="0.25">
      <c r="A73" s="25"/>
      <c r="B73" s="12" t="s">
        <v>64</v>
      </c>
      <c r="C73" s="11" t="s">
        <v>65</v>
      </c>
      <c r="D73" s="11">
        <f>1294/(1000/7.5)</f>
        <v>9.7050000000000001</v>
      </c>
      <c r="E73" s="23">
        <f>AVERAGE(D73,D74,D75)</f>
        <v>6.7674999999999992</v>
      </c>
      <c r="F73" s="27" t="s">
        <v>369</v>
      </c>
      <c r="G73" s="11" t="s">
        <v>370</v>
      </c>
      <c r="H73" s="11">
        <f>(367.47/1754)*3</f>
        <v>0.62851197263397951</v>
      </c>
      <c r="I73" s="23">
        <f>(367.47/1754)*3</f>
        <v>0.62851197263397951</v>
      </c>
      <c r="K73" s="8" t="s">
        <v>248</v>
      </c>
      <c r="M73" s="49">
        <v>220.95</v>
      </c>
      <c r="N73" s="49">
        <v>165.71</v>
      </c>
      <c r="P73" s="8" t="s">
        <v>248</v>
      </c>
      <c r="R73" s="49">
        <v>73.650000000000006</v>
      </c>
      <c r="S73" s="49">
        <v>165.71</v>
      </c>
    </row>
    <row r="74" spans="1:19" ht="90" x14ac:dyDescent="0.25">
      <c r="A74" s="25"/>
      <c r="B74" s="24" t="s">
        <v>84</v>
      </c>
      <c r="C74" s="11" t="s">
        <v>66</v>
      </c>
      <c r="D74" s="11">
        <f>594/(1000/7.5)</f>
        <v>4.4550000000000001</v>
      </c>
      <c r="F74" s="24" t="s">
        <v>371</v>
      </c>
      <c r="K74" s="27" t="s">
        <v>241</v>
      </c>
      <c r="M74" s="60" t="s">
        <v>320</v>
      </c>
      <c r="N74" s="61">
        <f>(268.38)+(220.95/2)</f>
        <v>378.85500000000002</v>
      </c>
      <c r="P74" s="27" t="s">
        <v>241</v>
      </c>
      <c r="R74" s="60" t="s">
        <v>321</v>
      </c>
      <c r="S74" s="61">
        <f>(268.38)+(73.65/2)</f>
        <v>305.20499999999998</v>
      </c>
    </row>
    <row r="75" spans="1:19" ht="63" x14ac:dyDescent="0.25">
      <c r="A75" s="25"/>
      <c r="B75" s="16"/>
      <c r="C75" s="11" t="s">
        <v>67</v>
      </c>
      <c r="D75" s="11">
        <f>819/(1000/7.5)</f>
        <v>6.1424999999999992</v>
      </c>
      <c r="F75" s="24" t="s">
        <v>372</v>
      </c>
      <c r="K75" s="35" t="s">
        <v>152</v>
      </c>
      <c r="L75" s="11" t="s">
        <v>239</v>
      </c>
      <c r="M75" s="51" t="s">
        <v>278</v>
      </c>
      <c r="N75" s="46">
        <f>(268.38*10)+(220.95*5)+(165.71*5)</f>
        <v>4617.1000000000004</v>
      </c>
      <c r="P75" s="35" t="s">
        <v>313</v>
      </c>
      <c r="Q75" s="11" t="s">
        <v>249</v>
      </c>
      <c r="R75" s="51" t="s">
        <v>279</v>
      </c>
      <c r="S75" s="46">
        <f>(268.38*10)+(73.65*5)+(165.71*5)</f>
        <v>3880.6000000000004</v>
      </c>
    </row>
    <row r="76" spans="1:19" ht="15.75" x14ac:dyDescent="0.25">
      <c r="A76" s="25"/>
      <c r="B76" s="12" t="s">
        <v>68</v>
      </c>
      <c r="C76" s="11" t="s">
        <v>70</v>
      </c>
      <c r="D76" s="11">
        <f>1294/(10/0.45)</f>
        <v>58.230000000000004</v>
      </c>
      <c r="E76" s="23">
        <f>AVERAGE(D76,D77,D78)</f>
        <v>52.338000000000001</v>
      </c>
      <c r="K76" s="36" t="s">
        <v>153</v>
      </c>
      <c r="L76" s="11" t="s">
        <v>242</v>
      </c>
      <c r="P76" s="36" t="s">
        <v>153</v>
      </c>
      <c r="Q76" s="11" t="s">
        <v>242</v>
      </c>
    </row>
    <row r="77" spans="1:19" ht="15.75" x14ac:dyDescent="0.25">
      <c r="A77" s="25"/>
      <c r="B77" s="16" t="s">
        <v>69</v>
      </c>
      <c r="C77" s="11" t="s">
        <v>71</v>
      </c>
      <c r="D77" s="11">
        <f>3590/(25/0.45)</f>
        <v>64.62</v>
      </c>
      <c r="K77" s="8" t="s">
        <v>250</v>
      </c>
      <c r="M77" s="49">
        <f>AVERAGE(648.12,1590.84)</f>
        <v>1119.48</v>
      </c>
      <c r="N77" s="49">
        <f>AVERAGE(648.12,633.39)</f>
        <v>640.755</v>
      </c>
      <c r="P77" s="8" t="s">
        <v>250</v>
      </c>
      <c r="R77" s="49">
        <f>AVERAGE(648.12,338.79)</f>
        <v>493.45500000000004</v>
      </c>
      <c r="S77" s="49">
        <f>AVERAGE(648.12,633.39)</f>
        <v>640.755</v>
      </c>
    </row>
    <row r="78" spans="1:19" ht="69.75" customHeight="1" x14ac:dyDescent="0.25">
      <c r="A78" s="25"/>
      <c r="B78" s="24" t="s">
        <v>85</v>
      </c>
      <c r="C78" s="11" t="s">
        <v>72</v>
      </c>
      <c r="D78" s="11">
        <f>1898/(25/0.45)</f>
        <v>34.164000000000001</v>
      </c>
      <c r="K78" s="27" t="s">
        <v>251</v>
      </c>
      <c r="M78" s="60" t="s">
        <v>320</v>
      </c>
      <c r="N78" s="61">
        <f>(268.38)+(1119.48/2)</f>
        <v>828.12</v>
      </c>
      <c r="P78" s="27" t="s">
        <v>251</v>
      </c>
      <c r="R78" s="60" t="s">
        <v>321</v>
      </c>
      <c r="S78" s="61">
        <f>(268.38)+(493.46/2)</f>
        <v>515.11</v>
      </c>
    </row>
    <row r="79" spans="1:19" ht="63" x14ac:dyDescent="0.25">
      <c r="A79" s="25"/>
      <c r="B79" s="12" t="s">
        <v>175</v>
      </c>
      <c r="C79" s="14" t="s">
        <v>74</v>
      </c>
      <c r="D79" s="11">
        <f>8183/(200/3)</f>
        <v>122.74499999999999</v>
      </c>
      <c r="E79" s="23">
        <f>AVERAGE(D79,D80,D81)</f>
        <v>96.836999999999989</v>
      </c>
      <c r="K79" s="35" t="s">
        <v>152</v>
      </c>
      <c r="L79" s="11" t="s">
        <v>282</v>
      </c>
      <c r="M79" s="51" t="s">
        <v>280</v>
      </c>
      <c r="N79" s="46">
        <f>(268.38*10)+(1119.48*5)+(640.76*5)</f>
        <v>11485</v>
      </c>
      <c r="P79" s="35" t="s">
        <v>313</v>
      </c>
      <c r="Q79" s="11" t="s">
        <v>282</v>
      </c>
      <c r="R79" s="51" t="s">
        <v>281</v>
      </c>
      <c r="S79" s="46">
        <f>(268.38*10)+(493.46*5)+(640.76*5)</f>
        <v>8354.9000000000015</v>
      </c>
    </row>
    <row r="80" spans="1:19" ht="48.75" customHeight="1" x14ac:dyDescent="0.25">
      <c r="A80" s="25"/>
      <c r="B80" s="24" t="s">
        <v>73</v>
      </c>
      <c r="C80" s="11" t="s">
        <v>75</v>
      </c>
      <c r="D80" s="11">
        <f>6278/(250/3)</f>
        <v>75.335999999999999</v>
      </c>
      <c r="F80" s="26"/>
      <c r="K80" s="36" t="s">
        <v>153</v>
      </c>
      <c r="L80" s="11" t="s">
        <v>282</v>
      </c>
      <c r="P80" s="36" t="s">
        <v>153</v>
      </c>
      <c r="Q80" s="11" t="s">
        <v>282</v>
      </c>
    </row>
    <row r="81" spans="1:17" x14ac:dyDescent="0.25">
      <c r="A81" s="25"/>
      <c r="B81" s="16" t="s">
        <v>92</v>
      </c>
      <c r="C81" s="11" t="s">
        <v>76</v>
      </c>
      <c r="D81" s="11">
        <f>3081/(100/3)</f>
        <v>92.429999999999993</v>
      </c>
      <c r="K81" s="12" t="s">
        <v>195</v>
      </c>
      <c r="P81" s="12" t="s">
        <v>195</v>
      </c>
    </row>
    <row r="82" spans="1:17" ht="30" x14ac:dyDescent="0.25">
      <c r="A82" s="25"/>
      <c r="B82" s="27" t="s">
        <v>91</v>
      </c>
      <c r="C82" s="14" t="s">
        <v>87</v>
      </c>
      <c r="D82" s="11">
        <f>37731/(4000/6)</f>
        <v>56.596500000000006</v>
      </c>
      <c r="E82" s="23">
        <f>AVERAGE(D82,D83,D84)</f>
        <v>98.843900000000005</v>
      </c>
      <c r="K82" s="35" t="s">
        <v>152</v>
      </c>
      <c r="L82" s="11" t="s">
        <v>205</v>
      </c>
      <c r="P82" s="35" t="s">
        <v>313</v>
      </c>
      <c r="Q82" s="11" t="s">
        <v>284</v>
      </c>
    </row>
    <row r="83" spans="1:17" ht="15.75" x14ac:dyDescent="0.25">
      <c r="A83" s="25"/>
      <c r="B83" s="24" t="s">
        <v>86</v>
      </c>
      <c r="C83" s="28" t="s">
        <v>90</v>
      </c>
      <c r="D83" s="11">
        <f>18883.86/(800/6)</f>
        <v>141.62895</v>
      </c>
      <c r="K83" s="36" t="s">
        <v>153</v>
      </c>
      <c r="L83" s="11" t="s">
        <v>206</v>
      </c>
      <c r="P83" s="36" t="s">
        <v>153</v>
      </c>
      <c r="Q83" s="11" t="s">
        <v>206</v>
      </c>
    </row>
    <row r="84" spans="1:17" ht="30" x14ac:dyDescent="0.25">
      <c r="A84" s="25"/>
      <c r="B84" s="24" t="s">
        <v>89</v>
      </c>
      <c r="C84" s="11" t="s">
        <v>88</v>
      </c>
      <c r="D84" s="11">
        <f>13107.5/(800/6)</f>
        <v>98.306249999999991</v>
      </c>
      <c r="K84" s="12"/>
      <c r="P84" s="12"/>
    </row>
    <row r="85" spans="1:17" ht="15.75" x14ac:dyDescent="0.25">
      <c r="A85" s="25"/>
      <c r="B85" s="12" t="s">
        <v>31</v>
      </c>
      <c r="C85" s="11" t="s">
        <v>94</v>
      </c>
      <c r="D85" s="11">
        <f>882/(10/0.2)</f>
        <v>17.64</v>
      </c>
      <c r="E85" s="23">
        <f>AVERAGE(D85,D86,D87)</f>
        <v>14.894</v>
      </c>
      <c r="K85" s="35"/>
      <c r="P85" s="35"/>
    </row>
    <row r="86" spans="1:17" ht="15.75" x14ac:dyDescent="0.25">
      <c r="A86" s="25"/>
      <c r="B86" s="16" t="s">
        <v>93</v>
      </c>
      <c r="C86" s="11" t="s">
        <v>95</v>
      </c>
      <c r="D86" s="11">
        <f>9012/(100/0.2)</f>
        <v>18.024000000000001</v>
      </c>
      <c r="K86" s="36"/>
      <c r="P86" s="36"/>
    </row>
    <row r="87" spans="1:17" ht="60" x14ac:dyDescent="0.25">
      <c r="A87" s="25"/>
      <c r="B87" s="24" t="s">
        <v>97</v>
      </c>
      <c r="C87" s="11" t="s">
        <v>96</v>
      </c>
      <c r="D87" s="11">
        <f>4509/(100/0.2)</f>
        <v>9.0180000000000007</v>
      </c>
    </row>
    <row r="88" spans="1:17" ht="30.75" customHeight="1" x14ac:dyDescent="0.25">
      <c r="A88" s="25"/>
      <c r="K88" s="93" t="s">
        <v>375</v>
      </c>
      <c r="L88" s="93"/>
    </row>
    <row r="89" spans="1:17" ht="75.75" customHeight="1" x14ac:dyDescent="0.25">
      <c r="A89" s="7" t="s">
        <v>183</v>
      </c>
      <c r="B89" s="34">
        <f>SUM(E52,E55,E58,E61,E64,E67,E70,E73,E76,I52,I55,I58,I61,I64,I67,I70,I73,E79,E82,E85)</f>
        <v>486.07066941930066</v>
      </c>
      <c r="K89" s="93"/>
      <c r="L89" s="93"/>
    </row>
    <row r="90" spans="1:17" ht="15.75" x14ac:dyDescent="0.25">
      <c r="A90" s="5"/>
      <c r="B90" s="34"/>
    </row>
    <row r="91" spans="1:17" ht="85.5" customHeight="1" x14ac:dyDescent="0.25">
      <c r="A91" s="7" t="s">
        <v>265</v>
      </c>
      <c r="B91" s="34" t="s">
        <v>267</v>
      </c>
    </row>
    <row r="92" spans="1:17" ht="87" customHeight="1" x14ac:dyDescent="0.25">
      <c r="A92" s="7" t="s">
        <v>266</v>
      </c>
      <c r="B92" s="34" t="s">
        <v>268</v>
      </c>
    </row>
    <row r="93" spans="1:17" ht="83.25" customHeight="1" x14ac:dyDescent="0.25">
      <c r="A93" s="7" t="s">
        <v>269</v>
      </c>
      <c r="B93" s="34">
        <f>893.88*10</f>
        <v>8938.7999999999993</v>
      </c>
    </row>
    <row r="94" spans="1:17" ht="75.75" customHeight="1" x14ac:dyDescent="0.25">
      <c r="A94" s="7" t="s">
        <v>270</v>
      </c>
      <c r="B94" s="5">
        <f>1244.7*10</f>
        <v>12447</v>
      </c>
    </row>
    <row r="99" spans="1:2" x14ac:dyDescent="0.25">
      <c r="A99" s="1" t="s">
        <v>271</v>
      </c>
    </row>
    <row r="100" spans="1:2" x14ac:dyDescent="0.25">
      <c r="A100" s="11" t="s">
        <v>37</v>
      </c>
      <c r="B100" s="28">
        <v>14.73</v>
      </c>
    </row>
    <row r="101" spans="1:2" x14ac:dyDescent="0.25">
      <c r="A101" s="11" t="s">
        <v>38</v>
      </c>
      <c r="B101" s="28">
        <v>17.37</v>
      </c>
    </row>
    <row r="102" spans="1:2" x14ac:dyDescent="0.25">
      <c r="A102" s="11" t="s">
        <v>173</v>
      </c>
      <c r="B102" s="28">
        <v>20.6</v>
      </c>
    </row>
    <row r="103" spans="1:2" x14ac:dyDescent="0.25">
      <c r="B103" s="1" t="s">
        <v>156</v>
      </c>
    </row>
    <row r="106" spans="1:2" x14ac:dyDescent="0.25">
      <c r="A106" s="29"/>
    </row>
    <row r="107" spans="1:2" x14ac:dyDescent="0.25">
      <c r="A107" s="29"/>
    </row>
    <row r="110" spans="1:2" ht="15" customHeight="1" x14ac:dyDescent="0.25">
      <c r="A110" s="37"/>
    </row>
    <row r="111" spans="1:2" ht="15" customHeight="1" x14ac:dyDescent="0.25">
      <c r="A111" s="37"/>
    </row>
    <row r="112" spans="1:2" ht="15" customHeight="1" x14ac:dyDescent="0.25">
      <c r="A112" s="37"/>
    </row>
    <row r="113" spans="1:9" ht="15" customHeight="1" x14ac:dyDescent="0.25">
      <c r="A113" s="37"/>
    </row>
    <row r="114" spans="1:9" x14ac:dyDescent="0.25">
      <c r="A114" s="37"/>
    </row>
    <row r="115" spans="1:9" ht="15.75" x14ac:dyDescent="0.25">
      <c r="A115" s="38"/>
    </row>
    <row r="116" spans="1:9" ht="15.75" x14ac:dyDescent="0.25">
      <c r="A116" s="40"/>
    </row>
    <row r="117" spans="1:9" ht="15.75" x14ac:dyDescent="0.25">
      <c r="A117" s="38"/>
    </row>
    <row r="118" spans="1:9" ht="15.75" x14ac:dyDescent="0.25">
      <c r="A118" s="40"/>
    </row>
    <row r="119" spans="1:9" ht="15.75" x14ac:dyDescent="0.25">
      <c r="A119" s="38"/>
    </row>
    <row r="120" spans="1:9" ht="15.75" x14ac:dyDescent="0.25">
      <c r="A120" s="39"/>
    </row>
    <row r="121" spans="1:9" x14ac:dyDescent="0.25">
      <c r="A121" s="92" t="s">
        <v>144</v>
      </c>
      <c r="B121" s="92"/>
      <c r="C121" s="92"/>
      <c r="D121" s="92"/>
      <c r="E121" s="92"/>
      <c r="F121" s="92"/>
      <c r="G121" s="92"/>
      <c r="H121" s="92"/>
      <c r="I121" s="92"/>
    </row>
    <row r="122" spans="1:9" x14ac:dyDescent="0.25">
      <c r="A122" s="92"/>
      <c r="B122" s="92"/>
      <c r="C122" s="92"/>
      <c r="D122" s="92"/>
      <c r="E122" s="92"/>
      <c r="F122" s="92"/>
      <c r="G122" s="92"/>
      <c r="H122" s="92"/>
      <c r="I122" s="92"/>
    </row>
    <row r="123" spans="1:9" x14ac:dyDescent="0.25">
      <c r="A123" s="92"/>
      <c r="B123" s="92"/>
      <c r="C123" s="92"/>
      <c r="D123" s="92"/>
      <c r="E123" s="92"/>
      <c r="F123" s="92"/>
      <c r="G123" s="92"/>
      <c r="H123" s="92"/>
      <c r="I123" s="92"/>
    </row>
    <row r="124" spans="1:9" x14ac:dyDescent="0.25">
      <c r="A124" s="92"/>
      <c r="B124" s="92"/>
      <c r="C124" s="92"/>
      <c r="D124" s="92"/>
      <c r="E124" s="92"/>
      <c r="F124" s="92"/>
      <c r="G124" s="92"/>
      <c r="H124" s="92"/>
      <c r="I124" s="92"/>
    </row>
  </sheetData>
  <sheetProtection algorithmName="SHA-512" hashValue="uRi8Mysm2/qhzOmNQsNCKt1FtMr0CiDX45PGO+1uvmAFmhZeY23YnnX4u/qCcAy96HWdSyjwxI4Rzku7PUCB1A==" saltValue="1yD6+S5D0NkoCTwNXYsbfw==" spinCount="100000" sheet="1" formatCells="0" formatColumns="0" formatRows="0" insertColumns="0" insertRows="0" insertHyperlinks="0" deleteColumns="0" deleteRows="0" sort="0" autoFilter="0" pivotTables="0"/>
  <mergeCells count="3">
    <mergeCell ref="A121:I124"/>
    <mergeCell ref="K88:L89"/>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65DA8-8FF8-4C42-B22C-B26E81CE872A}">
  <dimension ref="A1:O195"/>
  <sheetViews>
    <sheetView zoomScale="90" zoomScaleNormal="90" workbookViewId="0"/>
  </sheetViews>
  <sheetFormatPr defaultRowHeight="15" x14ac:dyDescent="0.25"/>
  <cols>
    <col min="1" max="1" width="108.85546875" customWidth="1"/>
    <col min="2" max="2" width="35" customWidth="1"/>
    <col min="3" max="3" width="23" customWidth="1"/>
    <col min="4" max="4" width="39" customWidth="1"/>
    <col min="5" max="5" width="48.5703125" customWidth="1"/>
    <col min="6" max="6" width="16.140625" customWidth="1"/>
    <col min="7" max="7" width="21" customWidth="1"/>
    <col min="8" max="8" width="21.7109375" customWidth="1"/>
    <col min="9" max="9" width="38" customWidth="1"/>
    <col min="10" max="10" width="15.5703125" customWidth="1"/>
    <col min="11" max="11" width="25.28515625" customWidth="1"/>
    <col min="12" max="13" width="22.42578125" customWidth="1"/>
    <col min="14" max="14" width="25.5703125" customWidth="1"/>
  </cols>
  <sheetData>
    <row r="1" spans="1:14" ht="51.75" customHeight="1" x14ac:dyDescent="0.25">
      <c r="A1" s="1" t="s">
        <v>304</v>
      </c>
      <c r="B1" s="1" t="s">
        <v>143</v>
      </c>
      <c r="C1" s="55" t="s">
        <v>307</v>
      </c>
      <c r="D1" s="55" t="s">
        <v>345</v>
      </c>
      <c r="E1" s="55"/>
      <c r="F1" s="1"/>
      <c r="G1" s="55"/>
      <c r="H1" s="55"/>
      <c r="I1" s="55"/>
      <c r="J1" s="1"/>
      <c r="K1" s="55"/>
      <c r="L1" s="55"/>
      <c r="M1" s="55"/>
    </row>
    <row r="2" spans="1:14" ht="20.25" customHeight="1" x14ac:dyDescent="0.25">
      <c r="A2" s="1" t="s">
        <v>380</v>
      </c>
      <c r="B2" s="1"/>
      <c r="C2" s="55"/>
      <c r="D2" s="55"/>
      <c r="E2" s="55"/>
      <c r="F2" s="1"/>
      <c r="G2" s="55"/>
      <c r="H2" s="55"/>
      <c r="I2" s="55"/>
      <c r="J2" s="1"/>
      <c r="K2" s="55"/>
      <c r="L2" s="55"/>
      <c r="M2" s="55"/>
    </row>
    <row r="3" spans="1:14" x14ac:dyDescent="0.25">
      <c r="A3" s="77" t="s">
        <v>308</v>
      </c>
      <c r="B3" t="s">
        <v>288</v>
      </c>
      <c r="L3" s="54"/>
      <c r="M3" s="54"/>
    </row>
    <row r="4" spans="1:14" x14ac:dyDescent="0.25">
      <c r="E4" s="54"/>
      <c r="I4" s="54"/>
      <c r="L4" s="54"/>
      <c r="M4" s="54"/>
    </row>
    <row r="5" spans="1:14" x14ac:dyDescent="0.25">
      <c r="A5" s="52" t="s">
        <v>255</v>
      </c>
      <c r="B5" t="s">
        <v>259</v>
      </c>
      <c r="L5" s="54"/>
      <c r="M5" s="54"/>
    </row>
    <row r="6" spans="1:14" x14ac:dyDescent="0.25">
      <c r="A6" s="53" t="s">
        <v>257</v>
      </c>
      <c r="B6" t="s">
        <v>253</v>
      </c>
      <c r="L6" s="54"/>
      <c r="M6" s="54"/>
    </row>
    <row r="7" spans="1:14" x14ac:dyDescent="0.25">
      <c r="A7" s="52" t="s">
        <v>256</v>
      </c>
      <c r="B7" t="s">
        <v>260</v>
      </c>
      <c r="L7" s="54"/>
      <c r="M7" s="54"/>
    </row>
    <row r="8" spans="1:14" x14ac:dyDescent="0.25">
      <c r="A8" s="53" t="s">
        <v>258</v>
      </c>
      <c r="B8" t="s">
        <v>254</v>
      </c>
      <c r="L8" s="54"/>
      <c r="M8" s="54"/>
    </row>
    <row r="9" spans="1:14" x14ac:dyDescent="0.25">
      <c r="A9" s="64" t="s">
        <v>391</v>
      </c>
      <c r="B9" t="s">
        <v>322</v>
      </c>
      <c r="C9" s="95">
        <f>(1004.73/756.71)*100</f>
        <v>132.77609652310659</v>
      </c>
      <c r="D9" s="95">
        <f>ROUND(C9,0)</f>
        <v>133</v>
      </c>
      <c r="L9" s="54"/>
      <c r="M9" s="54"/>
    </row>
    <row r="10" spans="1:14" x14ac:dyDescent="0.25">
      <c r="A10" s="63" t="s">
        <v>392</v>
      </c>
      <c r="B10" t="s">
        <v>323</v>
      </c>
      <c r="C10" s="95"/>
      <c r="D10" s="95"/>
      <c r="L10" s="54"/>
      <c r="M10" s="54"/>
    </row>
    <row r="11" spans="1:14" x14ac:dyDescent="0.25">
      <c r="A11" s="52" t="s">
        <v>397</v>
      </c>
      <c r="B11" t="s">
        <v>289</v>
      </c>
      <c r="C11" s="95">
        <f>(21165.4/10638)*100</f>
        <v>198.9603308892649</v>
      </c>
      <c r="D11" s="95">
        <f>ROUND(C11,0)</f>
        <v>199</v>
      </c>
      <c r="L11" s="54"/>
      <c r="M11" s="54"/>
    </row>
    <row r="12" spans="1:14" x14ac:dyDescent="0.25">
      <c r="A12" s="53" t="s">
        <v>398</v>
      </c>
      <c r="B12" t="s">
        <v>290</v>
      </c>
      <c r="C12" s="95"/>
      <c r="D12" s="95"/>
      <c r="L12" s="54"/>
      <c r="M12" s="54"/>
    </row>
    <row r="13" spans="1:14" x14ac:dyDescent="0.25">
      <c r="A13" s="54"/>
      <c r="C13" s="76"/>
      <c r="D13" s="76"/>
      <c r="L13" s="54"/>
      <c r="M13" s="54"/>
    </row>
    <row r="14" spans="1:14" x14ac:dyDescent="0.25">
      <c r="A14" s="1" t="s">
        <v>21</v>
      </c>
      <c r="L14" s="54"/>
      <c r="M14" s="54"/>
    </row>
    <row r="15" spans="1:14" x14ac:dyDescent="0.25">
      <c r="A15" s="77" t="s">
        <v>309</v>
      </c>
      <c r="B15" t="s">
        <v>291</v>
      </c>
      <c r="L15" s="54"/>
      <c r="M15" s="54"/>
      <c r="N15" s="65"/>
    </row>
    <row r="16" spans="1:14" x14ac:dyDescent="0.25">
      <c r="L16" s="54"/>
      <c r="M16" s="54"/>
    </row>
    <row r="17" spans="1:13" x14ac:dyDescent="0.25">
      <c r="A17" s="52" t="s">
        <v>255</v>
      </c>
      <c r="B17" t="s">
        <v>264</v>
      </c>
      <c r="L17" s="54"/>
      <c r="M17" s="54"/>
    </row>
    <row r="18" spans="1:13" x14ac:dyDescent="0.25">
      <c r="A18" s="53" t="s">
        <v>257</v>
      </c>
      <c r="B18" t="s">
        <v>263</v>
      </c>
      <c r="L18" s="54"/>
      <c r="M18" s="54"/>
    </row>
    <row r="19" spans="1:13" x14ac:dyDescent="0.25">
      <c r="A19" s="52" t="s">
        <v>256</v>
      </c>
      <c r="B19" t="s">
        <v>262</v>
      </c>
      <c r="E19" s="54"/>
      <c r="I19" s="54"/>
      <c r="J19" s="54"/>
      <c r="L19" s="54"/>
      <c r="M19" s="54"/>
    </row>
    <row r="20" spans="1:13" x14ac:dyDescent="0.25">
      <c r="A20" s="53" t="s">
        <v>258</v>
      </c>
      <c r="B20" t="s">
        <v>182</v>
      </c>
      <c r="E20" s="54"/>
      <c r="I20" s="54"/>
      <c r="J20" s="54"/>
      <c r="L20" s="54"/>
      <c r="M20" s="54"/>
    </row>
    <row r="21" spans="1:13" x14ac:dyDescent="0.25">
      <c r="A21" s="64" t="s">
        <v>391</v>
      </c>
      <c r="B21" t="s">
        <v>324</v>
      </c>
      <c r="C21" s="95">
        <f>(1273.4/908.44)*100</f>
        <v>140.17436484522918</v>
      </c>
      <c r="D21" s="95">
        <f>ROUND(C21,0)</f>
        <v>140</v>
      </c>
      <c r="E21" s="54"/>
      <c r="I21" s="54"/>
      <c r="J21" s="54"/>
      <c r="L21" s="54"/>
      <c r="M21" s="54"/>
    </row>
    <row r="22" spans="1:13" x14ac:dyDescent="0.25">
      <c r="A22" s="63" t="s">
        <v>393</v>
      </c>
      <c r="B22" t="s">
        <v>325</v>
      </c>
      <c r="C22" s="95"/>
      <c r="D22" s="95"/>
      <c r="E22" s="54"/>
      <c r="I22" s="54"/>
      <c r="J22" s="54"/>
      <c r="L22" s="54"/>
      <c r="M22" s="54"/>
    </row>
    <row r="23" spans="1:13" x14ac:dyDescent="0.25">
      <c r="A23" s="52" t="s">
        <v>399</v>
      </c>
      <c r="B23" s="54" t="s">
        <v>318</v>
      </c>
      <c r="C23" s="98">
        <f>(17772.08/12195.1)*100</f>
        <v>145.73131831637298</v>
      </c>
      <c r="D23" s="95">
        <f>ROUND(C23,0)</f>
        <v>146</v>
      </c>
      <c r="E23" s="54"/>
      <c r="I23" s="54"/>
      <c r="J23" s="54"/>
      <c r="L23" s="54"/>
      <c r="M23" s="54"/>
    </row>
    <row r="24" spans="1:13" x14ac:dyDescent="0.25">
      <c r="A24" s="53" t="s">
        <v>398</v>
      </c>
      <c r="B24" s="54" t="s">
        <v>319</v>
      </c>
      <c r="C24" s="98"/>
      <c r="D24" s="95"/>
      <c r="E24" s="54"/>
      <c r="I24" s="54"/>
      <c r="J24" s="54"/>
      <c r="L24" s="54"/>
      <c r="M24" s="54"/>
    </row>
    <row r="25" spans="1:13" x14ac:dyDescent="0.25">
      <c r="E25" s="54"/>
      <c r="I25" s="54"/>
      <c r="J25" s="54"/>
      <c r="L25" s="54"/>
      <c r="M25" s="54"/>
    </row>
    <row r="26" spans="1:13" x14ac:dyDescent="0.25">
      <c r="A26" s="1" t="s">
        <v>338</v>
      </c>
      <c r="E26" s="54"/>
      <c r="I26" s="54"/>
      <c r="J26" s="54"/>
      <c r="L26" s="54"/>
      <c r="M26" s="54"/>
    </row>
    <row r="27" spans="1:13" x14ac:dyDescent="0.25">
      <c r="A27" s="77" t="s">
        <v>306</v>
      </c>
      <c r="B27" t="s">
        <v>373</v>
      </c>
      <c r="E27" s="54"/>
      <c r="I27" s="54"/>
      <c r="J27" s="54"/>
      <c r="L27" s="54"/>
      <c r="M27" s="54"/>
    </row>
    <row r="28" spans="1:13" x14ac:dyDescent="0.25">
      <c r="E28" s="54"/>
      <c r="I28" s="54"/>
      <c r="J28" s="54"/>
      <c r="L28" s="54"/>
      <c r="M28" s="54"/>
    </row>
    <row r="29" spans="1:13" x14ac:dyDescent="0.25">
      <c r="A29" s="52" t="s">
        <v>265</v>
      </c>
      <c r="B29" t="s">
        <v>267</v>
      </c>
      <c r="C29" s="95">
        <f>(1244.7/893.88)*100</f>
        <v>139.24687877567459</v>
      </c>
      <c r="D29" s="95">
        <f>ROUND(C29,0)</f>
        <v>139</v>
      </c>
      <c r="E29" s="54"/>
      <c r="I29" s="54"/>
      <c r="J29" s="54"/>
      <c r="L29" s="54"/>
      <c r="M29" s="54"/>
    </row>
    <row r="30" spans="1:13" x14ac:dyDescent="0.25">
      <c r="A30" s="53" t="s">
        <v>266</v>
      </c>
      <c r="B30" t="s">
        <v>268</v>
      </c>
      <c r="C30" s="95"/>
      <c r="D30" s="95"/>
      <c r="E30" s="54"/>
      <c r="I30" s="54"/>
      <c r="J30" s="54"/>
      <c r="L30" s="54"/>
      <c r="M30" s="54"/>
    </row>
    <row r="31" spans="1:13" x14ac:dyDescent="0.25">
      <c r="A31" s="52" t="s">
        <v>269</v>
      </c>
      <c r="B31" t="s">
        <v>292</v>
      </c>
      <c r="C31" s="95">
        <f>(12447/8938.8)*100</f>
        <v>139.24687877567462</v>
      </c>
      <c r="D31" s="95">
        <f>ROUND(C31,0)</f>
        <v>139</v>
      </c>
      <c r="E31" s="54"/>
      <c r="I31" s="54"/>
      <c r="J31" s="54"/>
      <c r="L31" s="54"/>
      <c r="M31" s="54"/>
    </row>
    <row r="32" spans="1:13" x14ac:dyDescent="0.25">
      <c r="A32" s="53" t="s">
        <v>270</v>
      </c>
      <c r="B32" t="s">
        <v>293</v>
      </c>
      <c r="C32" s="95"/>
      <c r="D32" s="95"/>
      <c r="J32" s="54"/>
      <c r="L32" s="54"/>
      <c r="M32" s="54"/>
    </row>
    <row r="33" spans="1:14" x14ac:dyDescent="0.25">
      <c r="A33" s="65"/>
      <c r="J33" s="54"/>
      <c r="L33" s="54"/>
      <c r="M33" s="54"/>
      <c r="N33" s="54"/>
    </row>
    <row r="34" spans="1:14" x14ac:dyDescent="0.25">
      <c r="A34" s="84" t="s">
        <v>287</v>
      </c>
      <c r="J34" s="54"/>
      <c r="L34" s="54"/>
      <c r="M34" s="54"/>
      <c r="N34" s="54"/>
    </row>
    <row r="35" spans="1:14" x14ac:dyDescent="0.25">
      <c r="A35" s="53" t="s">
        <v>400</v>
      </c>
      <c r="B35" t="s">
        <v>294</v>
      </c>
      <c r="C35" s="95">
        <f>(6158.4/5203.3)*100</f>
        <v>118.35565890876943</v>
      </c>
      <c r="D35" s="95">
        <f>ROUND(C35,0)</f>
        <v>118</v>
      </c>
      <c r="J35" s="54"/>
      <c r="L35" s="54"/>
      <c r="M35" s="54"/>
      <c r="N35" s="54"/>
    </row>
    <row r="36" spans="1:14" x14ac:dyDescent="0.25">
      <c r="A36" s="52" t="s">
        <v>401</v>
      </c>
      <c r="B36" t="s">
        <v>295</v>
      </c>
      <c r="C36" s="95"/>
      <c r="D36" s="95"/>
      <c r="J36" s="54"/>
      <c r="L36" s="54"/>
      <c r="M36" s="54"/>
      <c r="N36" s="54"/>
    </row>
    <row r="37" spans="1:14" x14ac:dyDescent="0.25">
      <c r="A37" s="63" t="s">
        <v>393</v>
      </c>
      <c r="B37" t="s">
        <v>326</v>
      </c>
      <c r="C37" s="95">
        <f>(408.18/367.16)*100</f>
        <v>111.17224098485674</v>
      </c>
      <c r="D37" s="95">
        <f>ROUND(C37,0)</f>
        <v>111</v>
      </c>
      <c r="J37" s="54"/>
      <c r="L37" s="54"/>
      <c r="M37" s="54"/>
      <c r="N37" s="54"/>
    </row>
    <row r="38" spans="1:14" x14ac:dyDescent="0.25">
      <c r="A38" s="64" t="s">
        <v>391</v>
      </c>
      <c r="B38" t="s">
        <v>329</v>
      </c>
      <c r="C38" s="95"/>
      <c r="D38" s="95"/>
      <c r="J38" s="54"/>
      <c r="L38" s="54"/>
      <c r="M38" s="54"/>
      <c r="N38" s="54"/>
    </row>
    <row r="39" spans="1:14" x14ac:dyDescent="0.25">
      <c r="A39" s="65"/>
      <c r="C39" s="79"/>
      <c r="D39" s="79"/>
      <c r="J39" s="54"/>
      <c r="L39" s="54"/>
      <c r="M39" s="54"/>
      <c r="N39" s="54"/>
    </row>
    <row r="40" spans="1:14" x14ac:dyDescent="0.25">
      <c r="A40" s="84" t="s">
        <v>191</v>
      </c>
      <c r="J40" s="54"/>
      <c r="L40" s="54"/>
      <c r="M40" s="54"/>
      <c r="N40" s="54"/>
    </row>
    <row r="41" spans="1:14" x14ac:dyDescent="0.25">
      <c r="A41" s="53" t="s">
        <v>402</v>
      </c>
      <c r="B41" t="s">
        <v>296</v>
      </c>
      <c r="C41" s="95">
        <f>(16158.42/12951.62)*100</f>
        <v>124.75983699336453</v>
      </c>
      <c r="D41" s="95">
        <f>ROUND(C41,0)</f>
        <v>125</v>
      </c>
      <c r="J41" s="54"/>
      <c r="L41" s="54"/>
      <c r="M41" s="54"/>
      <c r="N41" s="54"/>
    </row>
    <row r="42" spans="1:14" x14ac:dyDescent="0.25">
      <c r="A42" s="52" t="s">
        <v>403</v>
      </c>
      <c r="B42" t="s">
        <v>297</v>
      </c>
      <c r="C42" s="95"/>
      <c r="D42" s="95"/>
      <c r="J42" s="54"/>
      <c r="L42" s="54"/>
      <c r="M42" s="54"/>
      <c r="N42" s="54"/>
    </row>
    <row r="43" spans="1:14" x14ac:dyDescent="0.25">
      <c r="A43" s="63" t="s">
        <v>393</v>
      </c>
      <c r="B43" t="s">
        <v>330</v>
      </c>
      <c r="C43" s="95">
        <f>(1192.47/868.41)*100</f>
        <v>137.31647493695377</v>
      </c>
      <c r="D43" s="95">
        <f>ROUND(C43,0)</f>
        <v>137</v>
      </c>
      <c r="J43" s="54"/>
      <c r="L43" s="54"/>
      <c r="M43" s="54"/>
      <c r="N43" s="54"/>
    </row>
    <row r="44" spans="1:14" x14ac:dyDescent="0.25">
      <c r="A44" s="64" t="s">
        <v>391</v>
      </c>
      <c r="B44" t="s">
        <v>331</v>
      </c>
      <c r="C44" s="95"/>
      <c r="D44" s="95"/>
      <c r="J44" s="54"/>
      <c r="L44" s="54"/>
      <c r="M44" s="54"/>
      <c r="N44" s="54"/>
    </row>
    <row r="45" spans="1:14" x14ac:dyDescent="0.25">
      <c r="A45" s="65"/>
      <c r="C45" s="79"/>
      <c r="D45" s="79"/>
      <c r="J45" s="54"/>
      <c r="L45" s="54"/>
      <c r="M45" s="54"/>
      <c r="N45" s="54"/>
    </row>
    <row r="46" spans="1:14" x14ac:dyDescent="0.25">
      <c r="A46" s="84" t="s">
        <v>198</v>
      </c>
      <c r="J46" s="54"/>
      <c r="L46" s="54"/>
      <c r="M46" s="54"/>
      <c r="N46" s="54"/>
    </row>
    <row r="47" spans="1:14" x14ac:dyDescent="0.25">
      <c r="A47" s="53" t="s">
        <v>404</v>
      </c>
      <c r="B47" t="s">
        <v>298</v>
      </c>
      <c r="C47" s="95">
        <f>(10267.05/7216.05)*100</f>
        <v>142.28074916332341</v>
      </c>
      <c r="D47" s="95">
        <f>ROUND(C47,0)</f>
        <v>142</v>
      </c>
      <c r="J47" s="54"/>
      <c r="L47" s="54"/>
      <c r="M47" s="54"/>
      <c r="N47" s="65"/>
    </row>
    <row r="48" spans="1:14" x14ac:dyDescent="0.25">
      <c r="A48" s="52" t="s">
        <v>405</v>
      </c>
      <c r="B48" t="s">
        <v>299</v>
      </c>
      <c r="C48" s="95"/>
      <c r="D48" s="95"/>
      <c r="J48" s="54"/>
      <c r="L48" s="54"/>
      <c r="M48" s="54"/>
      <c r="N48" s="65"/>
    </row>
    <row r="49" spans="1:14" x14ac:dyDescent="0.25">
      <c r="A49" s="63" t="s">
        <v>393</v>
      </c>
      <c r="B49" t="s">
        <v>327</v>
      </c>
      <c r="C49" s="95">
        <f>(710.21/499.08)*100</f>
        <v>142.30383906387755</v>
      </c>
      <c r="D49" s="95">
        <f>ROUND(C49,0)</f>
        <v>142</v>
      </c>
      <c r="J49" s="54"/>
      <c r="L49" s="54"/>
      <c r="M49" s="54"/>
      <c r="N49" s="65"/>
    </row>
    <row r="50" spans="1:14" x14ac:dyDescent="0.25">
      <c r="A50" s="64" t="s">
        <v>391</v>
      </c>
      <c r="B50" t="s">
        <v>328</v>
      </c>
      <c r="C50" s="95"/>
      <c r="D50" s="95"/>
      <c r="J50" s="54"/>
      <c r="L50" s="54"/>
      <c r="M50" s="54"/>
      <c r="N50" s="65"/>
    </row>
    <row r="51" spans="1:14" x14ac:dyDescent="0.25">
      <c r="A51" s="65"/>
      <c r="C51" s="79"/>
      <c r="D51" s="79"/>
      <c r="J51" s="54"/>
      <c r="L51" s="54"/>
      <c r="M51" s="54"/>
      <c r="N51" s="65"/>
    </row>
    <row r="52" spans="1:14" x14ac:dyDescent="0.25">
      <c r="A52" s="84" t="s">
        <v>248</v>
      </c>
      <c r="J52" s="54"/>
      <c r="L52" s="54"/>
      <c r="M52" s="54"/>
      <c r="N52" s="65"/>
    </row>
    <row r="53" spans="1:14" x14ac:dyDescent="0.25">
      <c r="A53" s="53" t="s">
        <v>406</v>
      </c>
      <c r="B53" t="s">
        <v>300</v>
      </c>
      <c r="C53" s="95">
        <f>(4617.1/3880.6)*100</f>
        <v>118.97902386228935</v>
      </c>
      <c r="D53" s="95">
        <f>ROUND(C53,0)</f>
        <v>119</v>
      </c>
      <c r="J53" s="54"/>
      <c r="L53" s="54"/>
      <c r="M53" s="54"/>
      <c r="N53" s="65"/>
    </row>
    <row r="54" spans="1:14" x14ac:dyDescent="0.25">
      <c r="A54" s="52" t="s">
        <v>407</v>
      </c>
      <c r="B54" t="s">
        <v>301</v>
      </c>
      <c r="C54" s="95"/>
      <c r="D54" s="95"/>
      <c r="J54" s="54"/>
      <c r="L54" s="54"/>
      <c r="M54" s="54"/>
      <c r="N54" s="65"/>
    </row>
    <row r="55" spans="1:14" x14ac:dyDescent="0.25">
      <c r="A55" s="63" t="s">
        <v>393</v>
      </c>
      <c r="B55" t="s">
        <v>332</v>
      </c>
      <c r="C55" s="95">
        <f>(378.86/305.21)*100</f>
        <v>124.13092624750173</v>
      </c>
      <c r="D55" s="95">
        <f>ROUND(C55,0)</f>
        <v>124</v>
      </c>
      <c r="J55" s="54"/>
      <c r="L55" s="54"/>
      <c r="M55" s="54"/>
      <c r="N55" s="65"/>
    </row>
    <row r="56" spans="1:14" x14ac:dyDescent="0.25">
      <c r="A56" s="64" t="s">
        <v>391</v>
      </c>
      <c r="B56" t="s">
        <v>333</v>
      </c>
      <c r="C56" s="95"/>
      <c r="D56" s="95"/>
      <c r="J56" s="54"/>
      <c r="L56" s="54"/>
      <c r="M56" s="54"/>
    </row>
    <row r="57" spans="1:14" x14ac:dyDescent="0.25">
      <c r="A57" s="65"/>
      <c r="C57" s="79"/>
      <c r="D57" s="79"/>
      <c r="J57" s="54"/>
      <c r="L57" s="54"/>
      <c r="M57" s="54"/>
    </row>
    <row r="58" spans="1:14" x14ac:dyDescent="0.25">
      <c r="A58" s="84" t="s">
        <v>250</v>
      </c>
      <c r="J58" s="54"/>
      <c r="L58" s="54"/>
      <c r="M58" s="54"/>
    </row>
    <row r="59" spans="1:14" x14ac:dyDescent="0.25">
      <c r="A59" s="53" t="s">
        <v>408</v>
      </c>
      <c r="B59" t="s">
        <v>302</v>
      </c>
      <c r="C59" s="95">
        <f>(11485/8354.9)*100</f>
        <v>137.46424254030569</v>
      </c>
      <c r="D59" s="95">
        <f>ROUND(C59,0)</f>
        <v>137</v>
      </c>
      <c r="J59" s="54"/>
      <c r="L59" s="54"/>
      <c r="M59" s="54"/>
    </row>
    <row r="60" spans="1:14" x14ac:dyDescent="0.25">
      <c r="A60" s="52" t="s">
        <v>409</v>
      </c>
      <c r="B60" t="s">
        <v>303</v>
      </c>
      <c r="C60" s="95"/>
      <c r="D60" s="95"/>
      <c r="J60" s="54"/>
      <c r="L60" s="54"/>
      <c r="M60" s="54"/>
    </row>
    <row r="61" spans="1:14" x14ac:dyDescent="0.25">
      <c r="A61" s="63" t="s">
        <v>393</v>
      </c>
      <c r="B61" t="s">
        <v>334</v>
      </c>
      <c r="C61" s="95">
        <f>(828.12/515.11)*100</f>
        <v>160.76566170332549</v>
      </c>
      <c r="D61" s="95">
        <f>ROUND(C61,0)</f>
        <v>161</v>
      </c>
      <c r="J61" s="54"/>
      <c r="L61" s="54"/>
      <c r="M61" s="54"/>
    </row>
    <row r="62" spans="1:14" x14ac:dyDescent="0.25">
      <c r="A62" s="64" t="s">
        <v>391</v>
      </c>
      <c r="B62" t="s">
        <v>335</v>
      </c>
      <c r="C62" s="95"/>
      <c r="D62" s="95"/>
      <c r="J62" s="54"/>
      <c r="L62" s="54"/>
      <c r="M62" s="54"/>
    </row>
    <row r="63" spans="1:14" x14ac:dyDescent="0.25">
      <c r="J63" s="54"/>
      <c r="L63" s="54"/>
      <c r="M63" s="54"/>
    </row>
    <row r="64" spans="1:14" x14ac:dyDescent="0.25">
      <c r="J64" s="54"/>
      <c r="L64" s="54"/>
      <c r="M64" s="54"/>
    </row>
    <row r="65" spans="1:13" ht="30" x14ac:dyDescent="0.25">
      <c r="A65" s="55" t="s">
        <v>376</v>
      </c>
      <c r="B65" s="74" t="s">
        <v>394</v>
      </c>
      <c r="D65" s="55" t="s">
        <v>337</v>
      </c>
      <c r="E65" s="1" t="s">
        <v>305</v>
      </c>
      <c r="F65" s="55" t="s">
        <v>345</v>
      </c>
      <c r="J65" s="54"/>
      <c r="L65" s="54"/>
      <c r="M65" s="54"/>
    </row>
    <row r="66" spans="1:13" x14ac:dyDescent="0.25">
      <c r="A66" s="77" t="s">
        <v>377</v>
      </c>
      <c r="B66" s="66">
        <f>268.38*10</f>
        <v>2683.8</v>
      </c>
      <c r="C66" t="s">
        <v>21</v>
      </c>
      <c r="D66" t="s">
        <v>381</v>
      </c>
      <c r="E66">
        <f>(B66/B66)*100</f>
        <v>100</v>
      </c>
      <c r="F66">
        <f>ROUND(E66,0)</f>
        <v>100</v>
      </c>
      <c r="J66" s="54"/>
      <c r="L66" s="54"/>
      <c r="M66" s="54"/>
    </row>
    <row r="67" spans="1:13" x14ac:dyDescent="0.25">
      <c r="A67" s="77" t="s">
        <v>378</v>
      </c>
      <c r="B67" s="66">
        <f>486.07*10</f>
        <v>4860.7</v>
      </c>
      <c r="C67" t="s">
        <v>338</v>
      </c>
      <c r="D67" t="s">
        <v>382</v>
      </c>
      <c r="E67">
        <f>(B67/B66)*100</f>
        <v>181.11260153513672</v>
      </c>
      <c r="F67">
        <f t="shared" ref="F67:F68" si="0">ROUND(E67,0)</f>
        <v>181</v>
      </c>
      <c r="J67" s="54"/>
      <c r="L67" s="54"/>
      <c r="M67" s="54"/>
    </row>
    <row r="68" spans="1:13" x14ac:dyDescent="0.25">
      <c r="A68" s="77" t="s">
        <v>379</v>
      </c>
      <c r="B68" s="66">
        <f>512.46*10</f>
        <v>5124.6000000000004</v>
      </c>
      <c r="C68" t="s">
        <v>380</v>
      </c>
      <c r="D68" t="s">
        <v>383</v>
      </c>
      <c r="E68">
        <f>(B68/B66)*100</f>
        <v>190.94567404426559</v>
      </c>
      <c r="F68">
        <f t="shared" si="0"/>
        <v>191</v>
      </c>
      <c r="J68" s="54"/>
      <c r="L68" s="54"/>
      <c r="M68" s="54"/>
    </row>
    <row r="69" spans="1:13" x14ac:dyDescent="0.25">
      <c r="J69" s="54"/>
      <c r="L69" s="54"/>
      <c r="M69" s="54"/>
    </row>
    <row r="70" spans="1:13" ht="30" x14ac:dyDescent="0.25">
      <c r="A70" s="55" t="s">
        <v>358</v>
      </c>
      <c r="D70" s="55" t="s">
        <v>337</v>
      </c>
      <c r="E70" s="1" t="s">
        <v>305</v>
      </c>
      <c r="F70" s="55" t="s">
        <v>345</v>
      </c>
      <c r="J70" s="54"/>
      <c r="L70" s="54"/>
      <c r="M70" s="54"/>
    </row>
    <row r="71" spans="1:13" x14ac:dyDescent="0.25">
      <c r="A71" s="52" t="s">
        <v>269</v>
      </c>
      <c r="B71" s="69">
        <v>8938.7999999999993</v>
      </c>
      <c r="C71" t="s">
        <v>338</v>
      </c>
      <c r="D71" t="s">
        <v>355</v>
      </c>
      <c r="E71">
        <f>(B71/$B$71)*100</f>
        <v>100</v>
      </c>
      <c r="F71">
        <f t="shared" ref="F71:F73" si="1">ROUND(E71,0)</f>
        <v>100</v>
      </c>
      <c r="J71" s="54"/>
      <c r="L71" s="54"/>
      <c r="M71" s="54"/>
    </row>
    <row r="72" spans="1:13" x14ac:dyDescent="0.25">
      <c r="A72" s="52" t="s">
        <v>342</v>
      </c>
      <c r="B72" s="70">
        <v>10638</v>
      </c>
      <c r="C72" t="s">
        <v>336</v>
      </c>
      <c r="D72" t="s">
        <v>356</v>
      </c>
      <c r="E72">
        <f>(B72/$B$71)*100</f>
        <v>119.0092629883206</v>
      </c>
      <c r="F72">
        <f t="shared" si="1"/>
        <v>119</v>
      </c>
      <c r="J72" s="54"/>
      <c r="L72" s="54"/>
      <c r="M72" s="54"/>
    </row>
    <row r="73" spans="1:13" x14ac:dyDescent="0.25">
      <c r="A73" s="52" t="s">
        <v>341</v>
      </c>
      <c r="B73" s="70">
        <v>12195.1</v>
      </c>
      <c r="C73" t="s">
        <v>21</v>
      </c>
      <c r="D73" t="s">
        <v>357</v>
      </c>
      <c r="E73">
        <f t="shared" ref="E73" si="2">(B73/$B$71)*100</f>
        <v>136.42882713563341</v>
      </c>
      <c r="F73">
        <f t="shared" si="1"/>
        <v>136</v>
      </c>
      <c r="J73" s="54"/>
      <c r="L73" s="54"/>
      <c r="M73" s="54"/>
    </row>
    <row r="74" spans="1:13" x14ac:dyDescent="0.25">
      <c r="J74" s="54"/>
      <c r="L74" s="54"/>
      <c r="M74" s="54"/>
    </row>
    <row r="75" spans="1:13" ht="30" customHeight="1" x14ac:dyDescent="0.25">
      <c r="A75" s="55" t="s">
        <v>359</v>
      </c>
      <c r="B75" s="55"/>
      <c r="C75" s="55"/>
      <c r="D75" s="55" t="s">
        <v>337</v>
      </c>
      <c r="E75" s="1" t="s">
        <v>305</v>
      </c>
      <c r="F75" s="55" t="s">
        <v>345</v>
      </c>
      <c r="J75" s="54"/>
      <c r="L75" s="54"/>
      <c r="M75" s="54"/>
    </row>
    <row r="76" spans="1:13" x14ac:dyDescent="0.25">
      <c r="A76" s="53" t="s">
        <v>270</v>
      </c>
      <c r="B76" s="66">
        <v>12447</v>
      </c>
      <c r="C76" t="s">
        <v>338</v>
      </c>
      <c r="D76" t="s">
        <v>355</v>
      </c>
      <c r="E76">
        <f>(B76/$B$76)*100</f>
        <v>100</v>
      </c>
      <c r="F76">
        <f t="shared" ref="F76:F78" si="3">ROUND(E76,0)</f>
        <v>100</v>
      </c>
      <c r="J76" s="54"/>
      <c r="L76" s="54"/>
      <c r="M76" s="54"/>
    </row>
    <row r="77" spans="1:13" x14ac:dyDescent="0.25">
      <c r="A77" s="53" t="s">
        <v>344</v>
      </c>
      <c r="B77" s="67">
        <v>17772.080000000002</v>
      </c>
      <c r="C77" t="s">
        <v>21</v>
      </c>
      <c r="D77" t="s">
        <v>357</v>
      </c>
      <c r="E77">
        <f t="shared" ref="E77:E78" si="4">(B77/$B$76)*100</f>
        <v>142.7820358319274</v>
      </c>
      <c r="F77">
        <f t="shared" si="3"/>
        <v>143</v>
      </c>
      <c r="G77" s="54"/>
      <c r="J77" s="54"/>
      <c r="L77" s="54"/>
      <c r="M77" s="54"/>
    </row>
    <row r="78" spans="1:13" x14ac:dyDescent="0.25">
      <c r="A78" s="53" t="s">
        <v>343</v>
      </c>
      <c r="B78" s="66">
        <v>21165.4</v>
      </c>
      <c r="C78" t="s">
        <v>336</v>
      </c>
      <c r="D78" t="s">
        <v>356</v>
      </c>
      <c r="E78">
        <f t="shared" si="4"/>
        <v>170.04418735438261</v>
      </c>
      <c r="F78">
        <f t="shared" si="3"/>
        <v>170</v>
      </c>
      <c r="G78" s="54"/>
      <c r="J78" s="54"/>
      <c r="L78" s="54"/>
      <c r="M78" s="54"/>
    </row>
    <row r="79" spans="1:13" x14ac:dyDescent="0.25">
      <c r="G79" s="54"/>
      <c r="J79" s="54"/>
      <c r="L79" s="54"/>
      <c r="M79" s="54"/>
    </row>
    <row r="80" spans="1:13" ht="45" x14ac:dyDescent="0.25">
      <c r="A80" s="55" t="s">
        <v>363</v>
      </c>
      <c r="B80" s="74" t="s">
        <v>395</v>
      </c>
      <c r="C80" s="55"/>
      <c r="D80" s="55" t="s">
        <v>337</v>
      </c>
      <c r="E80" s="1" t="s">
        <v>305</v>
      </c>
      <c r="F80" s="55" t="s">
        <v>345</v>
      </c>
      <c r="G80" s="74" t="s">
        <v>365</v>
      </c>
      <c r="H80" s="73"/>
      <c r="I80" s="73"/>
      <c r="J80" s="54"/>
      <c r="L80" s="54"/>
      <c r="M80" s="54"/>
    </row>
    <row r="81" spans="1:13" x14ac:dyDescent="0.25">
      <c r="A81" s="64" t="s">
        <v>321</v>
      </c>
      <c r="B81" s="66">
        <v>756.71</v>
      </c>
      <c r="C81" t="s">
        <v>336</v>
      </c>
      <c r="D81" t="s">
        <v>360</v>
      </c>
      <c r="E81">
        <f>(B81/$B$81)*100</f>
        <v>100</v>
      </c>
      <c r="F81">
        <f t="shared" ref="F81" si="5">ROUND(E81,0)</f>
        <v>100</v>
      </c>
      <c r="G81" s="67">
        <f>B81*10</f>
        <v>7567.1</v>
      </c>
      <c r="J81" s="54"/>
      <c r="L81" s="54"/>
      <c r="M81" s="54"/>
    </row>
    <row r="82" spans="1:13" x14ac:dyDescent="0.25">
      <c r="A82" s="52" t="s">
        <v>265</v>
      </c>
      <c r="B82" s="66">
        <v>893.88</v>
      </c>
      <c r="C82" t="s">
        <v>338</v>
      </c>
      <c r="D82" t="s">
        <v>361</v>
      </c>
      <c r="E82">
        <f t="shared" ref="E82:E83" si="6">(B82/$B$81)*100</f>
        <v>118.12715571354944</v>
      </c>
      <c r="F82">
        <f t="shared" ref="F82:F83" si="7">ROUND(E82,0)</f>
        <v>118</v>
      </c>
      <c r="G82" s="67">
        <f t="shared" ref="G82:G83" si="8">B82*10</f>
        <v>8938.7999999999993</v>
      </c>
      <c r="J82" s="54"/>
      <c r="L82" s="54"/>
      <c r="M82" s="54"/>
    </row>
    <row r="83" spans="1:13" x14ac:dyDescent="0.25">
      <c r="A83" s="64" t="s">
        <v>321</v>
      </c>
      <c r="B83" s="66">
        <v>908.44</v>
      </c>
      <c r="C83" t="s">
        <v>21</v>
      </c>
      <c r="D83" t="s">
        <v>362</v>
      </c>
      <c r="E83">
        <f t="shared" si="6"/>
        <v>120.05127459660901</v>
      </c>
      <c r="F83">
        <f t="shared" si="7"/>
        <v>120</v>
      </c>
      <c r="G83" s="67">
        <f t="shared" si="8"/>
        <v>9084.4000000000015</v>
      </c>
      <c r="J83" s="54"/>
      <c r="L83" s="54"/>
      <c r="M83" s="54"/>
    </row>
    <row r="84" spans="1:13" x14ac:dyDescent="0.25">
      <c r="G84" s="54"/>
      <c r="J84" s="54"/>
      <c r="L84" s="54"/>
      <c r="M84" s="54"/>
    </row>
    <row r="85" spans="1:13" ht="45" x14ac:dyDescent="0.25">
      <c r="A85" s="55" t="s">
        <v>364</v>
      </c>
      <c r="B85" s="74" t="s">
        <v>395</v>
      </c>
      <c r="C85" s="55"/>
      <c r="D85" s="55" t="s">
        <v>337</v>
      </c>
      <c r="E85" s="1" t="s">
        <v>305</v>
      </c>
      <c r="F85" s="55" t="s">
        <v>345</v>
      </c>
      <c r="G85" s="74" t="s">
        <v>365</v>
      </c>
      <c r="H85" s="73"/>
      <c r="I85" s="73"/>
      <c r="J85" s="54"/>
      <c r="L85" s="54"/>
      <c r="M85" s="54"/>
    </row>
    <row r="86" spans="1:13" x14ac:dyDescent="0.25">
      <c r="A86" s="63" t="s">
        <v>320</v>
      </c>
      <c r="B86" s="66">
        <v>1004.73</v>
      </c>
      <c r="C86" t="s">
        <v>336</v>
      </c>
      <c r="D86" t="s">
        <v>360</v>
      </c>
      <c r="E86">
        <f>(B86/$B$86)*100</f>
        <v>100</v>
      </c>
      <c r="F86">
        <f t="shared" ref="F86" si="9">ROUND(E86,0)</f>
        <v>100</v>
      </c>
      <c r="G86" s="67">
        <f>B86*10</f>
        <v>10047.299999999999</v>
      </c>
      <c r="J86" s="54"/>
      <c r="L86" s="54"/>
      <c r="M86" s="54"/>
    </row>
    <row r="87" spans="1:13" x14ac:dyDescent="0.25">
      <c r="A87" s="53" t="s">
        <v>266</v>
      </c>
      <c r="B87" s="66">
        <v>1244.7</v>
      </c>
      <c r="C87" t="s">
        <v>338</v>
      </c>
      <c r="D87" t="s">
        <v>361</v>
      </c>
      <c r="E87">
        <f t="shared" ref="E87:E88" si="10">(B87/$B$86)*100</f>
        <v>123.88402854498224</v>
      </c>
      <c r="F87">
        <f t="shared" ref="F87:F88" si="11">ROUND(E87,0)</f>
        <v>124</v>
      </c>
      <c r="G87" s="67">
        <f t="shared" ref="G87:G88" si="12">B87*10</f>
        <v>12447</v>
      </c>
      <c r="J87" s="54"/>
      <c r="L87" s="54"/>
      <c r="M87" s="54"/>
    </row>
    <row r="88" spans="1:13" x14ac:dyDescent="0.25">
      <c r="A88" s="63" t="s">
        <v>320</v>
      </c>
      <c r="B88" s="66">
        <v>1273.4000000000001</v>
      </c>
      <c r="C88" t="s">
        <v>21</v>
      </c>
      <c r="D88" t="s">
        <v>362</v>
      </c>
      <c r="E88">
        <f t="shared" si="10"/>
        <v>126.74051735292069</v>
      </c>
      <c r="F88">
        <f t="shared" si="11"/>
        <v>127</v>
      </c>
      <c r="G88" s="67">
        <f t="shared" si="12"/>
        <v>12734</v>
      </c>
      <c r="J88" s="54"/>
      <c r="L88" s="54"/>
      <c r="M88" s="54"/>
    </row>
    <row r="89" spans="1:13" x14ac:dyDescent="0.25">
      <c r="A89" s="65"/>
      <c r="B89" s="66"/>
      <c r="G89" s="67"/>
      <c r="J89" s="54"/>
      <c r="L89" s="54"/>
      <c r="M89" s="54"/>
    </row>
    <row r="90" spans="1:13" x14ac:dyDescent="0.25">
      <c r="A90" s="65"/>
      <c r="B90" s="66"/>
      <c r="G90" s="67"/>
      <c r="J90" s="54"/>
      <c r="L90" s="54"/>
      <c r="M90" s="54"/>
    </row>
    <row r="91" spans="1:13" ht="72.75" customHeight="1" x14ac:dyDescent="0.25">
      <c r="A91" s="55" t="s">
        <v>410</v>
      </c>
      <c r="B91" s="74" t="s">
        <v>411</v>
      </c>
      <c r="D91" s="55" t="s">
        <v>337</v>
      </c>
      <c r="E91" s="1" t="s">
        <v>305</v>
      </c>
      <c r="F91" s="55" t="s">
        <v>345</v>
      </c>
      <c r="G91" s="55"/>
      <c r="H91" s="55"/>
      <c r="J91" s="54"/>
      <c r="L91" s="54"/>
      <c r="M91" s="54"/>
    </row>
    <row r="92" spans="1:13" x14ac:dyDescent="0.25">
      <c r="A92" s="77" t="s">
        <v>377</v>
      </c>
      <c r="B92" s="66">
        <v>2683.8</v>
      </c>
      <c r="C92" t="s">
        <v>21</v>
      </c>
      <c r="D92" t="s">
        <v>384</v>
      </c>
      <c r="G92" s="67"/>
      <c r="J92" s="54"/>
      <c r="L92" s="54"/>
      <c r="M92" s="54"/>
    </row>
    <row r="93" spans="1:13" x14ac:dyDescent="0.25">
      <c r="A93" s="77" t="s">
        <v>378</v>
      </c>
      <c r="B93" s="66">
        <v>4860.7</v>
      </c>
      <c r="C93" t="s">
        <v>338</v>
      </c>
      <c r="D93" t="s">
        <v>384</v>
      </c>
      <c r="G93" s="67"/>
      <c r="J93" s="54"/>
      <c r="L93" s="54"/>
      <c r="M93" s="54"/>
    </row>
    <row r="94" spans="1:13" x14ac:dyDescent="0.25">
      <c r="A94" s="77" t="s">
        <v>379</v>
      </c>
      <c r="B94" s="66">
        <v>5124.6000000000004</v>
      </c>
      <c r="C94" t="s">
        <v>380</v>
      </c>
      <c r="D94" t="s">
        <v>384</v>
      </c>
      <c r="G94" s="67"/>
      <c r="J94" s="54"/>
      <c r="L94" s="54"/>
      <c r="M94" s="54"/>
    </row>
    <row r="95" spans="1:13" x14ac:dyDescent="0.25">
      <c r="A95" s="52" t="s">
        <v>269</v>
      </c>
      <c r="B95" s="69">
        <v>8938.7999999999993</v>
      </c>
      <c r="C95" t="s">
        <v>338</v>
      </c>
      <c r="D95" t="s">
        <v>387</v>
      </c>
      <c r="E95">
        <f>(B95/B93)*100</f>
        <v>183.89943835250065</v>
      </c>
      <c r="F95">
        <f>ROUND(E95,0)</f>
        <v>184</v>
      </c>
      <c r="G95" s="67"/>
      <c r="J95" s="54"/>
      <c r="L95" s="54"/>
      <c r="M95" s="54"/>
    </row>
    <row r="96" spans="1:13" x14ac:dyDescent="0.25">
      <c r="A96" s="52" t="s">
        <v>342</v>
      </c>
      <c r="B96" s="70">
        <v>10638</v>
      </c>
      <c r="C96" t="s">
        <v>336</v>
      </c>
      <c r="D96" t="s">
        <v>385</v>
      </c>
      <c r="E96">
        <f>(B96/B94)*100</f>
        <v>207.58693361433086</v>
      </c>
      <c r="F96">
        <f t="shared" ref="F96:F100" si="13">ROUND(E96,0)</f>
        <v>208</v>
      </c>
      <c r="G96" s="67"/>
      <c r="J96" s="54"/>
      <c r="L96" s="54"/>
      <c r="M96" s="54"/>
    </row>
    <row r="97" spans="1:13" x14ac:dyDescent="0.25">
      <c r="A97" s="52" t="s">
        <v>341</v>
      </c>
      <c r="B97" s="70">
        <v>12195.1</v>
      </c>
      <c r="C97" t="s">
        <v>21</v>
      </c>
      <c r="D97" t="s">
        <v>386</v>
      </c>
      <c r="E97">
        <f>(B97/B92)*100</f>
        <v>454.39675087562409</v>
      </c>
      <c r="F97">
        <f t="shared" si="13"/>
        <v>454</v>
      </c>
      <c r="G97" s="67"/>
      <c r="I97" s="99" t="s">
        <v>354</v>
      </c>
      <c r="J97" s="99"/>
      <c r="K97" s="99"/>
      <c r="L97" s="54"/>
      <c r="M97" s="54"/>
    </row>
    <row r="98" spans="1:13" x14ac:dyDescent="0.25">
      <c r="A98" s="53" t="s">
        <v>270</v>
      </c>
      <c r="B98" s="66">
        <v>12447</v>
      </c>
      <c r="C98" t="s">
        <v>338</v>
      </c>
      <c r="D98" t="s">
        <v>387</v>
      </c>
      <c r="E98">
        <f>(B98/B93)*100</f>
        <v>256.07422799185304</v>
      </c>
      <c r="F98">
        <f t="shared" si="13"/>
        <v>256</v>
      </c>
      <c r="G98" s="67"/>
      <c r="I98" s="99"/>
      <c r="J98" s="99"/>
      <c r="K98" s="99"/>
      <c r="L98" s="54"/>
      <c r="M98" s="54"/>
    </row>
    <row r="99" spans="1:13" x14ac:dyDescent="0.25">
      <c r="A99" s="53" t="s">
        <v>344</v>
      </c>
      <c r="B99" s="67">
        <v>17772.080000000002</v>
      </c>
      <c r="C99" t="s">
        <v>21</v>
      </c>
      <c r="D99" t="s">
        <v>386</v>
      </c>
      <c r="E99">
        <f>(B99/B92)*100</f>
        <v>662.19837543781205</v>
      </c>
      <c r="F99">
        <f t="shared" si="13"/>
        <v>662</v>
      </c>
      <c r="G99" s="54"/>
      <c r="I99" s="99"/>
      <c r="J99" s="99"/>
      <c r="K99" s="99"/>
      <c r="L99" s="54"/>
      <c r="M99" s="54"/>
    </row>
    <row r="100" spans="1:13" x14ac:dyDescent="0.25">
      <c r="A100" s="53" t="s">
        <v>343</v>
      </c>
      <c r="B100" s="66">
        <v>21165.4</v>
      </c>
      <c r="C100" t="s">
        <v>336</v>
      </c>
      <c r="D100" t="s">
        <v>385</v>
      </c>
      <c r="E100">
        <f>(B100/B94)*100</f>
        <v>413.01565000195131</v>
      </c>
      <c r="F100">
        <f t="shared" si="13"/>
        <v>413</v>
      </c>
      <c r="G100" s="54"/>
      <c r="I100" s="99"/>
      <c r="J100" s="99"/>
      <c r="K100" s="99"/>
    </row>
    <row r="101" spans="1:13" x14ac:dyDescent="0.25">
      <c r="A101" s="65"/>
      <c r="B101" s="69"/>
      <c r="G101" s="54"/>
      <c r="I101" s="99"/>
      <c r="J101" s="99"/>
      <c r="K101" s="99"/>
    </row>
    <row r="102" spans="1:13" ht="56.25" customHeight="1" x14ac:dyDescent="0.25">
      <c r="A102" s="55" t="s">
        <v>388</v>
      </c>
      <c r="B102" s="74" t="s">
        <v>394</v>
      </c>
      <c r="D102" s="55" t="s">
        <v>337</v>
      </c>
      <c r="E102" s="1" t="s">
        <v>305</v>
      </c>
      <c r="F102" s="55" t="s">
        <v>345</v>
      </c>
      <c r="G102" s="54"/>
      <c r="I102" s="99"/>
      <c r="J102" s="99"/>
      <c r="K102" s="99"/>
    </row>
    <row r="103" spans="1:13" x14ac:dyDescent="0.25">
      <c r="A103" s="77" t="s">
        <v>377</v>
      </c>
      <c r="B103" s="66">
        <v>2683.8</v>
      </c>
      <c r="C103" t="s">
        <v>21</v>
      </c>
      <c r="D103" t="s">
        <v>384</v>
      </c>
      <c r="G103" s="54"/>
      <c r="I103" s="99"/>
      <c r="J103" s="99"/>
      <c r="K103" s="99"/>
    </row>
    <row r="104" spans="1:13" x14ac:dyDescent="0.25">
      <c r="A104" s="77" t="s">
        <v>378</v>
      </c>
      <c r="B104" s="66">
        <v>4860.7</v>
      </c>
      <c r="C104" t="s">
        <v>338</v>
      </c>
      <c r="D104" t="s">
        <v>384</v>
      </c>
      <c r="G104" s="54"/>
      <c r="I104" s="99"/>
      <c r="J104" s="99"/>
      <c r="K104" s="99"/>
    </row>
    <row r="105" spans="1:13" x14ac:dyDescent="0.25">
      <c r="A105" s="77" t="s">
        <v>379</v>
      </c>
      <c r="B105" s="66">
        <v>5124.6000000000004</v>
      </c>
      <c r="C105" t="s">
        <v>380</v>
      </c>
      <c r="D105" t="s">
        <v>384</v>
      </c>
      <c r="G105" s="54"/>
      <c r="I105" s="99"/>
      <c r="J105" s="99"/>
      <c r="K105" s="99"/>
    </row>
    <row r="106" spans="1:13" x14ac:dyDescent="0.25">
      <c r="A106" s="64" t="s">
        <v>321</v>
      </c>
      <c r="B106" s="66">
        <v>7567.1</v>
      </c>
      <c r="C106" t="s">
        <v>336</v>
      </c>
      <c r="D106" t="s">
        <v>385</v>
      </c>
      <c r="E106">
        <f>(B106/B105)*100</f>
        <v>147.66225656636615</v>
      </c>
      <c r="F106">
        <f>ROUND(E106,0)</f>
        <v>148</v>
      </c>
      <c r="G106" s="54"/>
      <c r="I106" s="99"/>
      <c r="J106" s="99"/>
      <c r="K106" s="99"/>
    </row>
    <row r="107" spans="1:13" x14ac:dyDescent="0.25">
      <c r="A107" s="52" t="s">
        <v>265</v>
      </c>
      <c r="B107" s="66">
        <v>8938.7999999999993</v>
      </c>
      <c r="C107" t="s">
        <v>338</v>
      </c>
      <c r="D107" t="s">
        <v>387</v>
      </c>
      <c r="E107">
        <f>(B107/B104)*100</f>
        <v>183.89943835250065</v>
      </c>
      <c r="F107">
        <f t="shared" ref="F107:F111" si="14">ROUND(E107,0)</f>
        <v>184</v>
      </c>
      <c r="G107" s="54"/>
      <c r="I107" s="99"/>
      <c r="J107" s="99"/>
      <c r="K107" s="99"/>
    </row>
    <row r="108" spans="1:13" x14ac:dyDescent="0.25">
      <c r="A108" s="64" t="s">
        <v>321</v>
      </c>
      <c r="B108" s="66">
        <v>9084.4000000000015</v>
      </c>
      <c r="C108" t="s">
        <v>21</v>
      </c>
      <c r="D108" t="s">
        <v>386</v>
      </c>
      <c r="E108">
        <f>(B108/B103)*100</f>
        <v>338.49020046203145</v>
      </c>
      <c r="F108">
        <f t="shared" si="14"/>
        <v>338</v>
      </c>
      <c r="G108" s="54"/>
      <c r="I108" s="99"/>
      <c r="J108" s="99"/>
      <c r="K108" s="99"/>
    </row>
    <row r="109" spans="1:13" x14ac:dyDescent="0.25">
      <c r="A109" s="63" t="s">
        <v>320</v>
      </c>
      <c r="B109" s="66">
        <v>10047.299999999999</v>
      </c>
      <c r="C109" t="s">
        <v>336</v>
      </c>
      <c r="D109" t="s">
        <v>385</v>
      </c>
      <c r="E109">
        <f>(B109/B105)*100</f>
        <v>196.06018030675563</v>
      </c>
      <c r="F109">
        <f t="shared" si="14"/>
        <v>196</v>
      </c>
      <c r="G109" s="54"/>
      <c r="I109" s="99"/>
      <c r="J109" s="99"/>
      <c r="K109" s="99"/>
    </row>
    <row r="110" spans="1:13" x14ac:dyDescent="0.25">
      <c r="A110" s="53" t="s">
        <v>266</v>
      </c>
      <c r="B110" s="69">
        <v>12447</v>
      </c>
      <c r="C110" t="s">
        <v>338</v>
      </c>
      <c r="D110" t="s">
        <v>387</v>
      </c>
      <c r="E110">
        <f>(B110/B104)*100</f>
        <v>256.07422799185304</v>
      </c>
      <c r="F110">
        <f t="shared" si="14"/>
        <v>256</v>
      </c>
      <c r="G110" s="54"/>
      <c r="I110" s="99"/>
      <c r="J110" s="99"/>
      <c r="K110" s="99"/>
    </row>
    <row r="111" spans="1:13" x14ac:dyDescent="0.25">
      <c r="A111" s="63" t="s">
        <v>320</v>
      </c>
      <c r="B111" s="69">
        <v>12734</v>
      </c>
      <c r="C111" t="s">
        <v>21</v>
      </c>
      <c r="D111" t="s">
        <v>386</v>
      </c>
      <c r="E111">
        <f>(B111/B103)*100</f>
        <v>474.47648856099562</v>
      </c>
      <c r="F111">
        <f t="shared" si="14"/>
        <v>474</v>
      </c>
      <c r="G111" s="54"/>
      <c r="I111" s="99"/>
      <c r="J111" s="99"/>
      <c r="K111" s="99"/>
    </row>
    <row r="112" spans="1:13" x14ac:dyDescent="0.25">
      <c r="A112" s="65"/>
      <c r="B112" s="69"/>
      <c r="G112" s="54"/>
      <c r="I112" s="99"/>
      <c r="J112" s="99"/>
      <c r="K112" s="99"/>
    </row>
    <row r="113" spans="1:15" x14ac:dyDescent="0.25">
      <c r="A113" s="96" t="s">
        <v>339</v>
      </c>
      <c r="B113" s="96"/>
      <c r="C113" s="96"/>
      <c r="G113" s="54"/>
    </row>
    <row r="114" spans="1:15" ht="48.75" customHeight="1" x14ac:dyDescent="0.25">
      <c r="D114" s="55" t="s">
        <v>337</v>
      </c>
      <c r="E114" s="1" t="s">
        <v>305</v>
      </c>
      <c r="F114" s="55" t="s">
        <v>345</v>
      </c>
      <c r="G114" s="74"/>
      <c r="M114" s="71"/>
      <c r="N114" s="71"/>
      <c r="O114" s="71"/>
    </row>
    <row r="115" spans="1:15" x14ac:dyDescent="0.25">
      <c r="A115" s="52" t="s">
        <v>279</v>
      </c>
      <c r="B115" s="69">
        <v>3880.6</v>
      </c>
      <c r="C115" t="s">
        <v>248</v>
      </c>
      <c r="D115" t="s">
        <v>346</v>
      </c>
      <c r="E115">
        <f>(B115/$B$115)*100</f>
        <v>100</v>
      </c>
      <c r="F115">
        <f>ROUND(E115,0)</f>
        <v>100</v>
      </c>
      <c r="G115" s="54"/>
      <c r="M115" s="71"/>
      <c r="N115" s="71"/>
      <c r="O115" s="71"/>
    </row>
    <row r="116" spans="1:15" x14ac:dyDescent="0.25">
      <c r="A116" s="52" t="s">
        <v>273</v>
      </c>
      <c r="B116" s="69">
        <v>5203.3</v>
      </c>
      <c r="C116" t="s">
        <v>287</v>
      </c>
      <c r="D116" t="s">
        <v>347</v>
      </c>
      <c r="E116">
        <f t="shared" ref="E116:E122" si="15">(B116/$B$115)*100</f>
        <v>134.08493531928053</v>
      </c>
      <c r="F116">
        <f t="shared" ref="F116:F122" si="16">ROUND(E116,0)</f>
        <v>134</v>
      </c>
      <c r="G116" s="54"/>
      <c r="M116" s="71"/>
      <c r="N116" s="71"/>
      <c r="O116" s="71"/>
    </row>
    <row r="117" spans="1:15" x14ac:dyDescent="0.25">
      <c r="A117" s="52" t="s">
        <v>276</v>
      </c>
      <c r="B117" s="69">
        <v>7216.05</v>
      </c>
      <c r="C117" t="s">
        <v>198</v>
      </c>
      <c r="D117" t="s">
        <v>348</v>
      </c>
      <c r="E117">
        <f t="shared" si="15"/>
        <v>185.95191465237335</v>
      </c>
      <c r="F117">
        <f t="shared" si="16"/>
        <v>186</v>
      </c>
      <c r="G117" s="54"/>
      <c r="M117" s="71"/>
      <c r="N117" s="71"/>
      <c r="O117" s="71"/>
    </row>
    <row r="118" spans="1:15" x14ac:dyDescent="0.25">
      <c r="A118" s="52" t="s">
        <v>281</v>
      </c>
      <c r="B118" s="69">
        <v>8354.9</v>
      </c>
      <c r="C118" t="s">
        <v>250</v>
      </c>
      <c r="D118" t="s">
        <v>349</v>
      </c>
      <c r="E118">
        <f t="shared" si="15"/>
        <v>215.29918053909191</v>
      </c>
      <c r="F118">
        <f t="shared" si="16"/>
        <v>215</v>
      </c>
      <c r="G118" s="54"/>
      <c r="M118" s="71"/>
      <c r="N118" s="71"/>
      <c r="O118" s="71"/>
    </row>
    <row r="119" spans="1:15" x14ac:dyDescent="0.25">
      <c r="A119" s="52" t="s">
        <v>269</v>
      </c>
      <c r="B119" s="69">
        <v>8938.7999999999993</v>
      </c>
      <c r="C119" t="s">
        <v>338</v>
      </c>
      <c r="D119" t="s">
        <v>350</v>
      </c>
      <c r="E119">
        <f t="shared" si="15"/>
        <v>230.34582281090553</v>
      </c>
      <c r="F119">
        <f t="shared" si="16"/>
        <v>230</v>
      </c>
      <c r="G119" s="54"/>
      <c r="J119" s="71"/>
      <c r="K119" s="71"/>
      <c r="L119" s="71"/>
      <c r="M119" s="71"/>
      <c r="N119" s="71"/>
      <c r="O119" s="71"/>
    </row>
    <row r="120" spans="1:15" x14ac:dyDescent="0.25">
      <c r="A120" s="52" t="s">
        <v>342</v>
      </c>
      <c r="B120" s="69">
        <v>10638</v>
      </c>
      <c r="C120" t="s">
        <v>336</v>
      </c>
      <c r="D120" t="s">
        <v>351</v>
      </c>
      <c r="E120">
        <f t="shared" si="15"/>
        <v>274.13286605164149</v>
      </c>
      <c r="F120">
        <f t="shared" si="16"/>
        <v>274</v>
      </c>
      <c r="G120" s="54"/>
      <c r="H120" s="78"/>
      <c r="I120" s="78"/>
      <c r="J120" s="78"/>
      <c r="K120" s="65"/>
      <c r="L120" s="65"/>
      <c r="M120" s="65"/>
      <c r="N120" s="65"/>
      <c r="O120" s="65"/>
    </row>
    <row r="121" spans="1:15" x14ac:dyDescent="0.25">
      <c r="A121" s="52" t="s">
        <v>341</v>
      </c>
      <c r="B121" s="70">
        <v>12195.1</v>
      </c>
      <c r="C121" t="s">
        <v>21</v>
      </c>
      <c r="D121" t="s">
        <v>352</v>
      </c>
      <c r="E121">
        <f t="shared" si="15"/>
        <v>314.2581044168428</v>
      </c>
      <c r="F121">
        <f t="shared" si="16"/>
        <v>314</v>
      </c>
      <c r="G121" s="54"/>
      <c r="H121" s="78"/>
      <c r="I121" s="78"/>
      <c r="J121" s="78"/>
      <c r="K121" s="72"/>
      <c r="L121" s="72"/>
      <c r="M121" s="65"/>
      <c r="N121" s="65"/>
      <c r="O121" s="65"/>
    </row>
    <row r="122" spans="1:15" x14ac:dyDescent="0.25">
      <c r="A122" s="52" t="s">
        <v>275</v>
      </c>
      <c r="B122" s="69">
        <v>12951.62</v>
      </c>
      <c r="C122" t="s">
        <v>191</v>
      </c>
      <c r="D122" t="s">
        <v>353</v>
      </c>
      <c r="E122">
        <f t="shared" si="15"/>
        <v>333.75302788228629</v>
      </c>
      <c r="F122">
        <f t="shared" si="16"/>
        <v>334</v>
      </c>
      <c r="G122" s="54"/>
      <c r="H122" s="78"/>
      <c r="I122" s="78"/>
      <c r="J122" s="78"/>
      <c r="K122" s="72"/>
      <c r="L122" s="72"/>
      <c r="M122" s="65"/>
      <c r="N122" s="65"/>
      <c r="O122" s="65"/>
    </row>
    <row r="123" spans="1:15" x14ac:dyDescent="0.25">
      <c r="G123" s="54"/>
      <c r="H123" s="78"/>
      <c r="I123" s="78"/>
      <c r="J123" s="78"/>
      <c r="K123" s="72"/>
      <c r="L123" s="72"/>
      <c r="M123" s="65"/>
      <c r="N123" s="65"/>
      <c r="O123" s="65"/>
    </row>
    <row r="124" spans="1:15" x14ac:dyDescent="0.25">
      <c r="A124" s="97" t="s">
        <v>340</v>
      </c>
      <c r="B124" s="97"/>
      <c r="C124" s="97"/>
      <c r="G124" s="54"/>
      <c r="J124" s="72"/>
      <c r="K124" s="72"/>
      <c r="L124" s="72"/>
      <c r="M124" s="65"/>
      <c r="N124" s="65"/>
      <c r="O124" s="65"/>
    </row>
    <row r="125" spans="1:15" ht="58.5" customHeight="1" x14ac:dyDescent="0.25">
      <c r="D125" s="55" t="s">
        <v>337</v>
      </c>
      <c r="E125" s="1" t="s">
        <v>305</v>
      </c>
      <c r="F125" s="55" t="s">
        <v>345</v>
      </c>
      <c r="G125" s="74"/>
      <c r="J125" s="72"/>
      <c r="K125" s="72"/>
      <c r="L125" s="72"/>
      <c r="M125" s="65"/>
      <c r="N125" s="65"/>
      <c r="O125" s="65"/>
    </row>
    <row r="126" spans="1:15" x14ac:dyDescent="0.25">
      <c r="A126" s="53" t="s">
        <v>278</v>
      </c>
      <c r="B126" s="66">
        <v>4617.1000000000004</v>
      </c>
      <c r="C126" t="s">
        <v>248</v>
      </c>
      <c r="D126" t="s">
        <v>346</v>
      </c>
      <c r="E126">
        <f>(B126/$B$126)*100</f>
        <v>100</v>
      </c>
      <c r="F126">
        <f>ROUND(E126,0)</f>
        <v>100</v>
      </c>
      <c r="G126" s="54"/>
      <c r="J126" s="65"/>
      <c r="K126" s="65"/>
      <c r="L126" s="65"/>
      <c r="M126" s="65"/>
      <c r="N126" s="65"/>
      <c r="O126" s="65"/>
    </row>
    <row r="127" spans="1:15" x14ac:dyDescent="0.25">
      <c r="A127" s="53" t="s">
        <v>272</v>
      </c>
      <c r="B127" s="66">
        <v>6158.4</v>
      </c>
      <c r="C127" t="s">
        <v>287</v>
      </c>
      <c r="D127" t="s">
        <v>347</v>
      </c>
      <c r="E127">
        <f>(B127/$B$126)*100</f>
        <v>133.38242619826298</v>
      </c>
      <c r="F127">
        <f t="shared" ref="F127:F133" si="17">ROUND(E127,0)</f>
        <v>133</v>
      </c>
      <c r="G127" s="54"/>
    </row>
    <row r="128" spans="1:15" x14ac:dyDescent="0.25">
      <c r="A128" s="53" t="s">
        <v>277</v>
      </c>
      <c r="B128" s="66">
        <v>10267.049999999999</v>
      </c>
      <c r="C128" t="s">
        <v>198</v>
      </c>
      <c r="D128" t="s">
        <v>348</v>
      </c>
      <c r="E128">
        <f>(B128/$B$126)*100</f>
        <v>222.37010244525783</v>
      </c>
      <c r="F128">
        <f t="shared" si="17"/>
        <v>222</v>
      </c>
      <c r="G128" s="54"/>
      <c r="I128" s="75"/>
    </row>
    <row r="129" spans="1:9" x14ac:dyDescent="0.25">
      <c r="A129" s="53" t="s">
        <v>280</v>
      </c>
      <c r="B129" s="68">
        <v>11485</v>
      </c>
      <c r="C129" t="s">
        <v>250</v>
      </c>
      <c r="D129" t="s">
        <v>349</v>
      </c>
      <c r="E129">
        <f t="shared" ref="E129:E133" si="18">(B129/$B$126)*100</f>
        <v>248.74921487513805</v>
      </c>
      <c r="F129">
        <f t="shared" si="17"/>
        <v>249</v>
      </c>
      <c r="G129" s="54"/>
    </row>
    <row r="130" spans="1:9" x14ac:dyDescent="0.25">
      <c r="A130" s="53" t="s">
        <v>270</v>
      </c>
      <c r="B130" s="66">
        <v>12447</v>
      </c>
      <c r="C130" t="s">
        <v>338</v>
      </c>
      <c r="D130" t="s">
        <v>350</v>
      </c>
      <c r="E130">
        <f t="shared" si="18"/>
        <v>269.58480431439648</v>
      </c>
      <c r="F130">
        <f t="shared" si="17"/>
        <v>270</v>
      </c>
      <c r="G130" s="54"/>
    </row>
    <row r="131" spans="1:9" x14ac:dyDescent="0.25">
      <c r="A131" s="53" t="s">
        <v>274</v>
      </c>
      <c r="B131" s="66">
        <v>16781.419999999998</v>
      </c>
      <c r="C131" t="s">
        <v>191</v>
      </c>
      <c r="D131" t="s">
        <v>353</v>
      </c>
      <c r="E131">
        <f t="shared" si="18"/>
        <v>363.46234649455278</v>
      </c>
      <c r="F131">
        <f t="shared" si="17"/>
        <v>363</v>
      </c>
      <c r="G131" s="54"/>
    </row>
    <row r="132" spans="1:9" x14ac:dyDescent="0.25">
      <c r="A132" s="53" t="s">
        <v>344</v>
      </c>
      <c r="B132" s="67">
        <v>17772.080000000002</v>
      </c>
      <c r="C132" t="s">
        <v>21</v>
      </c>
      <c r="D132" t="s">
        <v>352</v>
      </c>
      <c r="E132">
        <f t="shared" si="18"/>
        <v>384.9186718936129</v>
      </c>
      <c r="F132">
        <f t="shared" si="17"/>
        <v>385</v>
      </c>
      <c r="G132" s="54"/>
    </row>
    <row r="133" spans="1:9" x14ac:dyDescent="0.25">
      <c r="A133" s="53" t="s">
        <v>343</v>
      </c>
      <c r="B133" s="66">
        <v>21165.4</v>
      </c>
      <c r="C133" t="s">
        <v>336</v>
      </c>
      <c r="D133" t="s">
        <v>351</v>
      </c>
      <c r="E133">
        <f t="shared" si="18"/>
        <v>458.41328972731804</v>
      </c>
      <c r="F133">
        <f t="shared" si="17"/>
        <v>458</v>
      </c>
      <c r="G133" s="54"/>
    </row>
    <row r="134" spans="1:9" x14ac:dyDescent="0.25">
      <c r="G134" s="54"/>
    </row>
    <row r="135" spans="1:9" x14ac:dyDescent="0.25">
      <c r="A135" s="96" t="s">
        <v>428</v>
      </c>
      <c r="B135" s="96"/>
      <c r="C135" s="96"/>
      <c r="G135" s="54"/>
      <c r="I135" s="54"/>
    </row>
    <row r="136" spans="1:9" ht="45" x14ac:dyDescent="0.25">
      <c r="B136" s="74" t="s">
        <v>395</v>
      </c>
      <c r="D136" s="55" t="s">
        <v>337</v>
      </c>
      <c r="E136" s="1" t="s">
        <v>305</v>
      </c>
      <c r="F136" s="55" t="s">
        <v>345</v>
      </c>
      <c r="G136" s="74" t="s">
        <v>365</v>
      </c>
    </row>
    <row r="137" spans="1:9" x14ac:dyDescent="0.25">
      <c r="A137" s="64" t="s">
        <v>321</v>
      </c>
      <c r="B137" s="66">
        <v>305.20999999999998</v>
      </c>
      <c r="C137" t="s">
        <v>248</v>
      </c>
      <c r="D137" t="s">
        <v>346</v>
      </c>
      <c r="E137">
        <f>(B137/$B$137)*100</f>
        <v>100</v>
      </c>
      <c r="F137">
        <f>ROUND(E137,0)</f>
        <v>100</v>
      </c>
      <c r="G137" s="67">
        <f t="shared" ref="G137:G144" si="19">B137*10</f>
        <v>3052.1</v>
      </c>
    </row>
    <row r="138" spans="1:9" x14ac:dyDescent="0.25">
      <c r="A138" s="64" t="s">
        <v>321</v>
      </c>
      <c r="B138" s="66">
        <v>367.16</v>
      </c>
      <c r="C138" t="s">
        <v>287</v>
      </c>
      <c r="D138" t="s">
        <v>347</v>
      </c>
      <c r="E138">
        <f t="shared" ref="E138:E143" si="20">(B138/$B$137)*100</f>
        <v>120.29750008191083</v>
      </c>
      <c r="F138">
        <f t="shared" ref="F138:F144" si="21">ROUND(E138,0)</f>
        <v>120</v>
      </c>
      <c r="G138" s="67">
        <f t="shared" si="19"/>
        <v>3671.6000000000004</v>
      </c>
    </row>
    <row r="139" spans="1:9" x14ac:dyDescent="0.25">
      <c r="A139" s="64" t="s">
        <v>321</v>
      </c>
      <c r="B139" s="66">
        <v>499.08</v>
      </c>
      <c r="C139" t="s">
        <v>198</v>
      </c>
      <c r="D139" t="s">
        <v>348</v>
      </c>
      <c r="E139">
        <f t="shared" si="20"/>
        <v>163.5201992071033</v>
      </c>
      <c r="F139">
        <f t="shared" si="21"/>
        <v>164</v>
      </c>
      <c r="G139" s="67">
        <f t="shared" si="19"/>
        <v>4990.8</v>
      </c>
    </row>
    <row r="140" spans="1:9" x14ac:dyDescent="0.25">
      <c r="A140" s="64" t="s">
        <v>321</v>
      </c>
      <c r="B140" s="66">
        <v>515.11</v>
      </c>
      <c r="C140" t="s">
        <v>250</v>
      </c>
      <c r="D140" t="s">
        <v>349</v>
      </c>
      <c r="E140">
        <f t="shared" si="20"/>
        <v>168.77232069722487</v>
      </c>
      <c r="F140">
        <f t="shared" si="21"/>
        <v>169</v>
      </c>
      <c r="G140" s="67">
        <f t="shared" si="19"/>
        <v>5151.1000000000004</v>
      </c>
    </row>
    <row r="141" spans="1:9" x14ac:dyDescent="0.25">
      <c r="A141" s="64" t="s">
        <v>321</v>
      </c>
      <c r="B141" s="66">
        <v>756.71</v>
      </c>
      <c r="C141" t="s">
        <v>336</v>
      </c>
      <c r="D141" t="s">
        <v>351</v>
      </c>
      <c r="E141">
        <f t="shared" si="20"/>
        <v>247.93093280036697</v>
      </c>
      <c r="F141">
        <f t="shared" si="21"/>
        <v>248</v>
      </c>
      <c r="G141" s="67">
        <f t="shared" si="19"/>
        <v>7567.1</v>
      </c>
    </row>
    <row r="142" spans="1:9" x14ac:dyDescent="0.25">
      <c r="A142" s="64" t="s">
        <v>321</v>
      </c>
      <c r="B142" s="66">
        <v>868.41</v>
      </c>
      <c r="C142" t="s">
        <v>191</v>
      </c>
      <c r="D142" t="s">
        <v>353</v>
      </c>
      <c r="E142">
        <f t="shared" si="20"/>
        <v>284.52868516758952</v>
      </c>
      <c r="F142">
        <f t="shared" si="21"/>
        <v>285</v>
      </c>
      <c r="G142" s="67">
        <f t="shared" si="19"/>
        <v>8684.1</v>
      </c>
    </row>
    <row r="143" spans="1:9" x14ac:dyDescent="0.25">
      <c r="A143" s="52" t="s">
        <v>265</v>
      </c>
      <c r="B143" s="66">
        <v>893.88</v>
      </c>
      <c r="C143" t="s">
        <v>338</v>
      </c>
      <c r="D143" t="s">
        <v>350</v>
      </c>
      <c r="E143">
        <f t="shared" si="20"/>
        <v>292.8737590511451</v>
      </c>
      <c r="F143">
        <f t="shared" si="21"/>
        <v>293</v>
      </c>
      <c r="G143" s="67">
        <f t="shared" si="19"/>
        <v>8938.7999999999993</v>
      </c>
    </row>
    <row r="144" spans="1:9" x14ac:dyDescent="0.25">
      <c r="A144" s="64" t="s">
        <v>321</v>
      </c>
      <c r="B144" s="66">
        <v>908.44</v>
      </c>
      <c r="C144" t="s">
        <v>21</v>
      </c>
      <c r="D144" t="s">
        <v>352</v>
      </c>
      <c r="E144">
        <f>(B144/$B$137)*100</f>
        <v>297.64424494610273</v>
      </c>
      <c r="F144">
        <f t="shared" si="21"/>
        <v>298</v>
      </c>
      <c r="G144" s="67">
        <f t="shared" si="19"/>
        <v>9084.4000000000015</v>
      </c>
    </row>
    <row r="145" spans="1:10" x14ac:dyDescent="0.25">
      <c r="G145" s="54"/>
    </row>
    <row r="146" spans="1:10" x14ac:dyDescent="0.25">
      <c r="A146" s="96" t="s">
        <v>396</v>
      </c>
      <c r="B146" s="96"/>
      <c r="C146" s="96"/>
      <c r="G146" s="54"/>
    </row>
    <row r="147" spans="1:10" ht="45" x14ac:dyDescent="0.25">
      <c r="B147" s="74" t="s">
        <v>395</v>
      </c>
      <c r="D147" s="55" t="s">
        <v>337</v>
      </c>
      <c r="E147" s="1" t="s">
        <v>305</v>
      </c>
      <c r="F147" s="55" t="s">
        <v>345</v>
      </c>
      <c r="G147" s="74" t="s">
        <v>365</v>
      </c>
    </row>
    <row r="148" spans="1:10" x14ac:dyDescent="0.25">
      <c r="A148" s="63" t="s">
        <v>320</v>
      </c>
      <c r="B148" s="66">
        <v>378.86</v>
      </c>
      <c r="C148" t="s">
        <v>248</v>
      </c>
      <c r="D148" t="s">
        <v>346</v>
      </c>
      <c r="E148">
        <f>(B148/$B$148)*100</f>
        <v>100</v>
      </c>
      <c r="F148">
        <f>ROUND(E148,0)</f>
        <v>100</v>
      </c>
      <c r="G148" s="67">
        <f t="shared" ref="G148:G155" si="22">B148*10</f>
        <v>3788.6000000000004</v>
      </c>
    </row>
    <row r="149" spans="1:10" x14ac:dyDescent="0.25">
      <c r="A149" s="63" t="s">
        <v>320</v>
      </c>
      <c r="B149" s="66">
        <v>408.18</v>
      </c>
      <c r="C149" t="s">
        <v>287</v>
      </c>
      <c r="D149" t="s">
        <v>347</v>
      </c>
      <c r="E149">
        <f t="shared" ref="E149:E155" si="23">(B149/$B$148)*100</f>
        <v>107.7390064931637</v>
      </c>
      <c r="F149">
        <f t="shared" ref="F149:F155" si="24">ROUND(E149,0)</f>
        <v>108</v>
      </c>
      <c r="G149" s="67">
        <f t="shared" si="22"/>
        <v>4081.8</v>
      </c>
    </row>
    <row r="150" spans="1:10" x14ac:dyDescent="0.25">
      <c r="A150" s="63" t="s">
        <v>320</v>
      </c>
      <c r="B150" s="66">
        <v>710.21</v>
      </c>
      <c r="C150" t="s">
        <v>198</v>
      </c>
      <c r="D150" t="s">
        <v>348</v>
      </c>
      <c r="E150">
        <f t="shared" si="23"/>
        <v>187.45974766404476</v>
      </c>
      <c r="F150">
        <f t="shared" si="24"/>
        <v>187</v>
      </c>
      <c r="G150" s="67">
        <f t="shared" si="22"/>
        <v>7102.1</v>
      </c>
    </row>
    <row r="151" spans="1:10" x14ac:dyDescent="0.25">
      <c r="A151" s="63" t="s">
        <v>320</v>
      </c>
      <c r="B151" s="66">
        <v>828.12</v>
      </c>
      <c r="C151" t="s">
        <v>250</v>
      </c>
      <c r="D151" t="s">
        <v>349</v>
      </c>
      <c r="E151">
        <f t="shared" si="23"/>
        <v>218.58206197539988</v>
      </c>
      <c r="F151">
        <f t="shared" si="24"/>
        <v>219</v>
      </c>
      <c r="G151" s="67">
        <f t="shared" si="22"/>
        <v>8281.2000000000007</v>
      </c>
    </row>
    <row r="152" spans="1:10" x14ac:dyDescent="0.25">
      <c r="A152" s="63" t="s">
        <v>320</v>
      </c>
      <c r="B152" s="66">
        <v>1004.73</v>
      </c>
      <c r="C152" t="s">
        <v>336</v>
      </c>
      <c r="D152" t="s">
        <v>351</v>
      </c>
      <c r="E152">
        <f t="shared" si="23"/>
        <v>265.19822625772053</v>
      </c>
      <c r="F152">
        <f t="shared" si="24"/>
        <v>265</v>
      </c>
      <c r="G152" s="67">
        <f t="shared" si="22"/>
        <v>10047.299999999999</v>
      </c>
    </row>
    <row r="153" spans="1:10" x14ac:dyDescent="0.25">
      <c r="A153" s="63" t="s">
        <v>320</v>
      </c>
      <c r="B153" s="66">
        <v>1192.47</v>
      </c>
      <c r="C153" t="s">
        <v>191</v>
      </c>
      <c r="D153" t="s">
        <v>353</v>
      </c>
      <c r="E153">
        <f t="shared" si="23"/>
        <v>314.75215119041337</v>
      </c>
      <c r="F153">
        <f t="shared" si="24"/>
        <v>315</v>
      </c>
      <c r="G153" s="67">
        <f t="shared" si="22"/>
        <v>11924.7</v>
      </c>
    </row>
    <row r="154" spans="1:10" x14ac:dyDescent="0.25">
      <c r="A154" s="53" t="s">
        <v>266</v>
      </c>
      <c r="B154" s="66">
        <v>1244.7</v>
      </c>
      <c r="C154" t="s">
        <v>338</v>
      </c>
      <c r="D154" t="s">
        <v>350</v>
      </c>
      <c r="E154">
        <f t="shared" si="23"/>
        <v>328.53824631790104</v>
      </c>
      <c r="F154">
        <f t="shared" si="24"/>
        <v>329</v>
      </c>
      <c r="G154" s="67">
        <f t="shared" si="22"/>
        <v>12447</v>
      </c>
    </row>
    <row r="155" spans="1:10" x14ac:dyDescent="0.25">
      <c r="A155" s="63" t="s">
        <v>320</v>
      </c>
      <c r="B155" s="66">
        <v>1273.4000000000001</v>
      </c>
      <c r="C155" t="s">
        <v>21</v>
      </c>
      <c r="D155" t="s">
        <v>352</v>
      </c>
      <c r="E155">
        <f t="shared" si="23"/>
        <v>336.11360396980416</v>
      </c>
      <c r="F155">
        <f t="shared" si="24"/>
        <v>336</v>
      </c>
      <c r="G155" s="67">
        <f t="shared" si="22"/>
        <v>12734</v>
      </c>
    </row>
    <row r="156" spans="1:10" x14ac:dyDescent="0.25">
      <c r="G156" s="54"/>
    </row>
    <row r="157" spans="1:10" ht="40.5" customHeight="1" x14ac:dyDescent="0.25">
      <c r="A157" s="85" t="s">
        <v>412</v>
      </c>
      <c r="B157" s="74"/>
      <c r="C157" s="74"/>
      <c r="D157" s="74"/>
      <c r="G157" s="54"/>
    </row>
    <row r="158" spans="1:10" ht="60.75" customHeight="1" x14ac:dyDescent="0.25">
      <c r="B158" s="55" t="s">
        <v>366</v>
      </c>
      <c r="C158" s="74" t="s">
        <v>394</v>
      </c>
      <c r="E158" s="55" t="s">
        <v>367</v>
      </c>
      <c r="F158" s="1" t="s">
        <v>305</v>
      </c>
      <c r="G158" s="55" t="s">
        <v>345</v>
      </c>
      <c r="H158" s="55" t="s">
        <v>368</v>
      </c>
      <c r="I158" s="55" t="s">
        <v>345</v>
      </c>
      <c r="J158" s="55" t="s">
        <v>429</v>
      </c>
    </row>
    <row r="159" spans="1:10" x14ac:dyDescent="0.25">
      <c r="A159" s="52" t="s">
        <v>279</v>
      </c>
      <c r="B159" s="69">
        <v>3880.6</v>
      </c>
      <c r="C159" s="66">
        <v>3052.1</v>
      </c>
      <c r="D159" t="s">
        <v>248</v>
      </c>
      <c r="E159" t="s">
        <v>413</v>
      </c>
      <c r="F159">
        <f>(B159/C159)*100</f>
        <v>127.14524425805183</v>
      </c>
      <c r="G159">
        <f>ROUND(F159,0)</f>
        <v>127</v>
      </c>
      <c r="H159">
        <f>AVERAGE(G159,G160,G161,G162,G163,G164,G165,G166)</f>
        <v>136.875</v>
      </c>
      <c r="I159">
        <f>ROUND(H159,0)</f>
        <v>137</v>
      </c>
      <c r="J159">
        <f>G159-100</f>
        <v>27</v>
      </c>
    </row>
    <row r="160" spans="1:10" x14ac:dyDescent="0.25">
      <c r="A160" s="52" t="s">
        <v>273</v>
      </c>
      <c r="B160" s="69">
        <v>5203.3</v>
      </c>
      <c r="C160" s="66">
        <v>3671.6000000000004</v>
      </c>
      <c r="D160" t="s">
        <v>287</v>
      </c>
      <c r="E160" t="s">
        <v>414</v>
      </c>
      <c r="F160">
        <f>(B160/C160)*100</f>
        <v>141.71750735374223</v>
      </c>
      <c r="G160">
        <f t="shared" ref="G160:G166" si="25">ROUND(F160,0)</f>
        <v>142</v>
      </c>
      <c r="J160">
        <f t="shared" ref="J160:J166" si="26">G160-100</f>
        <v>42</v>
      </c>
    </row>
    <row r="161" spans="1:10" x14ac:dyDescent="0.25">
      <c r="A161" s="52" t="s">
        <v>276</v>
      </c>
      <c r="B161" s="69">
        <v>7216.05</v>
      </c>
      <c r="C161" s="66">
        <v>4990.8</v>
      </c>
      <c r="D161" t="s">
        <v>198</v>
      </c>
      <c r="E161" t="s">
        <v>415</v>
      </c>
      <c r="F161">
        <f t="shared" ref="F161:F166" si="27">(B161/C161)*100</f>
        <v>144.58704015388315</v>
      </c>
      <c r="G161">
        <f t="shared" si="25"/>
        <v>145</v>
      </c>
      <c r="J161">
        <f t="shared" si="26"/>
        <v>45</v>
      </c>
    </row>
    <row r="162" spans="1:10" x14ac:dyDescent="0.25">
      <c r="A162" s="52" t="s">
        <v>281</v>
      </c>
      <c r="B162" s="69">
        <v>8354.9</v>
      </c>
      <c r="C162" s="66">
        <v>5151.1000000000004</v>
      </c>
      <c r="D162" t="s">
        <v>250</v>
      </c>
      <c r="E162" t="s">
        <v>416</v>
      </c>
      <c r="F162">
        <f>(B162/C162)*100</f>
        <v>162.19642406476285</v>
      </c>
      <c r="G162">
        <f t="shared" si="25"/>
        <v>162</v>
      </c>
      <c r="J162">
        <f t="shared" si="26"/>
        <v>62</v>
      </c>
    </row>
    <row r="163" spans="1:10" x14ac:dyDescent="0.25">
      <c r="A163" s="52" t="s">
        <v>269</v>
      </c>
      <c r="B163" s="69">
        <v>8938.7999999999993</v>
      </c>
      <c r="C163" s="66">
        <v>7567.1</v>
      </c>
      <c r="D163" t="s">
        <v>338</v>
      </c>
      <c r="E163" t="s">
        <v>417</v>
      </c>
      <c r="F163">
        <f t="shared" si="27"/>
        <v>118.12715571354944</v>
      </c>
      <c r="G163">
        <f t="shared" si="25"/>
        <v>118</v>
      </c>
      <c r="J163">
        <f t="shared" si="26"/>
        <v>18</v>
      </c>
    </row>
    <row r="164" spans="1:10" x14ac:dyDescent="0.25">
      <c r="A164" s="52" t="s">
        <v>342</v>
      </c>
      <c r="B164" s="69">
        <v>10638</v>
      </c>
      <c r="C164" s="66">
        <v>8684.1</v>
      </c>
      <c r="D164" t="s">
        <v>336</v>
      </c>
      <c r="E164" t="s">
        <v>418</v>
      </c>
      <c r="F164">
        <f t="shared" si="27"/>
        <v>122.49974090579335</v>
      </c>
      <c r="G164">
        <f t="shared" si="25"/>
        <v>122</v>
      </c>
      <c r="J164">
        <f t="shared" si="26"/>
        <v>22</v>
      </c>
    </row>
    <row r="165" spans="1:10" x14ac:dyDescent="0.25">
      <c r="A165" s="52" t="s">
        <v>341</v>
      </c>
      <c r="B165" s="70">
        <v>12195.1</v>
      </c>
      <c r="C165" s="66">
        <v>8938.7999999999993</v>
      </c>
      <c r="D165" t="s">
        <v>21</v>
      </c>
      <c r="E165" t="s">
        <v>419</v>
      </c>
      <c r="F165">
        <f t="shared" si="27"/>
        <v>136.42882713563341</v>
      </c>
      <c r="G165">
        <f t="shared" si="25"/>
        <v>136</v>
      </c>
      <c r="J165">
        <f t="shared" si="26"/>
        <v>36</v>
      </c>
    </row>
    <row r="166" spans="1:10" x14ac:dyDescent="0.25">
      <c r="A166" s="52" t="s">
        <v>275</v>
      </c>
      <c r="B166" s="69">
        <v>12951.62</v>
      </c>
      <c r="C166" s="66">
        <v>9084.4000000000015</v>
      </c>
      <c r="D166" t="s">
        <v>191</v>
      </c>
      <c r="E166" t="s">
        <v>420</v>
      </c>
      <c r="F166">
        <f t="shared" si="27"/>
        <v>142.56990004843465</v>
      </c>
      <c r="G166">
        <f t="shared" si="25"/>
        <v>143</v>
      </c>
      <c r="J166">
        <f t="shared" si="26"/>
        <v>43</v>
      </c>
    </row>
    <row r="169" spans="1:10" ht="48" customHeight="1" x14ac:dyDescent="0.25">
      <c r="A169" s="86" t="s">
        <v>421</v>
      </c>
      <c r="B169" s="87"/>
      <c r="C169" s="87"/>
      <c r="D169" s="54"/>
      <c r="G169" s="54"/>
    </row>
    <row r="170" spans="1:10" ht="60.75" customHeight="1" x14ac:dyDescent="0.25">
      <c r="B170" s="55" t="s">
        <v>366</v>
      </c>
      <c r="C170" s="74" t="s">
        <v>394</v>
      </c>
      <c r="E170" s="55" t="s">
        <v>367</v>
      </c>
      <c r="F170" s="1" t="s">
        <v>305</v>
      </c>
      <c r="G170" s="55" t="s">
        <v>345</v>
      </c>
      <c r="H170" s="55" t="s">
        <v>368</v>
      </c>
      <c r="I170" s="55" t="s">
        <v>345</v>
      </c>
      <c r="J170" s="55" t="s">
        <v>429</v>
      </c>
    </row>
    <row r="171" spans="1:10" x14ac:dyDescent="0.25">
      <c r="A171" s="53" t="s">
        <v>278</v>
      </c>
      <c r="B171" s="66">
        <v>4617.1000000000004</v>
      </c>
      <c r="C171" s="66">
        <v>3788.6000000000004</v>
      </c>
      <c r="D171" t="s">
        <v>248</v>
      </c>
      <c r="E171" t="s">
        <v>413</v>
      </c>
      <c r="F171">
        <f>(B171/C171)*100</f>
        <v>121.8682362878108</v>
      </c>
      <c r="G171">
        <f>ROUND(F171,0)</f>
        <v>122</v>
      </c>
      <c r="H171">
        <f>AVERAGE(G171,G172,G173,G174,G175,G176,G177,G178)</f>
        <v>143.625</v>
      </c>
      <c r="I171">
        <f>ROUND(H171,0)</f>
        <v>144</v>
      </c>
      <c r="J171">
        <f>G171-100</f>
        <v>22</v>
      </c>
    </row>
    <row r="172" spans="1:10" x14ac:dyDescent="0.25">
      <c r="A172" s="53" t="s">
        <v>422</v>
      </c>
      <c r="B172" s="66">
        <v>6158.4</v>
      </c>
      <c r="C172" s="66">
        <v>4081.8</v>
      </c>
      <c r="D172" t="s">
        <v>287</v>
      </c>
      <c r="E172" t="s">
        <v>414</v>
      </c>
      <c r="F172">
        <f>(B172/C172)*100</f>
        <v>150.87461414082023</v>
      </c>
      <c r="G172">
        <f t="shared" ref="G172:G178" si="28">ROUND(F172,0)</f>
        <v>151</v>
      </c>
      <c r="J172">
        <f t="shared" ref="J172:J178" si="29">G172-100</f>
        <v>51</v>
      </c>
    </row>
    <row r="173" spans="1:10" x14ac:dyDescent="0.25">
      <c r="A173" s="53" t="s">
        <v>277</v>
      </c>
      <c r="B173" s="66">
        <v>10267.049999999999</v>
      </c>
      <c r="C173" s="66">
        <v>7102.1</v>
      </c>
      <c r="D173" t="s">
        <v>198</v>
      </c>
      <c r="E173" t="s">
        <v>415</v>
      </c>
      <c r="F173">
        <f t="shared" ref="F173" si="30">(B173/C173)*100</f>
        <v>144.56357978626039</v>
      </c>
      <c r="G173">
        <f t="shared" si="28"/>
        <v>145</v>
      </c>
      <c r="J173">
        <f t="shared" si="29"/>
        <v>45</v>
      </c>
    </row>
    <row r="174" spans="1:10" x14ac:dyDescent="0.25">
      <c r="A174" s="53" t="s">
        <v>423</v>
      </c>
      <c r="B174" s="68">
        <v>11485</v>
      </c>
      <c r="C174" s="66">
        <v>8281.2000000000007</v>
      </c>
      <c r="D174" t="s">
        <v>250</v>
      </c>
      <c r="E174" t="s">
        <v>416</v>
      </c>
      <c r="F174">
        <f>(B174/C174)*100</f>
        <v>138.68762981210452</v>
      </c>
      <c r="G174">
        <f t="shared" si="28"/>
        <v>139</v>
      </c>
      <c r="J174">
        <f t="shared" si="29"/>
        <v>39</v>
      </c>
    </row>
    <row r="175" spans="1:10" x14ac:dyDescent="0.25">
      <c r="A175" s="53" t="s">
        <v>424</v>
      </c>
      <c r="B175" s="66">
        <v>12447</v>
      </c>
      <c r="C175" s="66">
        <v>12447</v>
      </c>
      <c r="D175" t="s">
        <v>338</v>
      </c>
      <c r="E175" t="s">
        <v>417</v>
      </c>
      <c r="F175">
        <f t="shared" ref="F175:F178" si="31">(B175/C175)*100</f>
        <v>100</v>
      </c>
      <c r="G175">
        <f t="shared" si="28"/>
        <v>100</v>
      </c>
      <c r="J175">
        <f t="shared" si="29"/>
        <v>0</v>
      </c>
    </row>
    <row r="176" spans="1:10" x14ac:dyDescent="0.25">
      <c r="A176" s="53" t="s">
        <v>425</v>
      </c>
      <c r="B176" s="66">
        <v>21165.4</v>
      </c>
      <c r="C176" s="66">
        <v>10047.299999999999</v>
      </c>
      <c r="D176" t="s">
        <v>336</v>
      </c>
      <c r="E176" t="s">
        <v>418</v>
      </c>
      <c r="F176">
        <f t="shared" si="31"/>
        <v>210.6575896011864</v>
      </c>
      <c r="G176">
        <f t="shared" si="28"/>
        <v>211</v>
      </c>
      <c r="J176">
        <f t="shared" si="29"/>
        <v>111</v>
      </c>
    </row>
    <row r="177" spans="1:10" x14ac:dyDescent="0.25">
      <c r="A177" s="53" t="s">
        <v>426</v>
      </c>
      <c r="B177" s="67">
        <v>17772.080000000002</v>
      </c>
      <c r="C177" s="66">
        <v>12734</v>
      </c>
      <c r="D177" t="s">
        <v>21</v>
      </c>
      <c r="E177" t="s">
        <v>419</v>
      </c>
      <c r="F177">
        <f t="shared" si="31"/>
        <v>139.5640018847181</v>
      </c>
      <c r="G177">
        <f t="shared" si="28"/>
        <v>140</v>
      </c>
      <c r="J177">
        <f t="shared" si="29"/>
        <v>40</v>
      </c>
    </row>
    <row r="178" spans="1:10" x14ac:dyDescent="0.25">
      <c r="A178" s="53" t="s">
        <v>427</v>
      </c>
      <c r="B178" s="66">
        <v>16781.419999999998</v>
      </c>
      <c r="C178" s="66">
        <v>11924.7</v>
      </c>
      <c r="D178" t="s">
        <v>191</v>
      </c>
      <c r="E178" t="s">
        <v>420</v>
      </c>
      <c r="F178">
        <f t="shared" si="31"/>
        <v>140.7282363497614</v>
      </c>
      <c r="G178">
        <f t="shared" si="28"/>
        <v>141</v>
      </c>
      <c r="J178">
        <f t="shared" si="29"/>
        <v>41</v>
      </c>
    </row>
    <row r="182" spans="1:10" ht="30" x14ac:dyDescent="0.25">
      <c r="A182" s="80" t="s">
        <v>312</v>
      </c>
    </row>
    <row r="183" spans="1:10" x14ac:dyDescent="0.25">
      <c r="A183" s="81" t="s">
        <v>310</v>
      </c>
    </row>
    <row r="184" spans="1:10" x14ac:dyDescent="0.25">
      <c r="A184" s="82" t="s">
        <v>311</v>
      </c>
      <c r="B184" s="66"/>
      <c r="D184" s="66"/>
    </row>
    <row r="185" spans="1:10" x14ac:dyDescent="0.25">
      <c r="B185" s="66"/>
      <c r="D185" s="66"/>
    </row>
    <row r="186" spans="1:10" x14ac:dyDescent="0.25">
      <c r="A186" s="83" t="s">
        <v>389</v>
      </c>
      <c r="B186" s="66"/>
      <c r="D186" s="66"/>
    </row>
    <row r="187" spans="1:10" x14ac:dyDescent="0.25">
      <c r="A187" s="83" t="s">
        <v>390</v>
      </c>
      <c r="B187" s="66"/>
      <c r="D187" s="66"/>
    </row>
    <row r="188" spans="1:10" x14ac:dyDescent="0.25">
      <c r="B188" s="66"/>
      <c r="D188" s="66"/>
    </row>
    <row r="189" spans="1:10" x14ac:dyDescent="0.25">
      <c r="B189" s="66"/>
      <c r="D189" s="66"/>
    </row>
    <row r="190" spans="1:10" x14ac:dyDescent="0.25">
      <c r="B190" s="66"/>
      <c r="D190" s="66"/>
    </row>
    <row r="191" spans="1:10" x14ac:dyDescent="0.25">
      <c r="B191" s="68"/>
      <c r="D191" s="66"/>
    </row>
    <row r="192" spans="1:10" x14ac:dyDescent="0.25">
      <c r="B192" s="66"/>
    </row>
    <row r="193" spans="2:2" x14ac:dyDescent="0.25">
      <c r="B193" s="66"/>
    </row>
    <row r="194" spans="2:2" x14ac:dyDescent="0.25">
      <c r="B194" s="67"/>
    </row>
    <row r="195" spans="2:2" x14ac:dyDescent="0.25">
      <c r="B195" s="66"/>
    </row>
  </sheetData>
  <sheetProtection algorithmName="SHA-512" hashValue="FWzVsixmuDtj8vPpu8QnFmSBjw5VDUAwodDTzymXcJ8UIS1os19MRFClduJnTsEn0ooK+sSLUwqLmSlp3deMcw==" saltValue="+t4aMdsqq74k+tXu2QWvEA==" spinCount="100000" sheet="1" formatCells="0" formatColumns="0" formatRows="0" insertColumns="0" insertRows="0" insertHyperlinks="0" deleteColumns="0" deleteRows="0" sort="0" autoFilter="0" pivotTables="0"/>
  <sortState xmlns:xlrd2="http://schemas.microsoft.com/office/spreadsheetml/2017/richdata2" ref="A148:C155">
    <sortCondition ref="B148:B155"/>
  </sortState>
  <mergeCells count="37">
    <mergeCell ref="I97:K112"/>
    <mergeCell ref="A135:C135"/>
    <mergeCell ref="A146:C146"/>
    <mergeCell ref="C31:C32"/>
    <mergeCell ref="C35:C36"/>
    <mergeCell ref="C41:C42"/>
    <mergeCell ref="C47:C48"/>
    <mergeCell ref="C55:C56"/>
    <mergeCell ref="C37:C38"/>
    <mergeCell ref="C53:C54"/>
    <mergeCell ref="D37:D38"/>
    <mergeCell ref="C43:C44"/>
    <mergeCell ref="D43:D44"/>
    <mergeCell ref="C49:C50"/>
    <mergeCell ref="D49:D50"/>
    <mergeCell ref="D31:D32"/>
    <mergeCell ref="D35:D36"/>
    <mergeCell ref="A113:C113"/>
    <mergeCell ref="A124:C124"/>
    <mergeCell ref="C9:C10"/>
    <mergeCell ref="D9:D10"/>
    <mergeCell ref="C21:C22"/>
    <mergeCell ref="D21:D22"/>
    <mergeCell ref="C29:C30"/>
    <mergeCell ref="D29:D30"/>
    <mergeCell ref="C11:C12"/>
    <mergeCell ref="C23:C24"/>
    <mergeCell ref="D11:D12"/>
    <mergeCell ref="D23:D24"/>
    <mergeCell ref="D55:D56"/>
    <mergeCell ref="C61:C62"/>
    <mergeCell ref="C59:C60"/>
    <mergeCell ref="D61:D62"/>
    <mergeCell ref="D41:D42"/>
    <mergeCell ref="D47:D48"/>
    <mergeCell ref="D53:D54"/>
    <mergeCell ref="D59:D60"/>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3D6D3-A8F8-4082-813B-B42F54262725}">
  <dimension ref="A1:A33"/>
  <sheetViews>
    <sheetView tabSelected="1" workbookViewId="0">
      <selection activeCell="D7" sqref="D7"/>
    </sheetView>
  </sheetViews>
  <sheetFormatPr defaultRowHeight="15" x14ac:dyDescent="0.25"/>
  <cols>
    <col min="1" max="1" width="129" customWidth="1"/>
  </cols>
  <sheetData>
    <row r="1" spans="1:1" ht="27" customHeight="1" x14ac:dyDescent="0.25">
      <c r="A1" s="91" t="s">
        <v>463</v>
      </c>
    </row>
    <row r="2" spans="1:1" ht="15.75" x14ac:dyDescent="0.25">
      <c r="A2" s="88" t="s">
        <v>431</v>
      </c>
    </row>
    <row r="3" spans="1:1" x14ac:dyDescent="0.25">
      <c r="A3" s="89" t="s">
        <v>432</v>
      </c>
    </row>
    <row r="4" spans="1:1" ht="15.75" x14ac:dyDescent="0.25">
      <c r="A4" s="88" t="s">
        <v>433</v>
      </c>
    </row>
    <row r="5" spans="1:1" x14ac:dyDescent="0.25">
      <c r="A5" s="89" t="s">
        <v>434</v>
      </c>
    </row>
    <row r="6" spans="1:1" ht="15.75" x14ac:dyDescent="0.25">
      <c r="A6" s="88" t="s">
        <v>435</v>
      </c>
    </row>
    <row r="7" spans="1:1" x14ac:dyDescent="0.25">
      <c r="A7" s="89" t="s">
        <v>436</v>
      </c>
    </row>
    <row r="8" spans="1:1" ht="15.75" x14ac:dyDescent="0.25">
      <c r="A8" s="88" t="s">
        <v>437</v>
      </c>
    </row>
    <row r="9" spans="1:1" x14ac:dyDescent="0.25">
      <c r="A9" s="89" t="s">
        <v>438</v>
      </c>
    </row>
    <row r="10" spans="1:1" ht="15.75" x14ac:dyDescent="0.25">
      <c r="A10" s="88" t="s">
        <v>439</v>
      </c>
    </row>
    <row r="11" spans="1:1" x14ac:dyDescent="0.25">
      <c r="A11" s="89" t="s">
        <v>440</v>
      </c>
    </row>
    <row r="12" spans="1:1" ht="15.75" x14ac:dyDescent="0.25">
      <c r="A12" s="88" t="s">
        <v>441</v>
      </c>
    </row>
    <row r="13" spans="1:1" x14ac:dyDescent="0.25">
      <c r="A13" s="89" t="s">
        <v>442</v>
      </c>
    </row>
    <row r="14" spans="1:1" ht="15.75" x14ac:dyDescent="0.25">
      <c r="A14" s="90" t="s">
        <v>443</v>
      </c>
    </row>
    <row r="15" spans="1:1" x14ac:dyDescent="0.25">
      <c r="A15" s="89" t="s">
        <v>444</v>
      </c>
    </row>
    <row r="16" spans="1:1" ht="15.75" x14ac:dyDescent="0.25">
      <c r="A16" s="88" t="s">
        <v>445</v>
      </c>
    </row>
    <row r="17" spans="1:1" x14ac:dyDescent="0.25">
      <c r="A17" s="89" t="s">
        <v>446</v>
      </c>
    </row>
    <row r="18" spans="1:1" ht="15.75" x14ac:dyDescent="0.25">
      <c r="A18" s="88" t="s">
        <v>447</v>
      </c>
    </row>
    <row r="19" spans="1:1" x14ac:dyDescent="0.25">
      <c r="A19" s="89" t="s">
        <v>448</v>
      </c>
    </row>
    <row r="20" spans="1:1" ht="15.75" x14ac:dyDescent="0.25">
      <c r="A20" s="90" t="s">
        <v>449</v>
      </c>
    </row>
    <row r="21" spans="1:1" x14ac:dyDescent="0.25">
      <c r="A21" s="89" t="s">
        <v>450</v>
      </c>
    </row>
    <row r="22" spans="1:1" ht="15.75" x14ac:dyDescent="0.25">
      <c r="A22" s="88" t="s">
        <v>451</v>
      </c>
    </row>
    <row r="23" spans="1:1" x14ac:dyDescent="0.25">
      <c r="A23" s="89" t="s">
        <v>452</v>
      </c>
    </row>
    <row r="24" spans="1:1" ht="15.75" x14ac:dyDescent="0.25">
      <c r="A24" s="88" t="s">
        <v>453</v>
      </c>
    </row>
    <row r="25" spans="1:1" x14ac:dyDescent="0.25">
      <c r="A25" s="89" t="s">
        <v>454</v>
      </c>
    </row>
    <row r="26" spans="1:1" ht="15.75" x14ac:dyDescent="0.25">
      <c r="A26" s="88" t="s">
        <v>455</v>
      </c>
    </row>
    <row r="27" spans="1:1" x14ac:dyDescent="0.25">
      <c r="A27" s="89" t="s">
        <v>456</v>
      </c>
    </row>
    <row r="28" spans="1:1" ht="15.75" x14ac:dyDescent="0.25">
      <c r="A28" s="88" t="s">
        <v>457</v>
      </c>
    </row>
    <row r="29" spans="1:1" x14ac:dyDescent="0.25">
      <c r="A29" s="89" t="s">
        <v>458</v>
      </c>
    </row>
    <row r="30" spans="1:1" ht="15.75" x14ac:dyDescent="0.25">
      <c r="A30" s="88" t="s">
        <v>459</v>
      </c>
    </row>
    <row r="31" spans="1:1" x14ac:dyDescent="0.25">
      <c r="A31" s="89" t="s">
        <v>460</v>
      </c>
    </row>
    <row r="32" spans="1:1" ht="15.75" x14ac:dyDescent="0.25">
      <c r="A32" s="88" t="s">
        <v>461</v>
      </c>
    </row>
    <row r="33" spans="1:1" x14ac:dyDescent="0.25">
      <c r="A33" s="89" t="s">
        <v>462</v>
      </c>
    </row>
  </sheetData>
  <sheetProtection algorithmName="SHA-512" hashValue="s7E3ktkoJjV5TLfCoHXFVA5p0d/txpmliQndR4GWoeEjEQfqx8d+uvtNsm2zF1cfhzO6fCefKSp17d2T79XcqA==" saltValue="sl9lOtsxOnfjxNfF72f63g==" spinCount="100000" sheet="1" formatCells="0" formatColumns="0" formatRows="0" insertColumns="0" insertRows="0" insertHyperlinks="0" deleteColumns="0" deleteRows="0" sort="0" autoFilter="0" pivotTables="0"/>
  <hyperlinks>
    <hyperlink ref="A3" r:id="rId1" xr:uid="{7ED9A30B-AC86-4148-8669-99CBBB2B06E8}"/>
    <hyperlink ref="A5" r:id="rId2" display="http://www.montana.edu/massspec/fees.html" xr:uid="{FC6B1DA5-1244-451B-B8D6-ED52853CEDC3}"/>
    <hyperlink ref="A7" r:id="rId3" display="http://www.sun.ac.za/english/faculty/science/CAF/units/dna-sequencer" xr:uid="{55D39826-B7CE-40C5-A492-FA7CC8E58625}"/>
    <hyperlink ref="A9" r:id="rId4" display="http://www.sun.ac.za/english/faculty/science/CAF/units/mass-spectrometry" xr:uid="{2F185429-F78A-4813-AA53-7845183292CB}"/>
    <hyperlink ref="A11" r:id="rId5" display="http://www.sun.ac.za/english/faculty/science/CAF/units/nuclear-magnetic-resonance-western cape-south africa-stellenbosch" xr:uid="{F6CAC1AB-14CE-418A-83B9-71643D550895}"/>
    <hyperlink ref="A13" r:id="rId6" xr:uid="{E31C6BB1-7E3A-42E8-BC51-3836EAF717EA}"/>
    <hyperlink ref="A15" r:id="rId7" location="prices" display="https://masspec.scripps.edu/services/index.html - prices" xr:uid="{D5810FBC-7A35-4202-BED0-D8312DC3190D}"/>
    <hyperlink ref="A17" r:id="rId8" display="https://nmr.science.oregonstate.edu/content/industry-price-list" xr:uid="{DDD9CEE0-34BA-46C8-ADBC-9EA72CF2E296}"/>
    <hyperlink ref="A19" r:id="rId9" display="https://www.acdb.co.za/services" xr:uid="{D9FD631F-9A96-42E0-85BB-AF5234521E18}"/>
    <hyperlink ref="A21" r:id="rId10" display="https://www.biotech.cornell.edu/core-facilities-brc/price-list/30" xr:uid="{B590CB9F-DF44-4E64-9AFC-F491FA87833F}"/>
    <hyperlink ref="A23" r:id="rId11" display="https://www.ccic.osu.edu/NMR-Rates" xr:uid="{8542A4D2-234D-49AD-8C24-2B26D606BE36}"/>
    <hyperlink ref="A25" r:id="rId12" location="collapseSix" display="https://www.lsu.edu/science/chemistry/facilities/msf/instruments_rates.php - collapseSix" xr:uid="{4618DF4F-BE99-434D-94C3-AA589E2F54DE}"/>
    <hyperlink ref="A27" r:id="rId13" display="https://www.process-nmr.com/services/price-list/" xr:uid="{C2F2BECA-1967-47E8-A36E-E101E4F05860}"/>
    <hyperlink ref="A29" r:id="rId14" display="https://www.qmul.ac.uk/spcs/about-us/our-facilities-and-services/" xr:uid="{BDE9E8A5-926D-4775-86EC-81CB48CB54ED}"/>
    <hyperlink ref="A31" r:id="rId15" display="https://www.uidaho.edu/sci/chem/mass-spec-core/pricing" xr:uid="{4CCB2B83-A7FA-4B0E-A7D6-12BBF5DD5CBC}"/>
    <hyperlink ref="A33" r:id="rId16" display="https://www.umces.edu/services-and-tools" xr:uid="{55EAB989-1C7D-4622-885C-B8CE0B6F5B96}"/>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cost calculations</vt:lpstr>
      <vt:lpstr>Summary of Prices</vt:lpstr>
      <vt:lpstr>URL 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Sewes</dc:creator>
  <cp:lastModifiedBy>Sewes</cp:lastModifiedBy>
  <dcterms:created xsi:type="dcterms:W3CDTF">2021-08-14T14:33:39Z</dcterms:created>
  <dcterms:modified xsi:type="dcterms:W3CDTF">2021-09-12T07:44:58Z</dcterms:modified>
</cp:coreProperties>
</file>