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f7ff0edc8d5d9a95/UP POST DOCTORAL/PAPER/"/>
    </mc:Choice>
  </mc:AlternateContent>
  <xr:revisionPtr revIDLastSave="33" documentId="8_{C9012208-1620-44F4-A370-11D1249F5B66}" xr6:coauthVersionLast="47" xr6:coauthVersionMax="47" xr10:uidLastSave="{800ED338-8827-4B82-9809-EF2F8F89DED3}"/>
  <bookViews>
    <workbookView xWindow="-120" yWindow="-120" windowWidth="24240" windowHeight="13140" firstSheet="3" activeTab="7" xr2:uid="{00000000-000D-0000-FFFF-FFFF00000000}"/>
  </bookViews>
  <sheets>
    <sheet name="Cu sensivity" sheetId="5" r:id="rId1"/>
    <sheet name="Ksv" sheetId="4" r:id="rId2"/>
    <sheet name="Cu SELECTIVITY" sheetId="2" r:id="rId3"/>
    <sheet name="Cu in WASTE WATER" sheetId="3" r:id="rId4"/>
    <sheet name="INFLUENCE OF OTHER IONS" sheetId="6" r:id="rId5"/>
    <sheet name="pH EFFECT" sheetId="7" r:id="rId6"/>
    <sheet name="Storage of PC-CDs" sheetId="8" r:id="rId7"/>
    <sheet name="Stability under UV Light" sheetId="9" r:id="rId8"/>
  </sheets>
  <definedNames>
    <definedName name="solver_adj" localSheetId="0" hidden="1">'Cu sensivity'!$N$1:$N$3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'Cu sensivity'!$N$4</definedName>
    <definedName name="solver_lhs2" localSheetId="0" hidden="1">'Cu sensivity'!$N$4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'Cu sensivity'!$L$18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hs1" localSheetId="0" hidden="1">0.001</definedName>
    <definedName name="solver_rhs2" localSheetId="0" hidden="1">0.001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4" i="6"/>
  <c r="B8" i="5"/>
  <c r="C8" i="5"/>
  <c r="G7" i="5"/>
  <c r="G4" i="5"/>
  <c r="C1" i="4"/>
  <c r="B4" i="4"/>
  <c r="B7" i="3"/>
  <c r="F4" i="5"/>
  <c r="F3" i="5"/>
  <c r="B14" i="5"/>
  <c r="B12" i="5"/>
  <c r="B16" i="5"/>
  <c r="B17" i="5"/>
  <c r="I4" i="5"/>
  <c r="C14" i="5" l="1"/>
  <c r="J4" i="5"/>
  <c r="Q35" i="5"/>
  <c r="K7" i="5"/>
  <c r="H8" i="5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1" i="5"/>
  <c r="K8" i="5"/>
  <c r="K9" i="5"/>
  <c r="K10" i="5"/>
  <c r="K11" i="5"/>
  <c r="K12" i="5"/>
  <c r="K13" i="5"/>
  <c r="K14" i="5"/>
  <c r="K15" i="5"/>
  <c r="K16" i="5"/>
  <c r="K17" i="5"/>
  <c r="J17" i="5"/>
  <c r="I17" i="5"/>
  <c r="H17" i="5"/>
  <c r="G17" i="5"/>
  <c r="M17" i="5" s="1"/>
  <c r="N17" i="5" s="1"/>
  <c r="D17" i="5"/>
  <c r="J16" i="5"/>
  <c r="I16" i="5"/>
  <c r="H16" i="5"/>
  <c r="G16" i="5"/>
  <c r="M16" i="5" s="1"/>
  <c r="N16" i="5" s="1"/>
  <c r="D16" i="5"/>
  <c r="I15" i="5"/>
  <c r="H15" i="5"/>
  <c r="G15" i="5"/>
  <c r="J15" i="5" s="1"/>
  <c r="D15" i="5"/>
  <c r="I14" i="5"/>
  <c r="H14" i="5"/>
  <c r="G14" i="5"/>
  <c r="J14" i="5" s="1"/>
  <c r="D14" i="5"/>
  <c r="J13" i="5"/>
  <c r="I13" i="5"/>
  <c r="H13" i="5"/>
  <c r="G13" i="5"/>
  <c r="D13" i="5"/>
  <c r="J12" i="5"/>
  <c r="I12" i="5"/>
  <c r="H12" i="5"/>
  <c r="G12" i="5"/>
  <c r="M12" i="5" s="1"/>
  <c r="N12" i="5" s="1"/>
  <c r="D12" i="5"/>
  <c r="J11" i="5"/>
  <c r="I11" i="5"/>
  <c r="H11" i="5"/>
  <c r="G11" i="5"/>
  <c r="M11" i="5" s="1"/>
  <c r="N11" i="5" s="1"/>
  <c r="D11" i="5"/>
  <c r="I10" i="5"/>
  <c r="H10" i="5"/>
  <c r="G10" i="5"/>
  <c r="M10" i="5" s="1"/>
  <c r="N10" i="5" s="1"/>
  <c r="D10" i="5"/>
  <c r="I9" i="5"/>
  <c r="H9" i="5"/>
  <c r="G9" i="5"/>
  <c r="J9" i="5" s="1"/>
  <c r="D9" i="5"/>
  <c r="M8" i="5"/>
  <c r="N8" i="5" s="1"/>
  <c r="J8" i="5"/>
  <c r="I8" i="5"/>
  <c r="G8" i="5"/>
  <c r="D8" i="5"/>
  <c r="J7" i="5"/>
  <c r="I7" i="5"/>
  <c r="H7" i="5"/>
  <c r="M7" i="5"/>
  <c r="B6" i="4"/>
  <c r="C2" i="4"/>
  <c r="D2" i="4" s="1"/>
  <c r="E2" i="4" s="1"/>
  <c r="D1" i="4"/>
  <c r="E1" i="4" s="1"/>
  <c r="M9" i="5" l="1"/>
  <c r="N9" i="5" s="1"/>
  <c r="M13" i="5"/>
  <c r="N13" i="5" s="1"/>
  <c r="L11" i="5"/>
  <c r="L14" i="5"/>
  <c r="L13" i="5"/>
  <c r="L10" i="5"/>
  <c r="L9" i="5"/>
  <c r="L17" i="5"/>
  <c r="L15" i="5"/>
  <c r="L12" i="5"/>
  <c r="L16" i="5"/>
  <c r="L8" i="5"/>
  <c r="M14" i="5"/>
  <c r="N14" i="5" s="1"/>
  <c r="J10" i="5"/>
  <c r="M15" i="5"/>
  <c r="N15" i="5" s="1"/>
  <c r="L18" i="5" l="1"/>
  <c r="F3" i="3"/>
  <c r="G3" i="3" s="1"/>
  <c r="E3" i="2"/>
  <c r="E4" i="2"/>
  <c r="E9" i="2" l="1"/>
  <c r="E5" i="2" l="1"/>
  <c r="E6" i="2"/>
  <c r="E7" i="2"/>
  <c r="E8" i="2"/>
  <c r="E10" i="2"/>
  <c r="E11" i="2"/>
  <c r="E12" i="2"/>
  <c r="E13" i="2"/>
  <c r="E14" i="2"/>
  <c r="E15" i="2"/>
  <c r="E16" i="2"/>
  <c r="E17" i="2"/>
  <c r="E18" i="2"/>
  <c r="E19" i="2"/>
  <c r="E7" i="3" l="1"/>
  <c r="F7" i="3" s="1"/>
  <c r="G7" i="3" s="1"/>
  <c r="E4" i="3"/>
  <c r="E5" i="3"/>
  <c r="F5" i="3" s="1"/>
  <c r="G5" i="3" s="1"/>
  <c r="E6" i="3"/>
  <c r="F6" i="3" s="1"/>
  <c r="G6" i="3" s="1"/>
  <c r="B4" i="3" l="1"/>
  <c r="F4" i="3"/>
  <c r="G4" i="3" s="1"/>
  <c r="B10" i="3" l="1"/>
  <c r="B8" i="3"/>
  <c r="B14" i="3" l="1"/>
</calcChain>
</file>

<file path=xl/sharedStrings.xml><?xml version="1.0" encoding="utf-8"?>
<sst xmlns="http://schemas.openxmlformats.org/spreadsheetml/2006/main" count="83" uniqueCount="58">
  <si>
    <t>Fo</t>
  </si>
  <si>
    <t>F</t>
  </si>
  <si>
    <t>Fo/F</t>
  </si>
  <si>
    <t>Fo-F</t>
  </si>
  <si>
    <t>F/Fo</t>
  </si>
  <si>
    <t>Dots</t>
  </si>
  <si>
    <r>
      <t>Ba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</si>
  <si>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Cd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</si>
  <si>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Co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</si>
  <si>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Cr</t>
    </r>
    <r>
      <rPr>
        <vertAlign val="superscript"/>
        <sz val="11"/>
        <color theme="1"/>
        <rFont val="Calibri"/>
        <family val="2"/>
        <scheme val="minor"/>
      </rPr>
      <t>3+</t>
    </r>
  </si>
  <si>
    <r>
      <t>Cs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</si>
  <si>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</si>
  <si>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</si>
  <si>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</si>
  <si>
    <r>
      <t>Hg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</si>
  <si>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K</t>
    </r>
    <r>
      <rPr>
        <vertAlign val="superscript"/>
        <sz val="11"/>
        <color theme="1"/>
        <rFont val="Calibri"/>
        <family val="2"/>
        <scheme val="minor"/>
      </rPr>
      <t>+</t>
    </r>
  </si>
  <si>
    <r>
      <t>Mg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</si>
  <si>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Mn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</si>
  <si>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Na</t>
    </r>
    <r>
      <rPr>
        <vertAlign val="superscript"/>
        <sz val="11"/>
        <color theme="1"/>
        <rFont val="Calibri"/>
        <family val="2"/>
        <scheme val="minor"/>
      </rPr>
      <t>+</t>
    </r>
  </si>
  <si>
    <r>
      <t>Ni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</si>
  <si>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Pd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</si>
  <si>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Zn</t>
    </r>
    <r>
      <rPr>
        <vertAlign val="superscript"/>
        <sz val="11"/>
        <color theme="1"/>
        <rFont val="Calibri"/>
        <family val="2"/>
        <scheme val="minor"/>
      </rPr>
      <t>2+</t>
    </r>
  </si>
  <si>
    <t>LOD</t>
  </si>
  <si>
    <t>INTERCEPT</t>
  </si>
  <si>
    <t>orig dot</t>
  </si>
  <si>
    <t>steyx</t>
  </si>
  <si>
    <t>slope</t>
  </si>
  <si>
    <t>FOUND CONC</t>
  </si>
  <si>
    <t>MEAN %</t>
  </si>
  <si>
    <t>RSD</t>
  </si>
  <si>
    <t>STD</t>
  </si>
  <si>
    <t>% RECOVERY</t>
  </si>
  <si>
    <t>Wastewater</t>
  </si>
  <si>
    <t>intercept</t>
  </si>
  <si>
    <t>C</t>
  </si>
  <si>
    <t>KSV</t>
  </si>
  <si>
    <t>KSV*KEQ</t>
  </si>
  <si>
    <t>KSV+KEQ</t>
  </si>
  <si>
    <t>KEQ</t>
  </si>
  <si>
    <t>Fo/F = C+K1exp(K2*[Cu])</t>
  </si>
  <si>
    <t>K1</t>
  </si>
  <si>
    <t>K2</t>
  </si>
  <si>
    <t>R squared</t>
  </si>
  <si>
    <t>STEYX NEW PLOT</t>
  </si>
  <si>
    <t xml:space="preserve">stv dev </t>
  </si>
  <si>
    <t xml:space="preserve">mean </t>
  </si>
  <si>
    <t>std error</t>
  </si>
  <si>
    <t>lod now</t>
  </si>
  <si>
    <t>slope  or ksv</t>
  </si>
  <si>
    <t>WithOUT</t>
  </si>
  <si>
    <t xml:space="preserve"> WITH CU</t>
  </si>
  <si>
    <t>FO/F</t>
  </si>
  <si>
    <t>WITHOUT CU</t>
  </si>
  <si>
    <t>WITH CU</t>
  </si>
  <si>
    <t xml:space="preserve">pH </t>
  </si>
  <si>
    <t>Days</t>
  </si>
  <si>
    <t>FL Intensity</t>
  </si>
  <si>
    <t xml:space="preserve">UV Light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</si>
</sst>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1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9.3064523184601927E-2"/>
                  <c:y val="-0.280071084864391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'Cu sensivity'!$E$8:$E$16</c:f>
              <c:numCache>
                <c:formatCode>General</c:formatCode>
                <c:ptCount val="9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</c:numCache>
            </c:numRef>
          </c:xVal>
          <c:yVal>
            <c:numRef>
              <c:f>'Cu sensivity'!$G$8:$G$16</c:f>
              <c:numCache>
                <c:formatCode>General</c:formatCode>
                <c:ptCount val="9"/>
                <c:pt idx="0">
                  <c:v>1.4960369196419672</c:v>
                </c:pt>
                <c:pt idx="1">
                  <c:v>1.5066997269514937</c:v>
                </c:pt>
                <c:pt idx="2">
                  <c:v>1.4845101627021413</c:v>
                </c:pt>
                <c:pt idx="3">
                  <c:v>1.4843193101129375</c:v>
                </c:pt>
                <c:pt idx="4">
                  <c:v>1.5256757168850441</c:v>
                </c:pt>
                <c:pt idx="5">
                  <c:v>1.5402773273784844</c:v>
                </c:pt>
                <c:pt idx="6">
                  <c:v>1.5616561787277963</c:v>
                </c:pt>
                <c:pt idx="7">
                  <c:v>1.6013575510308595</c:v>
                </c:pt>
                <c:pt idx="8">
                  <c:v>1.7207935594378496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E3-4868-ABE7-3A6B3B29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809904"/>
        <c:axId val="1891888944"/>
      </c:scatterChart>
      <c:valAx>
        <c:axId val="189080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888944"/>
        <c:crosses val="autoZero"/>
        <c:crossBetween val="midCat"/>
      </c:valAx>
      <c:valAx>
        <c:axId val="189188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809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</a:t>
            </a:r>
            <a:r>
              <a:rPr lang="en-US" b="1" baseline="-25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/F = 1.493 + 0.009exp (0.245 * [Cu</a:t>
            </a:r>
            <a:r>
              <a:rPr lang="en-US" b="1" baseline="30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2+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])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</a:t>
            </a:r>
            <a:r>
              <a:rPr lang="en-US" b="1" baseline="30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= 0.9741</a:t>
            </a:r>
            <a:endParaRPr lang="en-US" b="1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969101276133586"/>
          <c:y val="0.1228663768585999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82430137409295"/>
          <c:y val="9.7434757592237922E-2"/>
          <c:w val="0.80710486055553221"/>
          <c:h val="0.74461106776067409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'Cu sensivity'!$E$7:$E$17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</c:numCache>
            </c:numRef>
          </c:xVal>
          <c:yVal>
            <c:numRef>
              <c:f>'Cu sensivity'!$G$7:$G$17</c:f>
              <c:numCache>
                <c:formatCode>General</c:formatCode>
                <c:ptCount val="11"/>
                <c:pt idx="0">
                  <c:v>1.0064521233936747</c:v>
                </c:pt>
                <c:pt idx="1">
                  <c:v>1.4960369196419672</c:v>
                </c:pt>
                <c:pt idx="2">
                  <c:v>1.5066997269514937</c:v>
                </c:pt>
                <c:pt idx="3">
                  <c:v>1.4845101627021413</c:v>
                </c:pt>
                <c:pt idx="4">
                  <c:v>1.4843193101129375</c:v>
                </c:pt>
                <c:pt idx="5">
                  <c:v>1.5256757168850441</c:v>
                </c:pt>
                <c:pt idx="6">
                  <c:v>1.5402773273784844</c:v>
                </c:pt>
                <c:pt idx="7">
                  <c:v>1.5616561787277963</c:v>
                </c:pt>
                <c:pt idx="8">
                  <c:v>1.6013575510308595</c:v>
                </c:pt>
                <c:pt idx="9">
                  <c:v>1.7207935594378496</c:v>
                </c:pt>
                <c:pt idx="10">
                  <c:v>1.5730015133539865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5B-470F-BE5A-1421D2B5AECB}"/>
            </c:ext>
          </c:extLst>
        </c:ser>
        <c:ser>
          <c:idx val="0"/>
          <c:order val="1"/>
          <c:spPr>
            <a:ln w="25400">
              <a:solidFill>
                <a:srgbClr val="FF0000"/>
              </a:solidFill>
            </a:ln>
            <a:effectLst/>
          </c:spPr>
          <c:marker>
            <c:symbol val="none"/>
          </c:marker>
          <c:xVal>
            <c:numRef>
              <c:f>'Cu sensivity'!$P$1:$P$39</c:f>
              <c:numCache>
                <c:formatCode>General</c:formatCode>
                <c:ptCount val="3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</c:numCache>
            </c:numRef>
          </c:xVal>
          <c:yVal>
            <c:numRef>
              <c:f>'Cu sensivity'!$Q$1:$Q$39</c:f>
              <c:numCache>
                <c:formatCode>0.00E+00</c:formatCode>
                <c:ptCount val="39"/>
                <c:pt idx="0">
                  <c:v>1.4939044000000001</c:v>
                </c:pt>
                <c:pt idx="1">
                  <c:v>1.4939268314633976</c:v>
                </c:pt>
                <c:pt idx="2">
                  <c:v>1.4939498192852094</c:v>
                </c:pt>
                <c:pt idx="3">
                  <c:v>1.4939733772645662</c:v>
                </c:pt>
                <c:pt idx="4">
                  <c:v>1.4939975195428523</c:v>
                </c:pt>
                <c:pt idx="5">
                  <c:v>1.4940222606121951</c:v>
                </c:pt>
                <c:pt idx="6">
                  <c:v>1.4940476153241644</c:v>
                </c:pt>
                <c:pt idx="7">
                  <c:v>1.4940735988986873</c:v>
                </c:pt>
                <c:pt idx="8">
                  <c:v>1.4941002269331844</c:v>
                </c:pt>
                <c:pt idx="9">
                  <c:v>1.4941275154119333</c:v>
                </c:pt>
                <c:pt idx="10">
                  <c:v>1.4941554807156625</c:v>
                </c:pt>
                <c:pt idx="11">
                  <c:v>1.4944762667893277</c:v>
                </c:pt>
                <c:pt idx="12">
                  <c:v>1.4948861099140216</c:v>
                </c:pt>
                <c:pt idx="13">
                  <c:v>1.4954097342252011</c:v>
                </c:pt>
                <c:pt idx="14">
                  <c:v>1.4960787278052761</c:v>
                </c:pt>
                <c:pt idx="15">
                  <c:v>1.4969334482615773</c:v>
                </c:pt>
                <c:pt idx="16">
                  <c:v>1.4980254573333798</c:v>
                </c:pt>
                <c:pt idx="17">
                  <c:v>1.4994206313977279</c:v>
                </c:pt>
                <c:pt idx="18">
                  <c:v>1.5012031355179694</c:v>
                </c:pt>
                <c:pt idx="19">
                  <c:v>1.5034805007728658</c:v>
                </c:pt>
                <c:pt idx="20">
                  <c:v>1.5063901111604736</c:v>
                </c:pt>
                <c:pt idx="21">
                  <c:v>1.5101074914048036</c:v>
                </c:pt>
                <c:pt idx="22">
                  <c:v>1.5148568956342463</c:v>
                </c:pt>
                <c:pt idx="23">
                  <c:v>1.520924835702808</c:v>
                </c:pt>
                <c:pt idx="24">
                  <c:v>1.5286773652616523</c:v>
                </c:pt>
                <c:pt idx="25">
                  <c:v>1.5385821622572826</c:v>
                </c:pt>
                <c:pt idx="26">
                  <c:v>1.5512367420018676</c:v>
                </c:pt>
                <c:pt idx="27">
                  <c:v>1.5674045027932002</c:v>
                </c:pt>
                <c:pt idx="28">
                  <c:v>1.5880607785670049</c:v>
                </c:pt>
                <c:pt idx="29">
                  <c:v>1.6144516767470558</c:v>
                </c:pt>
                <c:pt idx="30">
                  <c:v>1.6481692507365087</c:v>
                </c:pt>
                <c:pt idx="31">
                  <c:v>1.6912475418949966</c:v>
                </c:pt>
                <c:pt idx="32">
                  <c:v>1.7462852848155261</c:v>
                </c:pt>
                <c:pt idx="33">
                  <c:v>1.8166026782014864</c:v>
                </c:pt>
                <c:pt idx="34">
                  <c:v>1.9064416786804013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5B-470F-BE5A-1421D2B5A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659680"/>
        <c:axId val="1903062704"/>
      </c:scatterChart>
      <c:valAx>
        <c:axId val="1950659680"/>
        <c:scaling>
          <c:orientation val="minMax"/>
          <c:max val="22.5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µg/mL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3062704"/>
        <c:crosses val="autoZero"/>
        <c:crossBetween val="midCat"/>
      </c:valAx>
      <c:valAx>
        <c:axId val="1903062704"/>
        <c:scaling>
          <c:orientation val="minMax"/>
          <c:max val="1.8"/>
          <c:min val="1.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40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/F</a:t>
                </a:r>
              </a:p>
            </c:rich>
          </c:tx>
          <c:layout>
            <c:manualLayout>
              <c:xMode val="edge"/>
              <c:yMode val="edge"/>
              <c:x val="2.9179801722645633E-2"/>
              <c:y val="0.380210761943045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0659680"/>
        <c:crosses val="autoZero"/>
        <c:crossBetween val="midCat"/>
        <c:majorUnit val="0.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11"/>
          <c:y val="0.17171296296296296"/>
          <c:w val="0.85966907261592307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8672134733158357E-2"/>
                  <c:y val="0.270574146981627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'Cu in WASTE WATER'!$C$3:$C$9</c:f>
              <c:numCache>
                <c:formatCode>General</c:formatCode>
                <c:ptCount val="7"/>
                <c:pt idx="0">
                  <c:v>0.5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</c:numCache>
            </c:numRef>
          </c:xVal>
          <c:yVal>
            <c:numRef>
              <c:f>'Cu in WASTE WATER'!$E$3:$E$9</c:f>
              <c:numCache>
                <c:formatCode>General</c:formatCode>
                <c:ptCount val="7"/>
                <c:pt idx="0">
                  <c:v>1.5088778573309931</c:v>
                </c:pt>
                <c:pt idx="1">
                  <c:v>1.6385380913703811</c:v>
                </c:pt>
                <c:pt idx="2">
                  <c:v>1.7313856723952168</c:v>
                </c:pt>
                <c:pt idx="3">
                  <c:v>1.792735481713289</c:v>
                </c:pt>
                <c:pt idx="4">
                  <c:v>1.9581447048785516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6B-41D7-A889-4E3A672F5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620960"/>
        <c:axId val="299621744"/>
      </c:scatterChart>
      <c:valAx>
        <c:axId val="2996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621744"/>
        <c:crosses val="autoZero"/>
        <c:crossBetween val="midCat"/>
      </c:valAx>
      <c:valAx>
        <c:axId val="29962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620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18</xdr:row>
      <xdr:rowOff>38100</xdr:rowOff>
    </xdr:from>
    <xdr:to>
      <xdr:col>26</xdr:col>
      <xdr:colOff>304800</xdr:colOff>
      <xdr:row>32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3BD98A-0439-4408-AD6F-6F520CD5B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76200</xdr:colOff>
      <xdr:row>3</xdr:row>
      <xdr:rowOff>85724</xdr:rowOff>
    </xdr:from>
    <xdr:to>
      <xdr:col>28</xdr:col>
      <xdr:colOff>114300</xdr:colOff>
      <xdr:row>20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B27CD4E-908F-42E8-AEA1-E751EC5B6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52387</xdr:rowOff>
    </xdr:from>
    <xdr:to>
      <xdr:col>17</xdr:col>
      <xdr:colOff>352425</xdr:colOff>
      <xdr:row>14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CB14-6B94-457B-A3C9-065E3FA731DA}">
  <sheetPr>
    <tabColor rgb="FF002060"/>
  </sheetPr>
  <dimension ref="A1:Q35"/>
  <sheetViews>
    <sheetView topLeftCell="G1" workbookViewId="0">
      <selection activeCell="Y33" sqref="Y33"/>
    </sheetView>
  </sheetViews>
  <sheetFormatPr defaultRowHeight="15" x14ac:dyDescent="0.25"/>
  <cols>
    <col min="1" max="1" width="19.140625" customWidth="1"/>
    <col min="2" max="2" width="12" bestFit="1" customWidth="1"/>
    <col min="3" max="3" width="12" customWidth="1"/>
    <col min="7" max="7" width="13.42578125" customWidth="1"/>
    <col min="9" max="9" width="12" bestFit="1" customWidth="1"/>
    <col min="14" max="14" width="10" bestFit="1" customWidth="1"/>
  </cols>
  <sheetData>
    <row r="1" spans="1:17" x14ac:dyDescent="0.25">
      <c r="D1">
        <v>1.5366657958255101E-2</v>
      </c>
      <c r="M1" t="s">
        <v>34</v>
      </c>
      <c r="N1" s="3">
        <v>1.4930000000000001</v>
      </c>
      <c r="O1">
        <v>0</v>
      </c>
      <c r="P1">
        <v>0</v>
      </c>
      <c r="Q1" s="2">
        <f t="shared" ref="Q1:Q35" si="0">$N$1+$N$2*EXP($N$3*P1)</f>
        <v>1.4939044000000001</v>
      </c>
    </row>
    <row r="2" spans="1:17" x14ac:dyDescent="0.25">
      <c r="B2">
        <v>1.5366657958255085E-2</v>
      </c>
      <c r="H2" t="s">
        <v>39</v>
      </c>
      <c r="M2" t="s">
        <v>40</v>
      </c>
      <c r="N2" s="3">
        <v>9.0439999999999997E-4</v>
      </c>
      <c r="O2" s="2"/>
      <c r="P2">
        <v>0.1</v>
      </c>
      <c r="Q2" s="2">
        <f t="shared" si="0"/>
        <v>1.4939268314633976</v>
      </c>
    </row>
    <row r="3" spans="1:17" x14ac:dyDescent="0.25">
      <c r="A3" t="s">
        <v>0</v>
      </c>
      <c r="E3" t="s">
        <v>46</v>
      </c>
      <c r="F3">
        <f>B17/SQRT(COUNT(G8:G16))</f>
        <v>2.5256614268629546E-2</v>
      </c>
      <c r="M3" t="s">
        <v>41</v>
      </c>
      <c r="N3" s="3">
        <v>0.245</v>
      </c>
      <c r="O3" s="2"/>
      <c r="P3">
        <v>0.2</v>
      </c>
      <c r="Q3" s="2">
        <f t="shared" si="0"/>
        <v>1.4939498192852094</v>
      </c>
    </row>
    <row r="4" spans="1:17" x14ac:dyDescent="0.25">
      <c r="A4">
        <v>7504.57</v>
      </c>
      <c r="E4" t="s">
        <v>48</v>
      </c>
      <c r="F4">
        <f>N2*EXP(N3)*63.7</f>
        <v>7.3604121587701216E-2</v>
      </c>
      <c r="G4">
        <f>N2*EXP(N3)</f>
        <v>1.1554807156624995E-3</v>
      </c>
      <c r="I4">
        <f>N2*N3</f>
        <v>2.21578E-4</v>
      </c>
      <c r="J4">
        <f>N2+N3</f>
        <v>0.2459044</v>
      </c>
      <c r="O4">
        <v>1</v>
      </c>
      <c r="P4">
        <v>0.30000000000000004</v>
      </c>
      <c r="Q4" s="2">
        <f t="shared" si="0"/>
        <v>1.4939733772645662</v>
      </c>
    </row>
    <row r="5" spans="1:17" x14ac:dyDescent="0.25">
      <c r="M5" s="4" t="s">
        <v>42</v>
      </c>
      <c r="N5" s="3">
        <v>0.97409999999999997</v>
      </c>
      <c r="P5">
        <v>0.4</v>
      </c>
      <c r="Q5" s="2">
        <f t="shared" si="0"/>
        <v>1.4939975195428523</v>
      </c>
    </row>
    <row r="6" spans="1:17" x14ac:dyDescent="0.25">
      <c r="F6" t="s">
        <v>1</v>
      </c>
      <c r="G6" t="s">
        <v>2</v>
      </c>
      <c r="H6" t="s">
        <v>3</v>
      </c>
      <c r="I6" t="s">
        <v>4</v>
      </c>
      <c r="P6">
        <v>0.5</v>
      </c>
      <c r="Q6" s="2">
        <f t="shared" si="0"/>
        <v>1.4940222606121951</v>
      </c>
    </row>
    <row r="7" spans="1:17" x14ac:dyDescent="0.25">
      <c r="E7">
        <v>0</v>
      </c>
      <c r="F7">
        <v>7456.46</v>
      </c>
      <c r="G7">
        <f>$A$4/F7</f>
        <v>1.0064521233936747</v>
      </c>
      <c r="H7">
        <f>$A$4-F7</f>
        <v>48.109999999999673</v>
      </c>
      <c r="I7">
        <f>F7/$A$4</f>
        <v>0.99358923962332291</v>
      </c>
      <c r="J7">
        <f>LOG10(G7)</f>
        <v>2.7931204661250184E-3</v>
      </c>
      <c r="K7" s="2">
        <f>$N$1+$N$2*EXP($N$3*E7)</f>
        <v>1.4939044000000001</v>
      </c>
      <c r="M7">
        <f>G7-$N$1</f>
        <v>-0.48654787660632537</v>
      </c>
      <c r="P7">
        <v>0.60000000000000009</v>
      </c>
      <c r="Q7" s="2">
        <f t="shared" si="0"/>
        <v>1.4940476153241644</v>
      </c>
    </row>
    <row r="8" spans="1:17" x14ac:dyDescent="0.25">
      <c r="A8" t="s">
        <v>47</v>
      </c>
      <c r="B8">
        <f>3.3*F3/D1</f>
        <v>5.4238746845863686</v>
      </c>
      <c r="C8">
        <f>B8/1000</f>
        <v>5.4238746845863689E-3</v>
      </c>
      <c r="D8">
        <f>LOG10(E8)</f>
        <v>0.3979400086720376</v>
      </c>
      <c r="E8">
        <v>2.5</v>
      </c>
      <c r="F8">
        <v>5016.3</v>
      </c>
      <c r="G8">
        <f t="shared" ref="G8:G9" si="1">$A$4/F8</f>
        <v>1.4960369196419672</v>
      </c>
      <c r="H8">
        <f>$A$4-F8</f>
        <v>2488.2699999999995</v>
      </c>
      <c r="I8">
        <f t="shared" ref="I8:I17" si="2">F8/$A$4</f>
        <v>0.66843270167378011</v>
      </c>
      <c r="J8">
        <f>LOG10(G8)</f>
        <v>0.17494231130847779</v>
      </c>
      <c r="K8" s="2">
        <f t="shared" ref="K8:K17" si="3">$N$1+$N$2*EXP($N$3*E8)</f>
        <v>1.4946686525783075</v>
      </c>
      <c r="L8">
        <f t="shared" ref="L8:L17" si="4">(K8-G8)^2</f>
        <v>1.8721547574958477E-6</v>
      </c>
      <c r="M8">
        <f>G8-$N$1</f>
        <v>3.0369196419670619E-3</v>
      </c>
      <c r="N8">
        <f>LN(M8)</f>
        <v>-5.7969115529435769</v>
      </c>
      <c r="P8">
        <v>0.70000000000000007</v>
      </c>
      <c r="Q8" s="2">
        <f t="shared" si="0"/>
        <v>1.4940735988986873</v>
      </c>
    </row>
    <row r="9" spans="1:17" x14ac:dyDescent="0.25">
      <c r="D9">
        <f t="shared" ref="D9:D17" si="5">LOG10(E9)</f>
        <v>0.69897000433601886</v>
      </c>
      <c r="E9">
        <v>5</v>
      </c>
      <c r="F9">
        <v>4980.8</v>
      </c>
      <c r="G9">
        <f t="shared" si="1"/>
        <v>1.5066997269514937</v>
      </c>
      <c r="H9">
        <f t="shared" ref="H9:H17" si="6">$A$4-F9</f>
        <v>2523.7699999999995</v>
      </c>
      <c r="I9">
        <f t="shared" si="2"/>
        <v>0.66370225076186917</v>
      </c>
      <c r="J9">
        <f t="shared" ref="J9:J17" si="7">LOG10(G9)</f>
        <v>0.17802670956633088</v>
      </c>
      <c r="K9" s="2">
        <f t="shared" si="3"/>
        <v>1.4960787278052761</v>
      </c>
      <c r="L9">
        <f t="shared" si="4"/>
        <v>1.1280562286395528E-4</v>
      </c>
      <c r="M9">
        <f t="shared" ref="M9:M17" si="8">G9-$N$1</f>
        <v>1.3699726951493574E-2</v>
      </c>
      <c r="N9">
        <f t="shared" ref="N9:N17" si="9">LN(M9)</f>
        <v>-4.2903793768945881</v>
      </c>
      <c r="P9">
        <v>0.8</v>
      </c>
      <c r="Q9" s="2">
        <f t="shared" si="0"/>
        <v>1.4941002269331844</v>
      </c>
    </row>
    <row r="10" spans="1:17" x14ac:dyDescent="0.25">
      <c r="D10">
        <f t="shared" si="5"/>
        <v>0.87506126339170009</v>
      </c>
      <c r="E10">
        <v>7.5</v>
      </c>
      <c r="F10">
        <v>5055.25</v>
      </c>
      <c r="G10">
        <f>$A$4/F10</f>
        <v>1.4845101627021413</v>
      </c>
      <c r="H10">
        <f t="shared" si="6"/>
        <v>2449.3199999999997</v>
      </c>
      <c r="I10">
        <f t="shared" si="2"/>
        <v>0.67362287246304586</v>
      </c>
      <c r="J10">
        <f t="shared" si="7"/>
        <v>0.17158317504782886</v>
      </c>
      <c r="K10" s="2">
        <f t="shared" si="3"/>
        <v>1.4986803705110352</v>
      </c>
      <c r="L10">
        <f t="shared" si="4"/>
        <v>2.0079478934723727E-4</v>
      </c>
      <c r="M10">
        <f t="shared" si="8"/>
        <v>-8.4898372978587933E-3</v>
      </c>
      <c r="N10" t="e">
        <f t="shared" si="9"/>
        <v>#NUM!</v>
      </c>
      <c r="P10">
        <v>0.9</v>
      </c>
      <c r="Q10" s="2">
        <f t="shared" si="0"/>
        <v>1.4941275154119333</v>
      </c>
    </row>
    <row r="11" spans="1:17" x14ac:dyDescent="0.25">
      <c r="D11">
        <f t="shared" si="5"/>
        <v>1</v>
      </c>
      <c r="E11">
        <v>10</v>
      </c>
      <c r="F11">
        <v>5055.8999999999996</v>
      </c>
      <c r="G11">
        <f>A4/F11</f>
        <v>1.4843193101129375</v>
      </c>
      <c r="H11">
        <f t="shared" si="6"/>
        <v>2448.67</v>
      </c>
      <c r="I11">
        <f t="shared" si="2"/>
        <v>0.67370948635298222</v>
      </c>
      <c r="J11">
        <f t="shared" si="7"/>
        <v>0.17152733740055318</v>
      </c>
      <c r="K11" s="2">
        <f t="shared" si="3"/>
        <v>1.5034805007728658</v>
      </c>
      <c r="L11">
        <f t="shared" si="4"/>
        <v>3.6715122750612252E-4</v>
      </c>
      <c r="M11">
        <f t="shared" si="8"/>
        <v>-8.6806898870626092E-3</v>
      </c>
      <c r="N11" t="e">
        <f t="shared" si="9"/>
        <v>#NUM!</v>
      </c>
      <c r="P11">
        <v>1</v>
      </c>
      <c r="Q11" s="2">
        <f t="shared" si="0"/>
        <v>1.4941554807156625</v>
      </c>
    </row>
    <row r="12" spans="1:17" x14ac:dyDescent="0.25">
      <c r="A12" t="s">
        <v>43</v>
      </c>
      <c r="B12">
        <f>STEYX(E8:E16,G8:G16)</f>
        <v>3.9793589316415972</v>
      </c>
      <c r="D12">
        <f t="shared" si="5"/>
        <v>1.0969100130080565</v>
      </c>
      <c r="E12">
        <v>12.5</v>
      </c>
      <c r="F12">
        <v>4918.8500000000004</v>
      </c>
      <c r="G12">
        <f>$A$4/F12</f>
        <v>1.5256757168850441</v>
      </c>
      <c r="H12">
        <f t="shared" si="6"/>
        <v>2585.7199999999993</v>
      </c>
      <c r="I12">
        <f t="shared" si="2"/>
        <v>0.65544728079023851</v>
      </c>
      <c r="J12">
        <f t="shared" si="7"/>
        <v>0.18346223392453267</v>
      </c>
      <c r="K12" s="2">
        <f t="shared" si="3"/>
        <v>1.5123369246313512</v>
      </c>
      <c r="L12">
        <f t="shared" si="4"/>
        <v>1.7792337878717889E-4</v>
      </c>
      <c r="M12">
        <f t="shared" si="8"/>
        <v>3.2675716885044004E-2</v>
      </c>
      <c r="N12">
        <f t="shared" si="9"/>
        <v>-3.4211230798489001</v>
      </c>
      <c r="P12">
        <v>2</v>
      </c>
      <c r="Q12" s="2">
        <f t="shared" si="0"/>
        <v>1.4944762667893277</v>
      </c>
    </row>
    <row r="13" spans="1:17" x14ac:dyDescent="0.25">
      <c r="A13" t="s">
        <v>33</v>
      </c>
      <c r="B13">
        <v>1.4930000000000001</v>
      </c>
      <c r="D13">
        <f t="shared" si="5"/>
        <v>1.1760912590556813</v>
      </c>
      <c r="E13">
        <v>15</v>
      </c>
      <c r="F13">
        <v>4872.22</v>
      </c>
      <c r="G13">
        <f t="shared" ref="G13:G17" si="10">$A$4/F13</f>
        <v>1.5402773273784844</v>
      </c>
      <c r="H13">
        <f t="shared" si="6"/>
        <v>2632.3499999999995</v>
      </c>
      <c r="I13">
        <f t="shared" si="2"/>
        <v>0.64923373357833969</v>
      </c>
      <c r="J13">
        <f t="shared" si="7"/>
        <v>0.18759892272394338</v>
      </c>
      <c r="K13" s="2">
        <f t="shared" si="3"/>
        <v>1.5286773652616523</v>
      </c>
      <c r="L13">
        <f t="shared" si="4"/>
        <v>1.345591211119403E-4</v>
      </c>
      <c r="M13">
        <f t="shared" si="8"/>
        <v>4.7277327378484335E-2</v>
      </c>
      <c r="N13">
        <f t="shared" si="9"/>
        <v>-3.0517244350098625</v>
      </c>
      <c r="P13">
        <v>3</v>
      </c>
      <c r="Q13" s="2">
        <f t="shared" si="0"/>
        <v>1.4948861099140216</v>
      </c>
    </row>
    <row r="14" spans="1:17" x14ac:dyDescent="0.25">
      <c r="A14" t="s">
        <v>22</v>
      </c>
      <c r="B14">
        <f>3.3*(B12/B13)</f>
        <v>8.7956359507148498</v>
      </c>
      <c r="C14">
        <f>B14/63.7</f>
        <v>0.13807905731106515</v>
      </c>
      <c r="D14">
        <f t="shared" si="5"/>
        <v>1.2430380486862944</v>
      </c>
      <c r="E14">
        <v>17.5</v>
      </c>
      <c r="F14">
        <v>4805.5200000000004</v>
      </c>
      <c r="G14">
        <f t="shared" si="10"/>
        <v>1.5616561787277963</v>
      </c>
      <c r="H14">
        <f t="shared" si="6"/>
        <v>2699.0499999999993</v>
      </c>
      <c r="I14">
        <f t="shared" si="2"/>
        <v>0.64034581594948148</v>
      </c>
      <c r="J14">
        <f t="shared" si="7"/>
        <v>0.19358542383224162</v>
      </c>
      <c r="K14" s="2">
        <f t="shared" si="3"/>
        <v>1.5588261029755279</v>
      </c>
      <c r="L14">
        <f t="shared" si="4"/>
        <v>8.0093287635772453E-6</v>
      </c>
      <c r="M14">
        <f t="shared" si="8"/>
        <v>6.8656178727796169E-2</v>
      </c>
      <c r="N14">
        <f t="shared" si="9"/>
        <v>-2.6786441474999871</v>
      </c>
      <c r="P14">
        <v>4</v>
      </c>
      <c r="Q14" s="2">
        <f t="shared" si="0"/>
        <v>1.4954097342252011</v>
      </c>
    </row>
    <row r="15" spans="1:17" x14ac:dyDescent="0.25">
      <c r="A15" t="s">
        <v>23</v>
      </c>
      <c r="D15">
        <f t="shared" si="5"/>
        <v>1.3010299956639813</v>
      </c>
      <c r="E15">
        <v>20</v>
      </c>
      <c r="F15">
        <v>4686.38</v>
      </c>
      <c r="G15">
        <f t="shared" si="10"/>
        <v>1.6013575510308595</v>
      </c>
      <c r="H15">
        <f t="shared" si="6"/>
        <v>2818.1899999999996</v>
      </c>
      <c r="I15">
        <f t="shared" si="2"/>
        <v>0.62447015618483137</v>
      </c>
      <c r="J15">
        <f t="shared" si="7"/>
        <v>0.20448831199592885</v>
      </c>
      <c r="K15" s="2">
        <f t="shared" si="3"/>
        <v>1.6144516767470558</v>
      </c>
      <c r="L15">
        <f t="shared" si="4"/>
        <v>1.7145612827155276E-4</v>
      </c>
      <c r="M15">
        <f t="shared" si="8"/>
        <v>0.10835755103085942</v>
      </c>
      <c r="N15">
        <f t="shared" si="9"/>
        <v>-2.2223188623264711</v>
      </c>
      <c r="P15">
        <v>5</v>
      </c>
      <c r="Q15" s="2">
        <f t="shared" si="0"/>
        <v>1.4960787278052761</v>
      </c>
    </row>
    <row r="16" spans="1:17" x14ac:dyDescent="0.25">
      <c r="A16" t="s">
        <v>45</v>
      </c>
      <c r="B16">
        <f>AVERAGE(G8:G16)</f>
        <v>1.5468140503187304</v>
      </c>
      <c r="D16">
        <f t="shared" si="5"/>
        <v>1.3521825181113625</v>
      </c>
      <c r="E16">
        <v>22.5</v>
      </c>
      <c r="F16">
        <v>4361.1099999999997</v>
      </c>
      <c r="G16">
        <f t="shared" si="10"/>
        <v>1.7207935594378496</v>
      </c>
      <c r="H16">
        <f t="shared" si="6"/>
        <v>3143.46</v>
      </c>
      <c r="I16">
        <f t="shared" si="2"/>
        <v>0.58112723313927384</v>
      </c>
      <c r="J16">
        <f t="shared" si="7"/>
        <v>0.23572877191111422</v>
      </c>
      <c r="K16" s="2">
        <f t="shared" si="3"/>
        <v>1.7170829871115882</v>
      </c>
      <c r="L16">
        <f t="shared" si="4"/>
        <v>1.3768346988416747E-5</v>
      </c>
      <c r="M16">
        <f t="shared" si="8"/>
        <v>0.22779355943784951</v>
      </c>
      <c r="N16">
        <f t="shared" si="9"/>
        <v>-1.4793155012491204</v>
      </c>
      <c r="P16">
        <v>6</v>
      </c>
      <c r="Q16" s="2">
        <f t="shared" si="0"/>
        <v>1.4969334482615773</v>
      </c>
    </row>
    <row r="17" spans="1:17" x14ac:dyDescent="0.25">
      <c r="A17" t="s">
        <v>44</v>
      </c>
      <c r="B17">
        <f>STDEV(G8:G16)</f>
        <v>7.5769842805888638E-2</v>
      </c>
      <c r="D17">
        <f t="shared" si="5"/>
        <v>1.3979400086720377</v>
      </c>
      <c r="E17">
        <v>25</v>
      </c>
      <c r="F17">
        <v>4770.8599999999997</v>
      </c>
      <c r="G17">
        <f t="shared" si="10"/>
        <v>1.5730015133539865</v>
      </c>
      <c r="H17">
        <f t="shared" si="6"/>
        <v>2733.71</v>
      </c>
      <c r="I17">
        <f t="shared" si="2"/>
        <v>0.63572729683379592</v>
      </c>
      <c r="J17">
        <f t="shared" si="7"/>
        <v>0.19672914044971365</v>
      </c>
      <c r="K17" s="2">
        <f t="shared" si="3"/>
        <v>1.9064416786804013</v>
      </c>
      <c r="L17">
        <f t="shared" si="4"/>
        <v>0.11118234385290679</v>
      </c>
      <c r="M17">
        <f t="shared" si="8"/>
        <v>8.000151335398642E-2</v>
      </c>
      <c r="N17">
        <f t="shared" si="9"/>
        <v>-2.5257097275623481</v>
      </c>
      <c r="P17">
        <v>7</v>
      </c>
      <c r="Q17" s="2">
        <f t="shared" si="0"/>
        <v>1.4980254573333798</v>
      </c>
    </row>
    <row r="18" spans="1:17" x14ac:dyDescent="0.25">
      <c r="A18" t="s">
        <v>29</v>
      </c>
      <c r="L18">
        <f>SUM(L7:L17)</f>
        <v>0.11237068395130427</v>
      </c>
      <c r="P18">
        <v>8</v>
      </c>
      <c r="Q18" s="2">
        <f t="shared" si="0"/>
        <v>1.4994206313977279</v>
      </c>
    </row>
    <row r="19" spans="1:17" x14ac:dyDescent="0.25">
      <c r="P19">
        <v>9</v>
      </c>
      <c r="Q19" s="2">
        <f t="shared" si="0"/>
        <v>1.5012031355179694</v>
      </c>
    </row>
    <row r="20" spans="1:17" x14ac:dyDescent="0.25">
      <c r="P20">
        <v>10</v>
      </c>
      <c r="Q20" s="2">
        <f t="shared" si="0"/>
        <v>1.5034805007728658</v>
      </c>
    </row>
    <row r="21" spans="1:17" x14ac:dyDescent="0.25">
      <c r="P21">
        <v>11</v>
      </c>
      <c r="Q21" s="2">
        <f t="shared" si="0"/>
        <v>1.5063901111604736</v>
      </c>
    </row>
    <row r="22" spans="1:17" x14ac:dyDescent="0.25">
      <c r="P22">
        <v>12</v>
      </c>
      <c r="Q22" s="2">
        <f t="shared" si="0"/>
        <v>1.5101074914048036</v>
      </c>
    </row>
    <row r="23" spans="1:17" x14ac:dyDescent="0.25">
      <c r="P23">
        <v>13</v>
      </c>
      <c r="Q23" s="2">
        <f t="shared" si="0"/>
        <v>1.5148568956342463</v>
      </c>
    </row>
    <row r="24" spans="1:17" x14ac:dyDescent="0.25">
      <c r="P24">
        <v>14</v>
      </c>
      <c r="Q24" s="2">
        <f t="shared" si="0"/>
        <v>1.520924835702808</v>
      </c>
    </row>
    <row r="25" spans="1:17" x14ac:dyDescent="0.25">
      <c r="P25">
        <v>15</v>
      </c>
      <c r="Q25" s="2">
        <f t="shared" si="0"/>
        <v>1.5286773652616523</v>
      </c>
    </row>
    <row r="26" spans="1:17" x14ac:dyDescent="0.25">
      <c r="P26">
        <v>16</v>
      </c>
      <c r="Q26" s="2">
        <f t="shared" si="0"/>
        <v>1.5385821622572826</v>
      </c>
    </row>
    <row r="27" spans="1:17" x14ac:dyDescent="0.25">
      <c r="P27">
        <v>17</v>
      </c>
      <c r="Q27" s="2">
        <f t="shared" si="0"/>
        <v>1.5512367420018676</v>
      </c>
    </row>
    <row r="28" spans="1:17" x14ac:dyDescent="0.25">
      <c r="P28">
        <v>18</v>
      </c>
      <c r="Q28" s="2">
        <f t="shared" si="0"/>
        <v>1.5674045027932002</v>
      </c>
    </row>
    <row r="29" spans="1:17" x14ac:dyDescent="0.25">
      <c r="P29">
        <v>19</v>
      </c>
      <c r="Q29" s="2">
        <f t="shared" si="0"/>
        <v>1.5880607785670049</v>
      </c>
    </row>
    <row r="30" spans="1:17" x14ac:dyDescent="0.25">
      <c r="P30">
        <v>20</v>
      </c>
      <c r="Q30" s="2">
        <f t="shared" si="0"/>
        <v>1.6144516767470558</v>
      </c>
    </row>
    <row r="31" spans="1:17" x14ac:dyDescent="0.25">
      <c r="P31">
        <v>21</v>
      </c>
      <c r="Q31" s="2">
        <f t="shared" si="0"/>
        <v>1.6481692507365087</v>
      </c>
    </row>
    <row r="32" spans="1:17" x14ac:dyDescent="0.25">
      <c r="P32">
        <v>22</v>
      </c>
      <c r="Q32" s="2">
        <f t="shared" si="0"/>
        <v>1.6912475418949966</v>
      </c>
    </row>
    <row r="33" spans="16:17" x14ac:dyDescent="0.25">
      <c r="P33">
        <v>23</v>
      </c>
      <c r="Q33" s="2">
        <f t="shared" si="0"/>
        <v>1.7462852848155261</v>
      </c>
    </row>
    <row r="34" spans="16:17" x14ac:dyDescent="0.25">
      <c r="P34">
        <v>24</v>
      </c>
      <c r="Q34" s="2">
        <f t="shared" si="0"/>
        <v>1.8166026782014864</v>
      </c>
    </row>
    <row r="35" spans="16:17" x14ac:dyDescent="0.25">
      <c r="P35">
        <v>25</v>
      </c>
      <c r="Q35" s="2">
        <f t="shared" si="0"/>
        <v>1.9064416786804013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7504-4E0C-4296-BBA6-3275D7147300}">
  <sheetPr>
    <tabColor theme="1"/>
  </sheetPr>
  <dimension ref="A1:E6"/>
  <sheetViews>
    <sheetView workbookViewId="0">
      <selection activeCell="G21" sqref="G21"/>
    </sheetView>
  </sheetViews>
  <sheetFormatPr defaultRowHeight="15" x14ac:dyDescent="0.25"/>
  <cols>
    <col min="2" max="2" width="10" bestFit="1" customWidth="1"/>
    <col min="3" max="4" width="12" bestFit="1" customWidth="1"/>
  </cols>
  <sheetData>
    <row r="1" spans="1:5" x14ac:dyDescent="0.25">
      <c r="A1" t="s">
        <v>36</v>
      </c>
      <c r="B1">
        <v>1.8599999999999998E-2</v>
      </c>
      <c r="C1">
        <f>B1*(0.000001)^2</f>
        <v>1.8599999999999998E-14</v>
      </c>
      <c r="D1">
        <f>C1*63.56^2</f>
        <v>7.5141648960000002E-11</v>
      </c>
      <c r="E1">
        <f>D1*1000^2</f>
        <v>7.514164896E-5</v>
      </c>
    </row>
    <row r="2" spans="1:5" x14ac:dyDescent="0.25">
      <c r="A2" t="s">
        <v>37</v>
      </c>
      <c r="B2">
        <v>0.31869999999999998</v>
      </c>
      <c r="C2">
        <f>B2*(0.000001)</f>
        <v>3.1869999999999996E-7</v>
      </c>
      <c r="D2">
        <f>C2*63.56</f>
        <v>2.0256571999999999E-5</v>
      </c>
      <c r="E2">
        <f>D2*1000</f>
        <v>2.0256571999999997E-2</v>
      </c>
    </row>
    <row r="4" spans="1:5" x14ac:dyDescent="0.25">
      <c r="A4" t="s">
        <v>35</v>
      </c>
      <c r="B4">
        <f>E2-B5</f>
        <v>1.5366657958255085E-2</v>
      </c>
    </row>
    <row r="5" spans="1:5" x14ac:dyDescent="0.25">
      <c r="A5" t="s">
        <v>38</v>
      </c>
      <c r="B5">
        <v>4.8899140417449126E-3</v>
      </c>
    </row>
    <row r="6" spans="1:5" x14ac:dyDescent="0.25">
      <c r="A6" t="s">
        <v>38</v>
      </c>
      <c r="B6">
        <f>E1/B4</f>
        <v>4.8899148509798998E-3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2:E19"/>
  <sheetViews>
    <sheetView workbookViewId="0">
      <selection activeCell="G18" sqref="G18"/>
    </sheetView>
  </sheetViews>
  <sheetFormatPr defaultRowHeight="15" x14ac:dyDescent="0.25"/>
  <sheetData>
    <row r="2" spans="3:5" x14ac:dyDescent="0.25">
      <c r="E2" t="s">
        <v>2</v>
      </c>
    </row>
    <row r="3" spans="3:5" x14ac:dyDescent="0.25">
      <c r="C3" t="s">
        <v>5</v>
      </c>
      <c r="D3">
        <v>7504.57</v>
      </c>
      <c r="E3">
        <f>$D$3/D3</f>
        <v>1</v>
      </c>
    </row>
    <row r="4" spans="3:5" ht="17.25" x14ac:dyDescent="0.25">
      <c r="C4" t="s">
        <v>6</v>
      </c>
      <c r="D4">
        <v>6079.56</v>
      </c>
      <c r="E4">
        <f>$D$3/D4</f>
        <v>1.2343936074321167</v>
      </c>
    </row>
    <row r="5" spans="3:5" ht="17.25" x14ac:dyDescent="0.25">
      <c r="C5" t="s">
        <v>7</v>
      </c>
      <c r="D5">
        <v>6209.77</v>
      </c>
      <c r="E5">
        <f t="shared" ref="E5:E19" si="0">$D$3/D5</f>
        <v>1.2085101380566428</v>
      </c>
    </row>
    <row r="6" spans="3:5" ht="17.25" x14ac:dyDescent="0.25">
      <c r="C6" t="s">
        <v>8</v>
      </c>
      <c r="D6">
        <v>5936.34</v>
      </c>
      <c r="E6">
        <f t="shared" si="0"/>
        <v>1.2641745587348432</v>
      </c>
    </row>
    <row r="7" spans="3:5" ht="17.25" x14ac:dyDescent="0.25">
      <c r="C7" t="s">
        <v>9</v>
      </c>
      <c r="D7">
        <v>6211.09</v>
      </c>
      <c r="E7">
        <f t="shared" si="0"/>
        <v>1.2082533017554085</v>
      </c>
    </row>
    <row r="8" spans="3:5" ht="17.25" x14ac:dyDescent="0.25">
      <c r="C8" t="s">
        <v>10</v>
      </c>
      <c r="D8">
        <v>6150.91</v>
      </c>
      <c r="E8">
        <f t="shared" si="0"/>
        <v>1.2200747531666045</v>
      </c>
    </row>
    <row r="9" spans="3:5" ht="17.25" x14ac:dyDescent="0.25">
      <c r="C9" t="s">
        <v>11</v>
      </c>
      <c r="D9">
        <v>4632.32</v>
      </c>
      <c r="E9">
        <f>$D$3/D9</f>
        <v>1.6200456790549875</v>
      </c>
    </row>
    <row r="10" spans="3:5" ht="17.25" x14ac:dyDescent="0.25">
      <c r="C10" t="s">
        <v>12</v>
      </c>
      <c r="D10">
        <v>6002.46</v>
      </c>
      <c r="E10">
        <f t="shared" si="0"/>
        <v>1.2502490645502011</v>
      </c>
    </row>
    <row r="11" spans="3:5" ht="17.25" x14ac:dyDescent="0.25">
      <c r="C11" t="s">
        <v>13</v>
      </c>
      <c r="D11">
        <v>5932.55</v>
      </c>
      <c r="E11">
        <f t="shared" si="0"/>
        <v>1.2649821746129404</v>
      </c>
    </row>
    <row r="12" spans="3:5" ht="17.25" x14ac:dyDescent="0.25">
      <c r="C12" t="s">
        <v>14</v>
      </c>
      <c r="D12">
        <v>6281.74</v>
      </c>
      <c r="E12">
        <f t="shared" si="0"/>
        <v>1.1946642172391726</v>
      </c>
    </row>
    <row r="13" spans="3:5" ht="17.25" x14ac:dyDescent="0.25">
      <c r="C13" t="s">
        <v>15</v>
      </c>
      <c r="D13">
        <v>6300.84</v>
      </c>
      <c r="E13">
        <f t="shared" si="0"/>
        <v>1.1910427815973743</v>
      </c>
    </row>
    <row r="14" spans="3:5" ht="17.25" x14ac:dyDescent="0.25">
      <c r="C14" t="s">
        <v>16</v>
      </c>
      <c r="D14">
        <v>5967.63</v>
      </c>
      <c r="E14">
        <f t="shared" si="0"/>
        <v>1.2575461280273743</v>
      </c>
    </row>
    <row r="15" spans="3:5" ht="17.25" x14ac:dyDescent="0.25">
      <c r="C15" t="s">
        <v>17</v>
      </c>
      <c r="D15">
        <v>6315.83</v>
      </c>
      <c r="E15">
        <f t="shared" si="0"/>
        <v>1.1882159589475967</v>
      </c>
    </row>
    <row r="16" spans="3:5" ht="17.25" x14ac:dyDescent="0.25">
      <c r="C16" t="s">
        <v>18</v>
      </c>
      <c r="D16">
        <v>6304.63</v>
      </c>
      <c r="E16">
        <f t="shared" si="0"/>
        <v>1.1903267915801561</v>
      </c>
    </row>
    <row r="17" spans="3:5" ht="17.25" x14ac:dyDescent="0.25">
      <c r="C17" t="s">
        <v>19</v>
      </c>
      <c r="D17">
        <v>5986.22</v>
      </c>
      <c r="E17">
        <f t="shared" si="0"/>
        <v>1.2536408618460397</v>
      </c>
    </row>
    <row r="18" spans="3:5" ht="17.25" x14ac:dyDescent="0.25">
      <c r="C18" t="s">
        <v>20</v>
      </c>
      <c r="D18">
        <v>6152.51</v>
      </c>
      <c r="E18">
        <f t="shared" si="0"/>
        <v>1.2197574648395533</v>
      </c>
    </row>
    <row r="19" spans="3:5" ht="17.25" x14ac:dyDescent="0.25">
      <c r="C19" t="s">
        <v>21</v>
      </c>
      <c r="D19">
        <v>6437.56</v>
      </c>
      <c r="E19">
        <f t="shared" si="0"/>
        <v>1.1657475813817657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14"/>
  <sheetViews>
    <sheetView workbookViewId="0">
      <selection activeCell="E4" sqref="E4"/>
    </sheetView>
  </sheetViews>
  <sheetFormatPr defaultRowHeight="15" x14ac:dyDescent="0.25"/>
  <cols>
    <col min="2" max="2" width="18.5703125" customWidth="1"/>
    <col min="6" max="6" width="16.42578125" customWidth="1"/>
    <col min="7" max="7" width="21.85546875" customWidth="1"/>
  </cols>
  <sheetData>
    <row r="1" spans="1:7" x14ac:dyDescent="0.25">
      <c r="A1" s="1" t="s">
        <v>32</v>
      </c>
      <c r="E1" t="s">
        <v>2</v>
      </c>
      <c r="F1" t="s">
        <v>27</v>
      </c>
      <c r="G1" t="s">
        <v>31</v>
      </c>
    </row>
    <row r="3" spans="1:7" x14ac:dyDescent="0.25">
      <c r="A3" t="s">
        <v>24</v>
      </c>
      <c r="B3">
        <v>7504.57</v>
      </c>
      <c r="C3">
        <v>0.5</v>
      </c>
      <c r="D3">
        <v>4973.6099999999997</v>
      </c>
      <c r="E3">
        <f>$B$3/D3</f>
        <v>1.5088778573309931</v>
      </c>
      <c r="F3">
        <f>(E3-$B$5)/($B$6)</f>
        <v>0.4207142880369506</v>
      </c>
      <c r="G3">
        <f>(F3/C3)*100</f>
        <v>84.142857607390127</v>
      </c>
    </row>
    <row r="4" spans="1:7" x14ac:dyDescent="0.25">
      <c r="A4" t="s">
        <v>25</v>
      </c>
      <c r="B4">
        <f>STEYX(C3:C7,E3:E7)</f>
        <v>0.11753098198878902</v>
      </c>
      <c r="C4">
        <v>2</v>
      </c>
      <c r="D4">
        <v>4580.04</v>
      </c>
      <c r="E4">
        <f>$B$3/D4</f>
        <v>1.6385380913703811</v>
      </c>
      <c r="F4">
        <f>(E4-$B$5)/($B$6)</f>
        <v>2.0214579181528514</v>
      </c>
      <c r="G4">
        <f>(F4/C4)*100</f>
        <v>101.07289590764256</v>
      </c>
    </row>
    <row r="5" spans="1:7" x14ac:dyDescent="0.25">
      <c r="A5" t="s">
        <v>33</v>
      </c>
      <c r="B5">
        <v>1.4748000000000001</v>
      </c>
      <c r="C5">
        <v>3</v>
      </c>
      <c r="D5">
        <v>4334.43</v>
      </c>
      <c r="E5">
        <f>$B$3/D5</f>
        <v>1.7313856723952168</v>
      </c>
      <c r="F5">
        <f>(E5-$B$5)/($B$6)</f>
        <v>3.1677243505582307</v>
      </c>
      <c r="G5">
        <f>(F5/C5)*100</f>
        <v>105.59081168527436</v>
      </c>
    </row>
    <row r="6" spans="1:7" x14ac:dyDescent="0.25">
      <c r="A6" t="s">
        <v>26</v>
      </c>
      <c r="B6">
        <v>8.1000000000000003E-2</v>
      </c>
      <c r="C6">
        <v>4</v>
      </c>
      <c r="D6">
        <v>4186.1000000000004</v>
      </c>
      <c r="E6">
        <f>$B$3/D6</f>
        <v>1.792735481713289</v>
      </c>
      <c r="F6">
        <f>(E6-$B$5)/($B$6)</f>
        <v>3.9251294038677638</v>
      </c>
      <c r="G6">
        <f>(F6/C6)*100</f>
        <v>98.128235096694098</v>
      </c>
    </row>
    <row r="7" spans="1:7" x14ac:dyDescent="0.25">
      <c r="A7" t="s">
        <v>22</v>
      </c>
      <c r="B7">
        <f>3.3*(B4/B6)</f>
        <v>4.7882992662099229</v>
      </c>
      <c r="C7">
        <v>6</v>
      </c>
      <c r="D7">
        <v>3832.49</v>
      </c>
      <c r="E7">
        <f>$B$3/D7</f>
        <v>1.9581447048785516</v>
      </c>
      <c r="F7">
        <f>(E7-$B$5)/($B$6)</f>
        <v>5.9672185787475494</v>
      </c>
      <c r="G7">
        <f>(F7/C7)*100</f>
        <v>99.453642979125817</v>
      </c>
    </row>
    <row r="8" spans="1:7" x14ac:dyDescent="0.25">
      <c r="A8" t="s">
        <v>28</v>
      </c>
      <c r="B8">
        <f>AVERAGE(G3:G7)</f>
        <v>97.677688655225396</v>
      </c>
    </row>
    <row r="9" spans="1:7" x14ac:dyDescent="0.25">
      <c r="B9">
        <v>8.1000000000000003E-2</v>
      </c>
    </row>
    <row r="10" spans="1:7" x14ac:dyDescent="0.25">
      <c r="A10" t="s">
        <v>30</v>
      </c>
      <c r="B10">
        <f>STDEV(G3:G7)</f>
        <v>8.0730044860247627</v>
      </c>
    </row>
    <row r="14" spans="1:7" x14ac:dyDescent="0.25">
      <c r="A14" t="s">
        <v>29</v>
      </c>
      <c r="B14">
        <f>B10*100/B8</f>
        <v>8.2649421758127222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343F-D748-4F4F-92D4-D1C8920DF7EA}">
  <sheetPr>
    <tabColor rgb="FF00B0F0"/>
  </sheetPr>
  <dimension ref="A2:H18"/>
  <sheetViews>
    <sheetView workbookViewId="0">
      <selection activeCell="K18" sqref="K18"/>
    </sheetView>
  </sheetViews>
  <sheetFormatPr defaultRowHeight="15" x14ac:dyDescent="0.25"/>
  <sheetData>
    <row r="2" spans="1:8" x14ac:dyDescent="0.25">
      <c r="A2" t="s">
        <v>5</v>
      </c>
      <c r="B2">
        <v>7504.57</v>
      </c>
      <c r="F2" t="s">
        <v>51</v>
      </c>
      <c r="H2" t="s">
        <v>51</v>
      </c>
    </row>
    <row r="3" spans="1:8" x14ac:dyDescent="0.25">
      <c r="B3" t="s">
        <v>49</v>
      </c>
      <c r="C3" t="s">
        <v>50</v>
      </c>
      <c r="F3" t="s">
        <v>52</v>
      </c>
      <c r="H3" t="s">
        <v>53</v>
      </c>
    </row>
    <row r="4" spans="1:8" ht="17.25" x14ac:dyDescent="0.25">
      <c r="A4" t="s">
        <v>6</v>
      </c>
      <c r="B4">
        <v>3191.73</v>
      </c>
      <c r="C4">
        <v>1585.5</v>
      </c>
      <c r="F4">
        <f>$B$2/B4</f>
        <v>2.351254648732819</v>
      </c>
      <c r="H4">
        <f>$B$2/C4</f>
        <v>4.7332513402712078</v>
      </c>
    </row>
    <row r="5" spans="1:8" ht="17.25" x14ac:dyDescent="0.25">
      <c r="A5" t="s">
        <v>7</v>
      </c>
      <c r="B5">
        <v>3173.86</v>
      </c>
      <c r="C5">
        <v>1573.77</v>
      </c>
      <c r="F5">
        <f t="shared" ref="F5:F18" si="0">$B$2/B5</f>
        <v>2.3644930778295197</v>
      </c>
      <c r="H5">
        <f t="shared" ref="H5:H18" si="1">$B$2/C5</f>
        <v>4.7685303443323992</v>
      </c>
    </row>
    <row r="6" spans="1:8" ht="17.25" x14ac:dyDescent="0.25">
      <c r="A6" t="s">
        <v>8</v>
      </c>
      <c r="B6">
        <v>3273.19</v>
      </c>
      <c r="C6">
        <v>1610.51</v>
      </c>
      <c r="F6">
        <f t="shared" si="0"/>
        <v>2.2927388877517036</v>
      </c>
      <c r="H6">
        <f t="shared" si="1"/>
        <v>4.6597475333900436</v>
      </c>
    </row>
    <row r="7" spans="1:8" ht="17.25" x14ac:dyDescent="0.25">
      <c r="A7" t="s">
        <v>9</v>
      </c>
      <c r="B7">
        <v>3414.4</v>
      </c>
      <c r="C7">
        <v>1576.79</v>
      </c>
      <c r="F7">
        <f t="shared" si="0"/>
        <v>2.1979176429240859</v>
      </c>
      <c r="H7">
        <f t="shared" si="1"/>
        <v>4.7593972564513978</v>
      </c>
    </row>
    <row r="8" spans="1:8" ht="17.25" x14ac:dyDescent="0.25">
      <c r="A8" t="s">
        <v>10</v>
      </c>
      <c r="B8">
        <v>4355.88</v>
      </c>
      <c r="C8">
        <v>1605.33</v>
      </c>
      <c r="F8">
        <f t="shared" si="0"/>
        <v>1.7228596747385143</v>
      </c>
      <c r="H8">
        <f t="shared" si="1"/>
        <v>4.6747833778724628</v>
      </c>
    </row>
    <row r="9" spans="1:8" ht="17.25" x14ac:dyDescent="0.25">
      <c r="A9" t="s">
        <v>12</v>
      </c>
      <c r="B9">
        <v>3294.49</v>
      </c>
      <c r="C9">
        <v>2243.9</v>
      </c>
      <c r="F9">
        <f t="shared" si="0"/>
        <v>2.2779155499030201</v>
      </c>
      <c r="H9">
        <f t="shared" si="1"/>
        <v>3.344431570034315</v>
      </c>
    </row>
    <row r="10" spans="1:8" ht="17.25" x14ac:dyDescent="0.25">
      <c r="A10" t="s">
        <v>13</v>
      </c>
      <c r="B10">
        <v>3498.44</v>
      </c>
      <c r="C10">
        <v>1669.28</v>
      </c>
      <c r="F10">
        <f t="shared" si="0"/>
        <v>2.1451189673111442</v>
      </c>
      <c r="H10">
        <f t="shared" si="1"/>
        <v>4.4956927537621008</v>
      </c>
    </row>
    <row r="11" spans="1:8" ht="17.25" x14ac:dyDescent="0.25">
      <c r="A11" t="s">
        <v>14</v>
      </c>
      <c r="B11">
        <v>3241.72</v>
      </c>
      <c r="C11">
        <v>1749.83</v>
      </c>
      <c r="F11">
        <f t="shared" si="0"/>
        <v>2.31499635995706</v>
      </c>
      <c r="H11">
        <f t="shared" si="1"/>
        <v>4.2887423349696832</v>
      </c>
    </row>
    <row r="12" spans="1:8" ht="17.25" x14ac:dyDescent="0.25">
      <c r="A12" t="s">
        <v>15</v>
      </c>
      <c r="B12">
        <v>3829.85</v>
      </c>
      <c r="C12">
        <v>1447.19</v>
      </c>
      <c r="F12">
        <f t="shared" si="0"/>
        <v>1.9594944971735184</v>
      </c>
      <c r="H12">
        <f t="shared" si="1"/>
        <v>5.1856148812526337</v>
      </c>
    </row>
    <row r="13" spans="1:8" ht="17.25" x14ac:dyDescent="0.25">
      <c r="A13" t="s">
        <v>16</v>
      </c>
      <c r="B13">
        <v>3057.14</v>
      </c>
      <c r="C13">
        <v>1622.45</v>
      </c>
      <c r="F13">
        <f t="shared" si="0"/>
        <v>2.4547681820263385</v>
      </c>
      <c r="H13">
        <f t="shared" si="1"/>
        <v>4.6254553299023078</v>
      </c>
    </row>
    <row r="14" spans="1:8" ht="17.25" x14ac:dyDescent="0.25">
      <c r="A14" t="s">
        <v>17</v>
      </c>
      <c r="B14">
        <v>3198.56</v>
      </c>
      <c r="C14">
        <v>1564.3</v>
      </c>
      <c r="F14">
        <f t="shared" si="0"/>
        <v>2.346233930268621</v>
      </c>
      <c r="H14">
        <f t="shared" si="1"/>
        <v>4.7973981972767374</v>
      </c>
    </row>
    <row r="15" spans="1:8" ht="17.25" x14ac:dyDescent="0.25">
      <c r="A15" t="s">
        <v>18</v>
      </c>
      <c r="B15">
        <v>3307.72</v>
      </c>
      <c r="C15">
        <v>1469.85</v>
      </c>
      <c r="F15">
        <f t="shared" si="0"/>
        <v>2.26880449372982</v>
      </c>
      <c r="H15">
        <f t="shared" si="1"/>
        <v>5.1056706466646258</v>
      </c>
    </row>
    <row r="16" spans="1:8" ht="17.25" x14ac:dyDescent="0.25">
      <c r="A16" t="s">
        <v>19</v>
      </c>
      <c r="B16">
        <v>4370.97</v>
      </c>
      <c r="C16">
        <v>1595.85</v>
      </c>
      <c r="F16">
        <f t="shared" si="0"/>
        <v>1.7169118067614282</v>
      </c>
      <c r="H16">
        <f t="shared" si="1"/>
        <v>4.7025534981357895</v>
      </c>
    </row>
    <row r="17" spans="1:8" ht="17.25" x14ac:dyDescent="0.25">
      <c r="A17" t="s">
        <v>20</v>
      </c>
      <c r="B17">
        <v>3155.35</v>
      </c>
      <c r="C17">
        <v>1652.96</v>
      </c>
      <c r="F17">
        <f t="shared" si="0"/>
        <v>2.3783637314402521</v>
      </c>
      <c r="H17">
        <f t="shared" si="1"/>
        <v>4.5400796147517175</v>
      </c>
    </row>
    <row r="18" spans="1:8" ht="17.25" x14ac:dyDescent="0.25">
      <c r="A18" t="s">
        <v>21</v>
      </c>
      <c r="B18">
        <v>3263.06</v>
      </c>
      <c r="C18">
        <v>1555.83</v>
      </c>
      <c r="F18">
        <f t="shared" si="0"/>
        <v>2.2998565763424517</v>
      </c>
      <c r="H18">
        <f t="shared" si="1"/>
        <v>4.8235154226361496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77FB9-DCF0-4B9F-8096-6F33B7B173FB}">
  <sheetPr>
    <tabColor theme="5" tint="-0.249977111117893"/>
  </sheetPr>
  <dimension ref="E3:F14"/>
  <sheetViews>
    <sheetView workbookViewId="0">
      <selection activeCell="I5" sqref="I5"/>
    </sheetView>
  </sheetViews>
  <sheetFormatPr defaultRowHeight="15" x14ac:dyDescent="0.25"/>
  <sheetData>
    <row r="3" spans="5:6" x14ac:dyDescent="0.25">
      <c r="E3" t="s">
        <v>54</v>
      </c>
      <c r="F3" t="s">
        <v>2</v>
      </c>
    </row>
    <row r="4" spans="5:6" x14ac:dyDescent="0.25">
      <c r="E4">
        <v>1</v>
      </c>
      <c r="F4">
        <v>0.41600999999999999</v>
      </c>
    </row>
    <row r="5" spans="5:6" x14ac:dyDescent="0.25">
      <c r="E5">
        <v>2</v>
      </c>
      <c r="F5">
        <v>0.45863999999999999</v>
      </c>
    </row>
    <row r="6" spans="5:6" x14ac:dyDescent="0.25">
      <c r="E6">
        <v>3</v>
      </c>
      <c r="F6">
        <v>0.69813000000000003</v>
      </c>
    </row>
    <row r="7" spans="5:6" x14ac:dyDescent="0.25">
      <c r="E7">
        <v>4</v>
      </c>
      <c r="F7">
        <v>1.1191899999999999</v>
      </c>
    </row>
    <row r="8" spans="5:6" x14ac:dyDescent="0.25">
      <c r="E8">
        <v>5</v>
      </c>
      <c r="F8">
        <v>1.0254000000000001</v>
      </c>
    </row>
    <row r="9" spans="5:6" x14ac:dyDescent="0.25">
      <c r="E9">
        <v>6</v>
      </c>
      <c r="F9">
        <v>0.89798</v>
      </c>
    </row>
    <row r="10" spans="5:6" x14ac:dyDescent="0.25">
      <c r="E10">
        <v>7</v>
      </c>
      <c r="F10">
        <v>0.86684000000000005</v>
      </c>
    </row>
    <row r="11" spans="5:6" x14ac:dyDescent="0.25">
      <c r="E11">
        <v>8</v>
      </c>
      <c r="F11">
        <v>0.84953999999999996</v>
      </c>
    </row>
    <row r="12" spans="5:6" x14ac:dyDescent="0.25">
      <c r="E12">
        <v>9</v>
      </c>
      <c r="F12">
        <v>0.77671000000000001</v>
      </c>
    </row>
    <row r="13" spans="5:6" x14ac:dyDescent="0.25">
      <c r="E13">
        <v>10</v>
      </c>
      <c r="F13">
        <v>0.60075999999999996</v>
      </c>
    </row>
    <row r="14" spans="5:6" x14ac:dyDescent="0.25">
      <c r="E14">
        <v>11</v>
      </c>
      <c r="F14">
        <v>0.55857000000000001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0C91-95A2-481B-994F-59B1B5880CE6}">
  <sheetPr>
    <tabColor rgb="FF7030A0"/>
  </sheetPr>
  <dimension ref="C2:D9"/>
  <sheetViews>
    <sheetView workbookViewId="0">
      <selection activeCell="O21" sqref="O21"/>
    </sheetView>
  </sheetViews>
  <sheetFormatPr defaultRowHeight="15" x14ac:dyDescent="0.25"/>
  <sheetData>
    <row r="2" spans="3:4" x14ac:dyDescent="0.25">
      <c r="C2" t="s">
        <v>55</v>
      </c>
      <c r="D2" t="s">
        <v>56</v>
      </c>
    </row>
    <row r="3" spans="3:4" x14ac:dyDescent="0.25">
      <c r="C3">
        <v>1</v>
      </c>
      <c r="D3">
        <v>5892.27</v>
      </c>
    </row>
    <row r="4" spans="3:4" x14ac:dyDescent="0.25">
      <c r="C4">
        <v>5</v>
      </c>
      <c r="D4">
        <v>5860.11</v>
      </c>
    </row>
    <row r="5" spans="3:4" x14ac:dyDescent="0.25">
      <c r="C5">
        <v>7</v>
      </c>
      <c r="D5">
        <v>5807.87</v>
      </c>
    </row>
    <row r="6" spans="3:4" x14ac:dyDescent="0.25">
      <c r="C6">
        <v>9</v>
      </c>
      <c r="D6">
        <v>5791.18</v>
      </c>
    </row>
    <row r="7" spans="3:4" x14ac:dyDescent="0.25">
      <c r="C7">
        <v>11</v>
      </c>
      <c r="D7">
        <v>5748.53</v>
      </c>
    </row>
    <row r="8" spans="3:4" x14ac:dyDescent="0.25">
      <c r="C8">
        <v>13</v>
      </c>
      <c r="D8">
        <v>5718.6</v>
      </c>
    </row>
    <row r="9" spans="3:4" x14ac:dyDescent="0.25">
      <c r="C9">
        <v>15</v>
      </c>
      <c r="D9">
        <v>5716.52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4B4D-E5FC-4A2E-A31A-4B8E6E3D77A0}">
  <sheetPr>
    <tabColor rgb="FFFFFF00"/>
  </sheetPr>
  <dimension ref="D3:F15"/>
  <sheetViews>
    <sheetView tabSelected="1" workbookViewId="0">
      <selection activeCell="N24" sqref="N24"/>
    </sheetView>
  </sheetViews>
  <sheetFormatPr defaultRowHeight="15" x14ac:dyDescent="0.25"/>
  <sheetData>
    <row r="3" spans="4:6" x14ac:dyDescent="0.25">
      <c r="D3" t="s">
        <v>57</v>
      </c>
      <c r="F3" t="s">
        <v>56</v>
      </c>
    </row>
    <row r="4" spans="4:6" x14ac:dyDescent="0.25">
      <c r="D4">
        <v>20</v>
      </c>
      <c r="F4">
        <v>7992.27</v>
      </c>
    </row>
    <row r="5" spans="4:6" x14ac:dyDescent="0.25">
      <c r="D5">
        <v>40</v>
      </c>
      <c r="F5">
        <v>7890.11</v>
      </c>
    </row>
    <row r="6" spans="4:6" x14ac:dyDescent="0.25">
      <c r="D6">
        <v>60</v>
      </c>
      <c r="F6">
        <v>7837.85</v>
      </c>
    </row>
    <row r="7" spans="4:6" x14ac:dyDescent="0.25">
      <c r="D7">
        <v>80</v>
      </c>
      <c r="F7">
        <v>7792.27</v>
      </c>
    </row>
    <row r="8" spans="4:6" x14ac:dyDescent="0.25">
      <c r="D8">
        <v>100</v>
      </c>
      <c r="F8">
        <v>7690.11</v>
      </c>
    </row>
    <row r="9" spans="4:6" x14ac:dyDescent="0.25">
      <c r="D9">
        <v>120</v>
      </c>
      <c r="F9">
        <v>7667.87</v>
      </c>
    </row>
    <row r="10" spans="4:6" x14ac:dyDescent="0.25">
      <c r="D10">
        <v>140</v>
      </c>
      <c r="F10">
        <v>7641.18</v>
      </c>
    </row>
    <row r="11" spans="4:6" x14ac:dyDescent="0.25">
      <c r="D11">
        <v>160</v>
      </c>
      <c r="F11">
        <v>7640.02</v>
      </c>
    </row>
    <row r="12" spans="4:6" x14ac:dyDescent="0.25">
      <c r="D12">
        <v>180</v>
      </c>
      <c r="F12">
        <v>7600.9</v>
      </c>
    </row>
    <row r="13" spans="4:6" x14ac:dyDescent="0.25">
      <c r="D13">
        <v>200</v>
      </c>
      <c r="F13">
        <v>7580.31</v>
      </c>
    </row>
    <row r="14" spans="4:6" x14ac:dyDescent="0.25">
      <c r="D14">
        <v>220</v>
      </c>
      <c r="F14">
        <v>7569.48</v>
      </c>
    </row>
    <row r="15" spans="4:6" x14ac:dyDescent="0.25">
      <c r="D15">
        <v>240</v>
      </c>
      <c r="F15">
        <v>7564.97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Cu sensivity</vt:lpstr>
      <vt:lpstr>Ksv</vt:lpstr>
      <vt:lpstr>Cu SELECTIVITY</vt:lpstr>
      <vt:lpstr>Cu in WASTE WATER</vt:lpstr>
      <vt:lpstr>INFLUENCE OF OTHER IONS</vt:lpstr>
      <vt:lpstr>pH EFFECT</vt:lpstr>
      <vt:lpstr>Storage of PC-CDs</vt:lpstr>
      <vt:lpstr>Stability under UV 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saheed sanni</cp:lastModifiedBy>
  <dcterms:created xsi:type="dcterms:W3CDTF">2015-12-12T20:07:11Z</dcterms:created>
  <dcterms:modified xsi:type="dcterms:W3CDTF">2022-03-10T23:25:55Z</dcterms:modified>
</cp:coreProperties>
</file>