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pales\OneDrive\Documents\04 PhD Programme\06 Analysis\02 Results\"/>
    </mc:Choice>
  </mc:AlternateContent>
  <bookViews>
    <workbookView xWindow="120" yWindow="60" windowWidth="15255" windowHeight="8160" tabRatio="880" firstSheet="1" activeTab="1"/>
  </bookViews>
  <sheets>
    <sheet name="Data" sheetId="16" state="hidden" r:id="rId1"/>
    <sheet name="Company Overview" sheetId="24" r:id="rId2"/>
    <sheet name="Summary Performance" sheetId="23" r:id="rId3"/>
    <sheet name="Financial Analsysis" sheetId="9" r:id="rId4"/>
    <sheet name="Income Statement Analysis" sheetId="4" r:id="rId5"/>
    <sheet name="Balance Sheet Analysis" sheetId="5" r:id="rId6"/>
    <sheet name="Cashflow Analysis" sheetId="7" r:id="rId7"/>
    <sheet name="Operations Analysis" sheetId="8" state="hidden" r:id="rId8"/>
    <sheet name="Income Statement" sheetId="1" r:id="rId9"/>
    <sheet name="Balance Sheet" sheetId="2" r:id="rId10"/>
    <sheet name="Cashflow Statement" sheetId="3" r:id="rId11"/>
  </sheets>
  <definedNames>
    <definedName name="_xlnm.Print_Area" localSheetId="1">'Company Overview'!$A$1:$A$41</definedName>
    <definedName name="_xlnm.Print_Area" localSheetId="3">'Financial Analsysis'!$A$1:$V$53</definedName>
    <definedName name="Rating">Data!$A$4:$A$8</definedName>
  </definedNames>
  <calcPr calcId="152511"/>
</workbook>
</file>

<file path=xl/calcChain.xml><?xml version="1.0" encoding="utf-8"?>
<calcChain xmlns="http://schemas.openxmlformats.org/spreadsheetml/2006/main">
  <c r="N63" i="5" l="1"/>
  <c r="N23" i="4" l="1"/>
  <c r="L63" i="5" l="1"/>
  <c r="K63" i="5"/>
  <c r="J63" i="5"/>
  <c r="I63" i="5"/>
  <c r="H63" i="5"/>
  <c r="G63" i="5"/>
  <c r="F63" i="5"/>
  <c r="E63" i="5"/>
  <c r="N61" i="5"/>
  <c r="N60" i="5"/>
  <c r="N59" i="5"/>
  <c r="B58" i="5"/>
  <c r="C58" i="5"/>
  <c r="D58" i="5"/>
  <c r="E58" i="5"/>
  <c r="F58" i="5"/>
  <c r="G58" i="5"/>
  <c r="H58" i="5"/>
  <c r="I58" i="5"/>
  <c r="J58" i="5"/>
  <c r="K58" i="5"/>
  <c r="L58" i="5"/>
  <c r="N58" i="5"/>
  <c r="B59" i="5"/>
  <c r="C59" i="5"/>
  <c r="D59" i="5"/>
  <c r="E59" i="5"/>
  <c r="F59" i="5"/>
  <c r="G59" i="5"/>
  <c r="H59" i="5"/>
  <c r="I59" i="5"/>
  <c r="J59" i="5"/>
  <c r="K59" i="5"/>
  <c r="L59" i="5"/>
  <c r="B60" i="5"/>
  <c r="C60" i="5"/>
  <c r="D60" i="5"/>
  <c r="E60" i="5"/>
  <c r="F60" i="5"/>
  <c r="G60" i="5"/>
  <c r="H60" i="5"/>
  <c r="I60" i="5"/>
  <c r="J60" i="5"/>
  <c r="K60" i="5"/>
  <c r="L60" i="5"/>
  <c r="B61" i="5"/>
  <c r="C61" i="5"/>
  <c r="D61" i="5"/>
  <c r="E61" i="5"/>
  <c r="F61" i="5"/>
  <c r="G61" i="5"/>
  <c r="H61" i="5"/>
  <c r="I61" i="5"/>
  <c r="J61" i="5"/>
  <c r="K61" i="5"/>
  <c r="L61" i="5"/>
  <c r="A61" i="5"/>
  <c r="A60" i="5"/>
  <c r="A59" i="5"/>
  <c r="A58" i="5"/>
  <c r="N40" i="4"/>
  <c r="E40" i="4"/>
  <c r="F40" i="4"/>
  <c r="G40" i="4"/>
  <c r="H40" i="4"/>
  <c r="I40" i="4"/>
  <c r="J40" i="4"/>
  <c r="K40" i="4"/>
  <c r="L40" i="4"/>
  <c r="A40" i="4"/>
  <c r="N39" i="4"/>
  <c r="F39" i="4"/>
  <c r="G39" i="4"/>
  <c r="H39" i="4"/>
  <c r="I39" i="4"/>
  <c r="J39" i="4"/>
  <c r="K39" i="4"/>
  <c r="L39" i="4"/>
  <c r="E39" i="4"/>
  <c r="A39" i="4"/>
  <c r="N38" i="4"/>
  <c r="F38" i="4"/>
  <c r="G38" i="4"/>
  <c r="H38" i="4"/>
  <c r="I38" i="4"/>
  <c r="J38" i="4"/>
  <c r="K38" i="4"/>
  <c r="L38" i="4"/>
  <c r="E38" i="4"/>
  <c r="A38" i="4"/>
  <c r="B37" i="4"/>
  <c r="C37" i="4"/>
  <c r="D37" i="4"/>
  <c r="E37" i="4"/>
  <c r="F37" i="4"/>
  <c r="G37" i="4"/>
  <c r="H37" i="4"/>
  <c r="I37" i="4"/>
  <c r="J37" i="4"/>
  <c r="K37" i="4"/>
  <c r="L37" i="4"/>
  <c r="N37" i="4"/>
  <c r="A37" i="4"/>
  <c r="B36" i="4"/>
  <c r="C36" i="4"/>
  <c r="D36" i="4"/>
  <c r="E36" i="4"/>
  <c r="F36" i="4"/>
  <c r="G36" i="4"/>
  <c r="H36" i="4"/>
  <c r="I36" i="4"/>
  <c r="J36" i="4"/>
  <c r="K36" i="4"/>
  <c r="L36" i="4"/>
  <c r="A36" i="4"/>
  <c r="D40" i="4"/>
  <c r="C40" i="4"/>
  <c r="D39" i="4"/>
  <c r="C39" i="4"/>
  <c r="D38" i="4"/>
  <c r="C38" i="4"/>
  <c r="N18" i="7" l="1"/>
  <c r="N9" i="7"/>
  <c r="N21" i="5"/>
  <c r="L8" i="1"/>
  <c r="K8" i="1"/>
  <c r="K13" i="1"/>
  <c r="K13" i="4"/>
  <c r="L13" i="1"/>
  <c r="L5" i="1"/>
  <c r="K5" i="1"/>
  <c r="J5" i="1"/>
  <c r="J8" i="1"/>
  <c r="I8" i="1"/>
  <c r="J13" i="1"/>
  <c r="I13" i="1"/>
  <c r="I5" i="1"/>
  <c r="A11" i="7"/>
  <c r="B11" i="7"/>
  <c r="C11" i="7"/>
  <c r="D11" i="7"/>
  <c r="E11" i="7"/>
  <c r="F11" i="7"/>
  <c r="G11" i="7"/>
  <c r="H11" i="7"/>
  <c r="I11" i="7"/>
  <c r="J11" i="7"/>
  <c r="K11" i="7"/>
  <c r="L11" i="7"/>
  <c r="F12" i="3"/>
  <c r="G12" i="3"/>
  <c r="H12" i="3"/>
  <c r="H5" i="1"/>
  <c r="H7" i="1"/>
  <c r="H10" i="1" s="1"/>
  <c r="H13" i="1"/>
  <c r="G13" i="1"/>
  <c r="H8" i="1"/>
  <c r="G8" i="1"/>
  <c r="G5" i="1"/>
  <c r="F16" i="4"/>
  <c r="E16" i="4"/>
  <c r="F14" i="4"/>
  <c r="E14" i="4"/>
  <c r="F10" i="4"/>
  <c r="E10" i="4"/>
  <c r="F7" i="4"/>
  <c r="E7" i="4"/>
  <c r="A26" i="4"/>
  <c r="B26" i="4"/>
  <c r="C26" i="4"/>
  <c r="D26" i="4"/>
  <c r="E26" i="4"/>
  <c r="F26" i="4"/>
  <c r="A25" i="4"/>
  <c r="B25" i="4"/>
  <c r="C25" i="4"/>
  <c r="D25" i="4"/>
  <c r="E25" i="4"/>
  <c r="F25" i="4"/>
  <c r="A13" i="4"/>
  <c r="B13" i="4"/>
  <c r="C13" i="4"/>
  <c r="D13" i="4"/>
  <c r="E13" i="4"/>
  <c r="F13" i="4"/>
  <c r="G13" i="4"/>
  <c r="H13" i="4"/>
  <c r="I13" i="4"/>
  <c r="J13" i="4"/>
  <c r="L13" i="4"/>
  <c r="N13" i="4" s="1"/>
  <c r="A9" i="4"/>
  <c r="A22" i="4" s="1"/>
  <c r="B9" i="4"/>
  <c r="C9" i="4"/>
  <c r="D9" i="4"/>
  <c r="E9" i="4"/>
  <c r="F9" i="4"/>
  <c r="G9" i="4"/>
  <c r="H9" i="4"/>
  <c r="I9" i="4"/>
  <c r="J9" i="4"/>
  <c r="K9" i="4"/>
  <c r="L9" i="4"/>
  <c r="N9" i="4" s="1"/>
  <c r="F16" i="1"/>
  <c r="F8" i="1"/>
  <c r="F10" i="1" s="1"/>
  <c r="F14" i="1" s="1"/>
  <c r="F5" i="1"/>
  <c r="E8" i="1"/>
  <c r="E10" i="1"/>
  <c r="E14" i="1" s="1"/>
  <c r="E5" i="1"/>
  <c r="A12" i="4"/>
  <c r="B12" i="4"/>
  <c r="C12" i="4"/>
  <c r="D12" i="4"/>
  <c r="E12" i="4"/>
  <c r="F12" i="4"/>
  <c r="G12" i="4"/>
  <c r="H12" i="4"/>
  <c r="I12" i="4"/>
  <c r="J12" i="4"/>
  <c r="K12" i="4"/>
  <c r="L12" i="4"/>
  <c r="N12" i="4" s="1"/>
  <c r="B10" i="4"/>
  <c r="E7" i="1"/>
  <c r="F7" i="1"/>
  <c r="G7" i="1"/>
  <c r="I7" i="1"/>
  <c r="I10" i="1" s="1"/>
  <c r="I14" i="1" s="1"/>
  <c r="I16" i="1" s="1"/>
  <c r="J7" i="1"/>
  <c r="J10" i="1" s="1"/>
  <c r="J14" i="1" s="1"/>
  <c r="J16" i="1" s="1"/>
  <c r="K7" i="1"/>
  <c r="L7" i="1"/>
  <c r="A5" i="4"/>
  <c r="B5" i="4"/>
  <c r="C5" i="4"/>
  <c r="D5" i="4"/>
  <c r="E5" i="4"/>
  <c r="F5" i="4"/>
  <c r="G5" i="4"/>
  <c r="H5" i="4"/>
  <c r="I5" i="4"/>
  <c r="J5" i="4"/>
  <c r="K5" i="4"/>
  <c r="L5" i="4"/>
  <c r="L10" i="1" l="1"/>
  <c r="L14" i="1" s="1"/>
  <c r="L16" i="1" s="1"/>
  <c r="K10" i="1"/>
  <c r="K14" i="1" s="1"/>
  <c r="K16" i="1" s="1"/>
  <c r="H14" i="1"/>
  <c r="H16" i="1" s="1"/>
  <c r="G10" i="1"/>
  <c r="G14" i="1" s="1"/>
  <c r="G16" i="1" s="1"/>
  <c r="N5" i="4"/>
  <c r="A33" i="4"/>
  <c r="B33" i="4"/>
  <c r="C33" i="4"/>
  <c r="D33" i="4"/>
  <c r="E33" i="4"/>
  <c r="F33" i="4"/>
  <c r="G33" i="4"/>
  <c r="H33" i="4"/>
  <c r="I33" i="4"/>
  <c r="J33" i="4"/>
  <c r="K33" i="4"/>
  <c r="L33" i="4"/>
  <c r="B32" i="4"/>
  <c r="C32" i="4"/>
  <c r="D32" i="4"/>
  <c r="E32" i="4"/>
  <c r="F32" i="4"/>
  <c r="G32" i="4"/>
  <c r="H32" i="4"/>
  <c r="I32" i="4"/>
  <c r="J32" i="4"/>
  <c r="K32" i="4"/>
  <c r="L32" i="4"/>
  <c r="A32" i="4"/>
  <c r="A5" i="7"/>
  <c r="B5" i="7"/>
  <c r="C5" i="7"/>
  <c r="D5" i="7"/>
  <c r="E5" i="7"/>
  <c r="F5" i="7"/>
  <c r="G5" i="7"/>
  <c r="H5" i="7"/>
  <c r="I5" i="7"/>
  <c r="J5" i="7"/>
  <c r="K5" i="7"/>
  <c r="L5" i="7"/>
  <c r="A6" i="7"/>
  <c r="B6" i="7"/>
  <c r="C6" i="7"/>
  <c r="D6" i="7"/>
  <c r="E6" i="7"/>
  <c r="F6" i="7"/>
  <c r="G6" i="7"/>
  <c r="H6" i="7"/>
  <c r="I6" i="7"/>
  <c r="J6" i="7"/>
  <c r="K6" i="7"/>
  <c r="L6" i="7"/>
  <c r="A7" i="7"/>
  <c r="B7" i="7"/>
  <c r="C7" i="7"/>
  <c r="D7" i="7"/>
  <c r="E7" i="7"/>
  <c r="F7" i="7"/>
  <c r="G7" i="7"/>
  <c r="H7" i="7"/>
  <c r="I7" i="7"/>
  <c r="J7" i="7"/>
  <c r="K7" i="7"/>
  <c r="L7" i="7"/>
  <c r="A8" i="7"/>
  <c r="B8" i="7"/>
  <c r="C8" i="7"/>
  <c r="D8" i="7"/>
  <c r="E8" i="7"/>
  <c r="F8" i="7"/>
  <c r="G8" i="7"/>
  <c r="H8" i="7"/>
  <c r="I8" i="7"/>
  <c r="J8" i="7"/>
  <c r="K8" i="7"/>
  <c r="L8" i="7"/>
  <c r="A9" i="7"/>
  <c r="B9" i="7"/>
  <c r="C9" i="7"/>
  <c r="D9" i="7"/>
  <c r="E9" i="7"/>
  <c r="F9" i="7"/>
  <c r="G9" i="7"/>
  <c r="H9" i="7"/>
  <c r="I9" i="7"/>
  <c r="J9" i="7"/>
  <c r="K9" i="7"/>
  <c r="L9" i="7"/>
  <c r="A10" i="7"/>
  <c r="B10" i="7"/>
  <c r="C10" i="7"/>
  <c r="D10" i="7"/>
  <c r="E10" i="7"/>
  <c r="F10" i="7"/>
  <c r="G10" i="7"/>
  <c r="H10" i="7"/>
  <c r="I10" i="7"/>
  <c r="J10" i="7"/>
  <c r="K10" i="7"/>
  <c r="L10" i="7"/>
  <c r="A12" i="7"/>
  <c r="A14" i="7"/>
  <c r="A15" i="7"/>
  <c r="B15" i="7"/>
  <c r="C15" i="7"/>
  <c r="D15" i="7"/>
  <c r="E15" i="7"/>
  <c r="F15" i="7"/>
  <c r="G15" i="7"/>
  <c r="H15" i="7"/>
  <c r="I15" i="7"/>
  <c r="J15" i="7"/>
  <c r="K15" i="7"/>
  <c r="L15" i="7"/>
  <c r="A16" i="7"/>
  <c r="B16" i="7"/>
  <c r="C16" i="7"/>
  <c r="D16" i="7"/>
  <c r="E16" i="7"/>
  <c r="F16" i="7"/>
  <c r="G16" i="7"/>
  <c r="H16" i="7"/>
  <c r="I16" i="7"/>
  <c r="J16" i="7"/>
  <c r="K16" i="7"/>
  <c r="L16" i="7"/>
  <c r="A17" i="7"/>
  <c r="B17" i="7"/>
  <c r="C17" i="7"/>
  <c r="D17" i="7"/>
  <c r="E17" i="7"/>
  <c r="F17" i="7"/>
  <c r="G17" i="7"/>
  <c r="H17" i="7"/>
  <c r="I17" i="7"/>
  <c r="J17" i="7"/>
  <c r="K17" i="7"/>
  <c r="L17" i="7"/>
  <c r="A18" i="7"/>
  <c r="B18" i="7"/>
  <c r="C18" i="7"/>
  <c r="D18" i="7"/>
  <c r="E18" i="7"/>
  <c r="F18" i="7"/>
  <c r="G18" i="7"/>
  <c r="H18" i="7"/>
  <c r="I18" i="7"/>
  <c r="J18" i="7"/>
  <c r="K18" i="7"/>
  <c r="L18" i="7"/>
  <c r="A19" i="7"/>
  <c r="B19" i="7"/>
  <c r="C19" i="7"/>
  <c r="D19" i="7"/>
  <c r="E19" i="7"/>
  <c r="F19" i="7"/>
  <c r="G19" i="7"/>
  <c r="H19" i="7"/>
  <c r="I19" i="7"/>
  <c r="J19" i="7"/>
  <c r="K19" i="7"/>
  <c r="L19" i="7"/>
  <c r="A21" i="7"/>
  <c r="B21" i="7"/>
  <c r="C21" i="7"/>
  <c r="D21" i="7"/>
  <c r="A23" i="7"/>
  <c r="A24" i="7"/>
  <c r="B24" i="7"/>
  <c r="C24" i="7"/>
  <c r="D24" i="7"/>
  <c r="E24" i="7"/>
  <c r="F24" i="7"/>
  <c r="G24" i="7"/>
  <c r="H24" i="7"/>
  <c r="I24" i="7"/>
  <c r="J24" i="7"/>
  <c r="K24" i="7"/>
  <c r="L24" i="7"/>
  <c r="A25" i="7"/>
  <c r="B25" i="7"/>
  <c r="C25" i="7"/>
  <c r="D25" i="7"/>
  <c r="E25" i="7"/>
  <c r="F25" i="7"/>
  <c r="G25" i="7"/>
  <c r="H25" i="7"/>
  <c r="I25" i="7"/>
  <c r="J25" i="7"/>
  <c r="K25" i="7"/>
  <c r="L25" i="7"/>
  <c r="A26" i="7"/>
  <c r="B26" i="7"/>
  <c r="C26" i="7"/>
  <c r="D26" i="7"/>
  <c r="E26" i="7"/>
  <c r="F26" i="7"/>
  <c r="G26" i="7"/>
  <c r="H26" i="7"/>
  <c r="I26" i="7"/>
  <c r="J26" i="7"/>
  <c r="K26" i="7"/>
  <c r="L26" i="7"/>
  <c r="A27" i="7"/>
  <c r="B27" i="7"/>
  <c r="C27" i="7"/>
  <c r="D27" i="7"/>
  <c r="E27" i="7"/>
  <c r="F27" i="7"/>
  <c r="G27" i="7"/>
  <c r="H27" i="7"/>
  <c r="I27" i="7"/>
  <c r="J27" i="7"/>
  <c r="K27" i="7"/>
  <c r="L27" i="7"/>
  <c r="A28" i="7"/>
  <c r="B28" i="7"/>
  <c r="C28" i="7"/>
  <c r="D28" i="7"/>
  <c r="E28" i="7"/>
  <c r="F28" i="7"/>
  <c r="G28" i="7"/>
  <c r="H28" i="7"/>
  <c r="I28" i="7"/>
  <c r="J28" i="7"/>
  <c r="K28" i="7"/>
  <c r="L28" i="7"/>
  <c r="A29" i="7"/>
  <c r="B29" i="7"/>
  <c r="C29" i="7"/>
  <c r="D29" i="7"/>
  <c r="E29" i="7"/>
  <c r="F29" i="7"/>
  <c r="G29" i="7"/>
  <c r="H29" i="7"/>
  <c r="I29" i="7"/>
  <c r="J29" i="7"/>
  <c r="K29" i="7"/>
  <c r="L29" i="7"/>
  <c r="A30" i="7"/>
  <c r="B30" i="7"/>
  <c r="C30" i="7"/>
  <c r="D30" i="7"/>
  <c r="E30" i="7"/>
  <c r="F30" i="7"/>
  <c r="G30" i="7"/>
  <c r="H30" i="7"/>
  <c r="I30" i="7"/>
  <c r="J30" i="7"/>
  <c r="K30" i="7"/>
  <c r="L30" i="7"/>
  <c r="A31" i="7"/>
  <c r="B31" i="7"/>
  <c r="C31" i="7"/>
  <c r="D31" i="7"/>
  <c r="A33" i="7"/>
  <c r="A35" i="7"/>
  <c r="B35" i="7"/>
  <c r="C35" i="7"/>
  <c r="D35" i="7"/>
  <c r="E35" i="7"/>
  <c r="F35" i="7"/>
  <c r="G35" i="7"/>
  <c r="H35" i="7"/>
  <c r="I35" i="7"/>
  <c r="J35" i="7"/>
  <c r="K35" i="7"/>
  <c r="L35" i="7"/>
  <c r="A36" i="7"/>
  <c r="B36" i="7"/>
  <c r="C36" i="7"/>
  <c r="D36" i="7"/>
  <c r="E36" i="7"/>
  <c r="F36" i="7"/>
  <c r="G36" i="7"/>
  <c r="H36" i="7"/>
  <c r="I36" i="7"/>
  <c r="J36" i="7"/>
  <c r="K36" i="7"/>
  <c r="L36" i="7"/>
  <c r="A38" i="7"/>
  <c r="N35" i="7" l="1"/>
  <c r="N26" i="7"/>
  <c r="N25" i="7"/>
  <c r="N19" i="7"/>
  <c r="N17" i="7"/>
  <c r="N16" i="7"/>
  <c r="N15" i="7"/>
  <c r="N10" i="7"/>
  <c r="N8" i="7"/>
  <c r="N7" i="7"/>
  <c r="N5" i="7"/>
  <c r="N28" i="7"/>
  <c r="N27" i="7"/>
  <c r="N24" i="7"/>
  <c r="N30" i="7"/>
  <c r="N29" i="7"/>
  <c r="N6" i="7"/>
  <c r="N36" i="7"/>
  <c r="N33" i="4"/>
  <c r="N32" i="4"/>
  <c r="A29" i="5"/>
  <c r="A30" i="5"/>
  <c r="A31" i="5"/>
  <c r="A5" i="5"/>
  <c r="A6" i="5"/>
  <c r="B6" i="5"/>
  <c r="C6" i="5"/>
  <c r="D6" i="5"/>
  <c r="E6" i="5"/>
  <c r="F6" i="5"/>
  <c r="G6" i="5"/>
  <c r="H6" i="5"/>
  <c r="I6" i="5"/>
  <c r="J6" i="5"/>
  <c r="K6" i="5"/>
  <c r="L6" i="5"/>
  <c r="A7" i="5"/>
  <c r="B7" i="5"/>
  <c r="C7" i="5"/>
  <c r="D7" i="5"/>
  <c r="E7" i="5"/>
  <c r="F7" i="5"/>
  <c r="G7" i="5"/>
  <c r="H7" i="5"/>
  <c r="I7" i="5"/>
  <c r="J7" i="5"/>
  <c r="K7" i="5"/>
  <c r="L7" i="5"/>
  <c r="A8" i="5"/>
  <c r="B8" i="5"/>
  <c r="C8" i="5"/>
  <c r="D8" i="5"/>
  <c r="E8" i="5"/>
  <c r="F8" i="5"/>
  <c r="G8" i="5"/>
  <c r="H8" i="5"/>
  <c r="I8" i="5"/>
  <c r="J8" i="5"/>
  <c r="K8" i="5"/>
  <c r="L8" i="5"/>
  <c r="A9" i="5"/>
  <c r="B9" i="5"/>
  <c r="C9" i="5"/>
  <c r="D9" i="5"/>
  <c r="E9" i="5"/>
  <c r="F9" i="5"/>
  <c r="G9" i="5"/>
  <c r="H9" i="5"/>
  <c r="I9" i="5"/>
  <c r="J9" i="5"/>
  <c r="K9" i="5"/>
  <c r="L9" i="5"/>
  <c r="A10" i="5"/>
  <c r="B10" i="5"/>
  <c r="C10" i="5"/>
  <c r="D10" i="5"/>
  <c r="E10" i="5"/>
  <c r="F10" i="5"/>
  <c r="G10" i="5"/>
  <c r="H10" i="5"/>
  <c r="I10" i="5"/>
  <c r="J10" i="5"/>
  <c r="K10" i="5"/>
  <c r="L10" i="5"/>
  <c r="A11" i="5"/>
  <c r="B11" i="5"/>
  <c r="C11" i="5"/>
  <c r="D11" i="5"/>
  <c r="E11" i="5"/>
  <c r="F11" i="5"/>
  <c r="G11" i="5"/>
  <c r="H11" i="5"/>
  <c r="I11" i="5"/>
  <c r="J11" i="5"/>
  <c r="K11" i="5"/>
  <c r="L11" i="5"/>
  <c r="A12" i="5"/>
  <c r="B12" i="5"/>
  <c r="C12" i="5"/>
  <c r="D12" i="5"/>
  <c r="E12" i="5"/>
  <c r="F12" i="5"/>
  <c r="G12" i="5"/>
  <c r="H12" i="5"/>
  <c r="I12" i="5"/>
  <c r="J12" i="5"/>
  <c r="K12" i="5"/>
  <c r="L12" i="5"/>
  <c r="A13" i="5"/>
  <c r="A15" i="5"/>
  <c r="B15" i="5"/>
  <c r="C15" i="5"/>
  <c r="D15" i="5"/>
  <c r="A16" i="5"/>
  <c r="B16" i="5"/>
  <c r="C16" i="5"/>
  <c r="D16" i="5"/>
  <c r="A17" i="5"/>
  <c r="B17" i="5"/>
  <c r="C17" i="5"/>
  <c r="D17" i="5"/>
  <c r="E17" i="5"/>
  <c r="F17" i="5"/>
  <c r="G17" i="5"/>
  <c r="H17" i="5"/>
  <c r="I17" i="5"/>
  <c r="J17" i="5"/>
  <c r="K17" i="5"/>
  <c r="L17" i="5"/>
  <c r="A18" i="5"/>
  <c r="B18" i="5"/>
  <c r="C18" i="5"/>
  <c r="D18" i="5"/>
  <c r="E18" i="5"/>
  <c r="F18" i="5"/>
  <c r="G18" i="5"/>
  <c r="H18" i="5"/>
  <c r="I18" i="5"/>
  <c r="J18" i="5"/>
  <c r="K18" i="5"/>
  <c r="L18" i="5"/>
  <c r="A19" i="5"/>
  <c r="B19" i="5"/>
  <c r="C19" i="5"/>
  <c r="D19" i="5"/>
  <c r="E19" i="5"/>
  <c r="F19" i="5"/>
  <c r="G19" i="5"/>
  <c r="H19" i="5"/>
  <c r="I19" i="5"/>
  <c r="J19" i="5"/>
  <c r="K19" i="5"/>
  <c r="L19" i="5"/>
  <c r="A20" i="5"/>
  <c r="B20" i="5"/>
  <c r="C20" i="5"/>
  <c r="D20" i="5"/>
  <c r="E20" i="5"/>
  <c r="F20" i="5"/>
  <c r="G20" i="5"/>
  <c r="H20" i="5"/>
  <c r="I20" i="5"/>
  <c r="J20" i="5"/>
  <c r="K20" i="5"/>
  <c r="L20" i="5"/>
  <c r="A21" i="5"/>
  <c r="B21" i="5"/>
  <c r="C21" i="5"/>
  <c r="D21" i="5"/>
  <c r="E21" i="5"/>
  <c r="F21" i="5"/>
  <c r="G21" i="5"/>
  <c r="H21" i="5"/>
  <c r="I21" i="5"/>
  <c r="J21" i="5"/>
  <c r="K21" i="5"/>
  <c r="L21" i="5"/>
  <c r="A22" i="5"/>
  <c r="B22" i="5"/>
  <c r="C22" i="5"/>
  <c r="D22" i="5"/>
  <c r="E22" i="5"/>
  <c r="F22" i="5"/>
  <c r="G22" i="5"/>
  <c r="H22" i="5"/>
  <c r="I22" i="5"/>
  <c r="J22" i="5"/>
  <c r="K22" i="5"/>
  <c r="L22" i="5"/>
  <c r="A23" i="5"/>
  <c r="A25" i="5"/>
  <c r="A27" i="5"/>
  <c r="B27" i="5"/>
  <c r="C27" i="5"/>
  <c r="D27" i="5"/>
  <c r="B29" i="5"/>
  <c r="C29" i="5"/>
  <c r="D29" i="5"/>
  <c r="B30" i="5"/>
  <c r="C30" i="5"/>
  <c r="D30" i="5"/>
  <c r="E30" i="5"/>
  <c r="F30" i="5"/>
  <c r="G30" i="5"/>
  <c r="H30" i="5"/>
  <c r="I30" i="5"/>
  <c r="J30" i="5"/>
  <c r="K30" i="5"/>
  <c r="L30" i="5"/>
  <c r="B31" i="5"/>
  <c r="C31" i="5"/>
  <c r="D31" i="5"/>
  <c r="E31" i="5"/>
  <c r="F31" i="5"/>
  <c r="G31" i="5"/>
  <c r="H31" i="5"/>
  <c r="I31" i="5"/>
  <c r="J31" i="5"/>
  <c r="K31" i="5"/>
  <c r="L31" i="5"/>
  <c r="A32" i="5"/>
  <c r="B32" i="5"/>
  <c r="C32" i="5"/>
  <c r="D32" i="5"/>
  <c r="E32" i="5"/>
  <c r="F32" i="5"/>
  <c r="G32" i="5"/>
  <c r="H32" i="5"/>
  <c r="I32" i="5"/>
  <c r="J32" i="5"/>
  <c r="K32" i="5"/>
  <c r="L32" i="5"/>
  <c r="A33" i="5"/>
  <c r="B33" i="5"/>
  <c r="C33" i="5"/>
  <c r="D33" i="5"/>
  <c r="E33" i="5"/>
  <c r="F33" i="5"/>
  <c r="G33" i="5"/>
  <c r="H33" i="5"/>
  <c r="I33" i="5"/>
  <c r="J33" i="5"/>
  <c r="K33" i="5"/>
  <c r="L33" i="5"/>
  <c r="A34" i="5"/>
  <c r="B34" i="5"/>
  <c r="C34" i="5"/>
  <c r="D34" i="5"/>
  <c r="E34" i="5"/>
  <c r="F34" i="5"/>
  <c r="G34" i="5"/>
  <c r="H34" i="5"/>
  <c r="I34" i="5"/>
  <c r="J34" i="5"/>
  <c r="K34" i="5"/>
  <c r="L34" i="5"/>
  <c r="A35" i="5"/>
  <c r="A37" i="5"/>
  <c r="A38" i="5"/>
  <c r="B38" i="5"/>
  <c r="C38" i="5"/>
  <c r="D38" i="5"/>
  <c r="E38" i="5"/>
  <c r="F38" i="5"/>
  <c r="G38" i="5"/>
  <c r="H38" i="5"/>
  <c r="I38" i="5"/>
  <c r="J38" i="5"/>
  <c r="K38" i="5"/>
  <c r="L38" i="5"/>
  <c r="A39" i="5"/>
  <c r="B39" i="5"/>
  <c r="C39" i="5"/>
  <c r="D39" i="5"/>
  <c r="E39" i="5"/>
  <c r="F39" i="5"/>
  <c r="G39" i="5"/>
  <c r="H39" i="5"/>
  <c r="I39" i="5"/>
  <c r="J39" i="5"/>
  <c r="K39" i="5"/>
  <c r="L39" i="5"/>
  <c r="A40" i="5"/>
  <c r="B40" i="5"/>
  <c r="C40" i="5"/>
  <c r="D40" i="5"/>
  <c r="E40" i="5"/>
  <c r="F40" i="5"/>
  <c r="G40" i="5"/>
  <c r="H40" i="5"/>
  <c r="I40" i="5"/>
  <c r="J40" i="5"/>
  <c r="K40" i="5"/>
  <c r="L40" i="5"/>
  <c r="A41" i="5"/>
  <c r="B41" i="5"/>
  <c r="C41" i="5"/>
  <c r="D41" i="5"/>
  <c r="E41" i="5"/>
  <c r="F41" i="5"/>
  <c r="G41" i="5"/>
  <c r="H41" i="5"/>
  <c r="I41" i="5"/>
  <c r="J41" i="5"/>
  <c r="K41" i="5"/>
  <c r="L41" i="5"/>
  <c r="N41" i="5" s="1"/>
  <c r="A42" i="5"/>
  <c r="A44" i="5"/>
  <c r="A45" i="5"/>
  <c r="B45" i="5"/>
  <c r="C45" i="5"/>
  <c r="D45" i="5"/>
  <c r="E45" i="5"/>
  <c r="F45" i="5"/>
  <c r="G45" i="5"/>
  <c r="H45" i="5"/>
  <c r="I45" i="5"/>
  <c r="J45" i="5"/>
  <c r="K45" i="5"/>
  <c r="L45" i="5"/>
  <c r="A46" i="5"/>
  <c r="B46" i="5"/>
  <c r="C46" i="5"/>
  <c r="D46" i="5"/>
  <c r="E46" i="5"/>
  <c r="F46" i="5"/>
  <c r="G46" i="5"/>
  <c r="H46" i="5"/>
  <c r="I46" i="5"/>
  <c r="J46" i="5"/>
  <c r="K46" i="5"/>
  <c r="L46" i="5"/>
  <c r="A47" i="5"/>
  <c r="B47" i="5"/>
  <c r="C47" i="5"/>
  <c r="D47" i="5"/>
  <c r="E47" i="5"/>
  <c r="F47" i="5"/>
  <c r="G47" i="5"/>
  <c r="H47" i="5"/>
  <c r="I47" i="5"/>
  <c r="J47" i="5"/>
  <c r="K47" i="5"/>
  <c r="L47" i="5"/>
  <c r="A48" i="5"/>
  <c r="B48" i="5"/>
  <c r="C48" i="5"/>
  <c r="D48" i="5"/>
  <c r="E48" i="5"/>
  <c r="F48" i="5"/>
  <c r="G48" i="5"/>
  <c r="H48" i="5"/>
  <c r="I48" i="5"/>
  <c r="J48" i="5"/>
  <c r="K48" i="5"/>
  <c r="L48" i="5"/>
  <c r="A49" i="5"/>
  <c r="B49" i="5"/>
  <c r="C49" i="5"/>
  <c r="D49" i="5"/>
  <c r="E49" i="5"/>
  <c r="F49" i="5"/>
  <c r="G49" i="5"/>
  <c r="H49" i="5"/>
  <c r="I49" i="5"/>
  <c r="J49" i="5"/>
  <c r="K49" i="5"/>
  <c r="L49" i="5"/>
  <c r="A50" i="5"/>
  <c r="B50" i="5"/>
  <c r="C50" i="5"/>
  <c r="D50" i="5"/>
  <c r="E50" i="5"/>
  <c r="F50" i="5"/>
  <c r="G50" i="5"/>
  <c r="H50" i="5"/>
  <c r="I50" i="5"/>
  <c r="J50" i="5"/>
  <c r="K50" i="5"/>
  <c r="L50" i="5"/>
  <c r="A51" i="5"/>
  <c r="A53" i="5"/>
  <c r="A55" i="5"/>
  <c r="L42" i="2"/>
  <c r="L42" i="5" s="1"/>
  <c r="C51" i="2"/>
  <c r="C51" i="5" s="1"/>
  <c r="D51" i="2"/>
  <c r="D51" i="5" s="1"/>
  <c r="E51" i="2"/>
  <c r="E51" i="5" s="1"/>
  <c r="F51" i="2"/>
  <c r="F51" i="5" s="1"/>
  <c r="G51" i="2"/>
  <c r="G51" i="5" s="1"/>
  <c r="H51" i="2"/>
  <c r="H51" i="5" s="1"/>
  <c r="I51" i="2"/>
  <c r="I51" i="5" s="1"/>
  <c r="J51" i="2"/>
  <c r="B51" i="2"/>
  <c r="B51" i="5" s="1"/>
  <c r="B42" i="2"/>
  <c r="B42" i="5" s="1"/>
  <c r="C42" i="2"/>
  <c r="C42" i="5" s="1"/>
  <c r="D42" i="2"/>
  <c r="D42" i="5" s="1"/>
  <c r="E42" i="2"/>
  <c r="E42" i="5" s="1"/>
  <c r="F42" i="2"/>
  <c r="F42" i="5" s="1"/>
  <c r="G42" i="2"/>
  <c r="G42" i="5" s="1"/>
  <c r="H42" i="2"/>
  <c r="H42" i="5" s="1"/>
  <c r="I42" i="2"/>
  <c r="I42" i="5" s="1"/>
  <c r="J42" i="2"/>
  <c r="J42" i="5" s="1"/>
  <c r="C35" i="2"/>
  <c r="C35" i="5" s="1"/>
  <c r="D35" i="2"/>
  <c r="D35" i="5" s="1"/>
  <c r="E35" i="2"/>
  <c r="E35" i="5" s="1"/>
  <c r="F35" i="2"/>
  <c r="F35" i="5" s="1"/>
  <c r="G35" i="2"/>
  <c r="G35" i="5" s="1"/>
  <c r="H35" i="2"/>
  <c r="H35" i="5" s="1"/>
  <c r="I35" i="2"/>
  <c r="I35" i="5" s="1"/>
  <c r="J35" i="2"/>
  <c r="J35" i="5" s="1"/>
  <c r="L51" i="2"/>
  <c r="L51" i="5" s="1"/>
  <c r="L35" i="2"/>
  <c r="L35" i="5" s="1"/>
  <c r="K51" i="2"/>
  <c r="K51" i="5" s="1"/>
  <c r="K42" i="2"/>
  <c r="K42" i="5" s="1"/>
  <c r="K35" i="2"/>
  <c r="K35" i="5" s="1"/>
  <c r="L23" i="2"/>
  <c r="L23" i="5" s="1"/>
  <c r="L13" i="2"/>
  <c r="B22" i="3"/>
  <c r="C22" i="3"/>
  <c r="D22" i="3"/>
  <c r="E22" i="3"/>
  <c r="E21" i="7" s="1"/>
  <c r="F22" i="3"/>
  <c r="F21" i="7" s="1"/>
  <c r="G22" i="3"/>
  <c r="G21" i="7" s="1"/>
  <c r="H22" i="3"/>
  <c r="H21" i="7" s="1"/>
  <c r="I22" i="3"/>
  <c r="I21" i="7" s="1"/>
  <c r="J22" i="3"/>
  <c r="J21" i="7" s="1"/>
  <c r="K22" i="3"/>
  <c r="K21" i="7" s="1"/>
  <c r="L22" i="3"/>
  <c r="L21" i="7" s="1"/>
  <c r="N21" i="7" l="1"/>
  <c r="J53" i="2"/>
  <c r="J53" i="5" s="1"/>
  <c r="N20" i="5"/>
  <c r="N19" i="5"/>
  <c r="N17" i="5"/>
  <c r="N12" i="5"/>
  <c r="N11" i="5"/>
  <c r="N10" i="5"/>
  <c r="N9" i="5"/>
  <c r="N51" i="5"/>
  <c r="N40" i="5"/>
  <c r="N38" i="5"/>
  <c r="N22" i="5"/>
  <c r="N18" i="5"/>
  <c r="N8" i="5"/>
  <c r="K53" i="2"/>
  <c r="K53" i="5" s="1"/>
  <c r="J51" i="5"/>
  <c r="L25" i="2"/>
  <c r="L25" i="5" s="1"/>
  <c r="N42" i="5"/>
  <c r="N34" i="5"/>
  <c r="N33" i="5"/>
  <c r="N32" i="5"/>
  <c r="N31" i="5"/>
  <c r="N30" i="5"/>
  <c r="N35" i="5"/>
  <c r="N50" i="5"/>
  <c r="N49" i="5"/>
  <c r="N47" i="5"/>
  <c r="N46" i="5"/>
  <c r="N45" i="5"/>
  <c r="N7" i="5"/>
  <c r="N6" i="5"/>
  <c r="L13" i="5"/>
  <c r="L53" i="2"/>
  <c r="J55" i="2"/>
  <c r="J55" i="5" s="1"/>
  <c r="N51" i="9"/>
  <c r="R46" i="9"/>
  <c r="N46" i="9"/>
  <c r="N41" i="9"/>
  <c r="N36" i="9"/>
  <c r="N26" i="9"/>
  <c r="N21" i="9"/>
  <c r="N16" i="9"/>
  <c r="N11" i="9"/>
  <c r="N6" i="9"/>
  <c r="L5" i="9"/>
  <c r="L8" i="9"/>
  <c r="L9" i="9"/>
  <c r="L12" i="9"/>
  <c r="L13" i="9"/>
  <c r="G5" i="9"/>
  <c r="H5" i="9"/>
  <c r="I5" i="9"/>
  <c r="J5" i="9"/>
  <c r="K5" i="9"/>
  <c r="G13" i="9"/>
  <c r="H13" i="9"/>
  <c r="I13" i="9"/>
  <c r="J13" i="9"/>
  <c r="K13" i="9"/>
  <c r="C39" i="23"/>
  <c r="C40" i="23"/>
  <c r="C42" i="23"/>
  <c r="C43" i="23"/>
  <c r="L3" i="4"/>
  <c r="L4" i="4"/>
  <c r="L6" i="4"/>
  <c r="L8" i="4"/>
  <c r="L11" i="4"/>
  <c r="L15" i="4"/>
  <c r="G3" i="4"/>
  <c r="H3" i="4"/>
  <c r="I3" i="4"/>
  <c r="J3" i="4"/>
  <c r="K3" i="4"/>
  <c r="G4" i="4"/>
  <c r="H4" i="4"/>
  <c r="I4" i="4"/>
  <c r="J4" i="4"/>
  <c r="K4" i="4"/>
  <c r="G8" i="4"/>
  <c r="H8" i="4"/>
  <c r="I8" i="4"/>
  <c r="J8" i="4"/>
  <c r="K8" i="4"/>
  <c r="G11" i="4"/>
  <c r="H11" i="4"/>
  <c r="I11" i="4"/>
  <c r="J11" i="4"/>
  <c r="K11" i="4"/>
  <c r="G15" i="4"/>
  <c r="H15" i="4"/>
  <c r="I15" i="4"/>
  <c r="J15" i="4"/>
  <c r="K15" i="4"/>
  <c r="G33" i="3"/>
  <c r="G31" i="7" s="1"/>
  <c r="H33" i="3"/>
  <c r="H31" i="7" s="1"/>
  <c r="I33" i="3"/>
  <c r="I31" i="7" s="1"/>
  <c r="J33" i="3"/>
  <c r="J31" i="7" s="1"/>
  <c r="K33" i="3"/>
  <c r="K31" i="7" s="1"/>
  <c r="L33" i="3"/>
  <c r="L31" i="7" s="1"/>
  <c r="I12" i="3"/>
  <c r="J12" i="3"/>
  <c r="K12" i="3"/>
  <c r="K12" i="7" s="1"/>
  <c r="L12" i="3"/>
  <c r="L12" i="7" s="1"/>
  <c r="L3" i="3"/>
  <c r="L3" i="7" s="1"/>
  <c r="G3" i="3"/>
  <c r="G3" i="7" s="1"/>
  <c r="H3" i="3"/>
  <c r="H3" i="7" s="1"/>
  <c r="I3" i="3"/>
  <c r="I3" i="7" s="1"/>
  <c r="J3" i="3"/>
  <c r="J3" i="7" s="1"/>
  <c r="K3" i="3"/>
  <c r="K3" i="7" s="1"/>
  <c r="I53" i="2"/>
  <c r="I53" i="5" s="1"/>
  <c r="G53" i="2"/>
  <c r="G53" i="5" s="1"/>
  <c r="H53" i="2"/>
  <c r="H53" i="5" s="1"/>
  <c r="P51" i="9"/>
  <c r="G23" i="2"/>
  <c r="G23" i="5" s="1"/>
  <c r="H23" i="2"/>
  <c r="H23" i="5" s="1"/>
  <c r="I23" i="2"/>
  <c r="I23" i="5" s="1"/>
  <c r="J23" i="2"/>
  <c r="J8" i="9" s="1"/>
  <c r="K23" i="2"/>
  <c r="K23" i="5" s="1"/>
  <c r="G13" i="2"/>
  <c r="G13" i="5" s="1"/>
  <c r="H13" i="2"/>
  <c r="H13" i="5" s="1"/>
  <c r="I13" i="2"/>
  <c r="I13" i="5" s="1"/>
  <c r="J13" i="2"/>
  <c r="J13" i="5" s="1"/>
  <c r="K13" i="2"/>
  <c r="K13" i="5" s="1"/>
  <c r="L3" i="2"/>
  <c r="L3" i="5" s="1"/>
  <c r="G3" i="2"/>
  <c r="G3" i="5" s="1"/>
  <c r="H3" i="2"/>
  <c r="H3" i="5" s="1"/>
  <c r="I3" i="2"/>
  <c r="I3" i="5" s="1"/>
  <c r="J3" i="2"/>
  <c r="J3" i="5" s="1"/>
  <c r="K3" i="2"/>
  <c r="K3" i="5" s="1"/>
  <c r="L23" i="9"/>
  <c r="L22" i="4" l="1"/>
  <c r="L7" i="4"/>
  <c r="L10" i="4" s="1"/>
  <c r="L14" i="4" s="1"/>
  <c r="L16" i="4" s="1"/>
  <c r="L26" i="4"/>
  <c r="N26" i="4" s="1"/>
  <c r="L25" i="4"/>
  <c r="N25" i="4" s="1"/>
  <c r="K22" i="4"/>
  <c r="K26" i="4"/>
  <c r="K25" i="4"/>
  <c r="K55" i="2"/>
  <c r="K55" i="5" s="1"/>
  <c r="L7" i="9"/>
  <c r="J12" i="7"/>
  <c r="J35" i="3"/>
  <c r="I12" i="7"/>
  <c r="I35" i="3"/>
  <c r="J22" i="4"/>
  <c r="J26" i="4"/>
  <c r="J25" i="4"/>
  <c r="I22" i="4"/>
  <c r="I25" i="4"/>
  <c r="I26" i="4"/>
  <c r="I21" i="4"/>
  <c r="H12" i="7"/>
  <c r="H35" i="3"/>
  <c r="G12" i="7"/>
  <c r="G35" i="3"/>
  <c r="H22" i="4"/>
  <c r="H26" i="4"/>
  <c r="H25" i="4"/>
  <c r="G22" i="4"/>
  <c r="G26" i="4"/>
  <c r="G25" i="4"/>
  <c r="H9" i="9"/>
  <c r="H8" i="9"/>
  <c r="H25" i="2"/>
  <c r="H25" i="5" s="1"/>
  <c r="H24" i="4"/>
  <c r="H21" i="4"/>
  <c r="H28" i="4"/>
  <c r="L28" i="4"/>
  <c r="I24" i="4"/>
  <c r="J21" i="4"/>
  <c r="G25" i="2"/>
  <c r="G18" i="9" s="1"/>
  <c r="G9" i="9"/>
  <c r="G8" i="9"/>
  <c r="P41" i="9"/>
  <c r="J9" i="9"/>
  <c r="I25" i="2"/>
  <c r="I18" i="9" s="1"/>
  <c r="J25" i="2"/>
  <c r="J23" i="5"/>
  <c r="H15" i="9"/>
  <c r="I9" i="9"/>
  <c r="I8" i="9"/>
  <c r="L15" i="9"/>
  <c r="L21" i="4"/>
  <c r="L55" i="2"/>
  <c r="L55" i="5" s="1"/>
  <c r="L53" i="5"/>
  <c r="K35" i="3"/>
  <c r="K40" i="3" s="1"/>
  <c r="K38" i="7" s="1"/>
  <c r="L35" i="3"/>
  <c r="K28" i="4"/>
  <c r="G28" i="4"/>
  <c r="L19" i="4"/>
  <c r="J28" i="4"/>
  <c r="K24" i="4"/>
  <c r="G24" i="4"/>
  <c r="I28" i="4"/>
  <c r="J24" i="4"/>
  <c r="K21" i="4"/>
  <c r="G21" i="4"/>
  <c r="L24" i="4"/>
  <c r="L18" i="9"/>
  <c r="P46" i="9"/>
  <c r="G55" i="2"/>
  <c r="G55" i="5" s="1"/>
  <c r="I55" i="2"/>
  <c r="I55" i="5" s="1"/>
  <c r="H55" i="2"/>
  <c r="H55" i="5" s="1"/>
  <c r="K9" i="9"/>
  <c r="K8" i="9"/>
  <c r="K25" i="2"/>
  <c r="K25" i="5" s="1"/>
  <c r="L19" i="9"/>
  <c r="L22" i="9"/>
  <c r="N3" i="7"/>
  <c r="N3" i="5"/>
  <c r="K33" i="7" l="1"/>
  <c r="L20" i="4"/>
  <c r="J33" i="7"/>
  <c r="J40" i="3"/>
  <c r="J38" i="7" s="1"/>
  <c r="I33" i="7"/>
  <c r="I40" i="3"/>
  <c r="I38" i="7" s="1"/>
  <c r="H33" i="7"/>
  <c r="H40" i="3"/>
  <c r="H38" i="7" s="1"/>
  <c r="G33" i="7"/>
  <c r="G40" i="3"/>
  <c r="G38" i="7" s="1"/>
  <c r="H7" i="9"/>
  <c r="H18" i="9"/>
  <c r="L23" i="4"/>
  <c r="L27" i="4"/>
  <c r="J25" i="5"/>
  <c r="J7" i="9"/>
  <c r="J18" i="9"/>
  <c r="J15" i="9"/>
  <c r="I25" i="5"/>
  <c r="I7" i="9"/>
  <c r="I15" i="9"/>
  <c r="G25" i="5"/>
  <c r="G15" i="9"/>
  <c r="G7" i="9"/>
  <c r="L33" i="7"/>
  <c r="L40" i="3"/>
  <c r="L38" i="7" s="1"/>
  <c r="K7" i="9"/>
  <c r="K15" i="9"/>
  <c r="K18" i="9"/>
  <c r="C4" i="8"/>
  <c r="C6" i="8" s="1"/>
  <c r="C17" i="8" s="1"/>
  <c r="D4" i="8"/>
  <c r="D6" i="8" s="1"/>
  <c r="D17" i="8" s="1"/>
  <c r="E4" i="8"/>
  <c r="E6" i="8" s="1"/>
  <c r="E16" i="8" s="1"/>
  <c r="F4" i="8"/>
  <c r="F6" i="8" s="1"/>
  <c r="F11" i="8" s="1"/>
  <c r="F12" i="8" s="1"/>
  <c r="B4" i="8"/>
  <c r="B6" i="8" s="1"/>
  <c r="B10" i="8"/>
  <c r="C10" i="8"/>
  <c r="D10" i="8"/>
  <c r="E10" i="8"/>
  <c r="F10" i="8"/>
  <c r="F3" i="8"/>
  <c r="E3" i="8"/>
  <c r="D3" i="8"/>
  <c r="C3" i="8"/>
  <c r="B3" i="8"/>
  <c r="L26" i="9" l="1"/>
  <c r="L24" i="9"/>
  <c r="D16" i="8"/>
  <c r="E17" i="8"/>
  <c r="D15" i="8"/>
  <c r="B17" i="8"/>
  <c r="B16" i="8"/>
  <c r="B15" i="8"/>
  <c r="F15" i="8"/>
  <c r="F16" i="8"/>
  <c r="C15" i="8"/>
  <c r="C16" i="8"/>
  <c r="E15" i="8"/>
  <c r="F17" i="8"/>
  <c r="C11" i="8"/>
  <c r="C12" i="8" s="1"/>
  <c r="E11" i="8"/>
  <c r="E12" i="8" s="1"/>
  <c r="D11" i="8"/>
  <c r="D12" i="8" s="1"/>
  <c r="B11" i="8"/>
  <c r="B12" i="8" s="1"/>
  <c r="C13" i="9"/>
  <c r="D13" i="9"/>
  <c r="E13" i="9"/>
  <c r="F13" i="9"/>
  <c r="B13" i="9"/>
  <c r="C5" i="9"/>
  <c r="D5" i="9"/>
  <c r="E5" i="9"/>
  <c r="F5" i="9"/>
  <c r="B5" i="9"/>
  <c r="P16" i="9"/>
  <c r="R48" i="9"/>
  <c r="P35" i="9"/>
  <c r="T32" i="9"/>
  <c r="P15" i="9"/>
  <c r="L29" i="4" l="1"/>
  <c r="L25" i="9"/>
  <c r="P11" i="9"/>
  <c r="L27" i="9"/>
  <c r="P36" i="9"/>
  <c r="C3" i="2"/>
  <c r="D3" i="2"/>
  <c r="E3" i="2"/>
  <c r="F3" i="2"/>
  <c r="C3" i="3"/>
  <c r="D3" i="3"/>
  <c r="E3" i="3"/>
  <c r="F3" i="3"/>
  <c r="B3" i="3"/>
  <c r="B3" i="2"/>
  <c r="B33" i="3"/>
  <c r="C33" i="3"/>
  <c r="D33" i="3"/>
  <c r="E33" i="3"/>
  <c r="E31" i="7" s="1"/>
  <c r="N31" i="7" s="1"/>
  <c r="F33" i="3"/>
  <c r="F31" i="7" s="1"/>
  <c r="B35" i="2"/>
  <c r="B35" i="5" s="1"/>
  <c r="R52" i="9"/>
  <c r="C23" i="2"/>
  <c r="C23" i="5" s="1"/>
  <c r="D23" i="2"/>
  <c r="D23" i="5" s="1"/>
  <c r="E23" i="2"/>
  <c r="E23" i="5" s="1"/>
  <c r="N23" i="5" s="1"/>
  <c r="F23" i="2"/>
  <c r="F23" i="5" s="1"/>
  <c r="B13" i="2"/>
  <c r="B13" i="5" s="1"/>
  <c r="C13" i="2"/>
  <c r="C13" i="5" s="1"/>
  <c r="D13" i="2"/>
  <c r="D13" i="5" s="1"/>
  <c r="E13" i="2"/>
  <c r="E13" i="5" s="1"/>
  <c r="N13" i="5" s="1"/>
  <c r="F13" i="2"/>
  <c r="F13" i="5" s="1"/>
  <c r="D8" i="9" l="1"/>
  <c r="D9" i="9"/>
  <c r="C9" i="9"/>
  <c r="C8" i="9"/>
  <c r="D53" i="2"/>
  <c r="F8" i="9"/>
  <c r="F9" i="9"/>
  <c r="E9" i="9"/>
  <c r="E8" i="9"/>
  <c r="F53" i="2"/>
  <c r="F53" i="5" s="1"/>
  <c r="E53" i="2"/>
  <c r="E53" i="5" s="1"/>
  <c r="N53" i="5" s="1"/>
  <c r="C53" i="2"/>
  <c r="C53" i="5" s="1"/>
  <c r="B53" i="2"/>
  <c r="D25" i="2"/>
  <c r="D25" i="5" s="1"/>
  <c r="F25" i="2"/>
  <c r="F25" i="5" s="1"/>
  <c r="E25" i="2"/>
  <c r="E25" i="5" s="1"/>
  <c r="N25" i="5" s="1"/>
  <c r="C25" i="2"/>
  <c r="C25" i="5" s="1"/>
  <c r="A4" i="7"/>
  <c r="B3" i="7"/>
  <c r="C3" i="7"/>
  <c r="D3" i="7"/>
  <c r="E3" i="7"/>
  <c r="F3" i="7"/>
  <c r="A4" i="5"/>
  <c r="F3" i="5"/>
  <c r="B3" i="5"/>
  <c r="C3" i="5"/>
  <c r="D3" i="5"/>
  <c r="E3" i="5"/>
  <c r="B3" i="4"/>
  <c r="C3" i="4"/>
  <c r="D3" i="4"/>
  <c r="E3" i="4"/>
  <c r="F3" i="4"/>
  <c r="B4" i="4"/>
  <c r="B22" i="4" s="1"/>
  <c r="C4" i="4"/>
  <c r="C22" i="4" s="1"/>
  <c r="D4" i="4"/>
  <c r="D22" i="4" s="1"/>
  <c r="E4" i="4"/>
  <c r="E22" i="4" s="1"/>
  <c r="N22" i="4" s="1"/>
  <c r="F4" i="4"/>
  <c r="F22" i="4" s="1"/>
  <c r="B8" i="4"/>
  <c r="C8" i="4"/>
  <c r="D8" i="4"/>
  <c r="E8" i="4"/>
  <c r="N8" i="4" s="1"/>
  <c r="F8" i="4"/>
  <c r="B11" i="4"/>
  <c r="B14" i="4" s="1"/>
  <c r="C11" i="4"/>
  <c r="D11" i="4"/>
  <c r="E11" i="4"/>
  <c r="N11" i="4" s="1"/>
  <c r="F11" i="4"/>
  <c r="A4" i="4"/>
  <c r="A6" i="4"/>
  <c r="A19" i="4" s="1"/>
  <c r="A7" i="4"/>
  <c r="A20" i="4" s="1"/>
  <c r="A8" i="4"/>
  <c r="A21" i="4" s="1"/>
  <c r="A10" i="4"/>
  <c r="A23" i="4" s="1"/>
  <c r="A11" i="4"/>
  <c r="A24" i="4" s="1"/>
  <c r="A14" i="4"/>
  <c r="A27" i="4" s="1"/>
  <c r="A15" i="4"/>
  <c r="A28" i="4" s="1"/>
  <c r="A16" i="4"/>
  <c r="A29" i="4" s="1"/>
  <c r="N4" i="4" l="1"/>
  <c r="C24" i="4"/>
  <c r="F55" i="2"/>
  <c r="F55" i="5" s="1"/>
  <c r="T48" i="9"/>
  <c r="B55" i="2"/>
  <c r="B55" i="5" s="1"/>
  <c r="B53" i="5"/>
  <c r="D55" i="2"/>
  <c r="D55" i="5" s="1"/>
  <c r="D53" i="5"/>
  <c r="B24" i="4"/>
  <c r="B21" i="4"/>
  <c r="E55" i="2"/>
  <c r="E55" i="5" s="1"/>
  <c r="N55" i="5" s="1"/>
  <c r="D18" i="9"/>
  <c r="E7" i="9"/>
  <c r="E15" i="9"/>
  <c r="C55" i="2"/>
  <c r="C55" i="5" s="1"/>
  <c r="C18" i="9"/>
  <c r="F15" i="9"/>
  <c r="R38" i="9"/>
  <c r="F7" i="9"/>
  <c r="E18" i="9"/>
  <c r="D15" i="9"/>
  <c r="D7" i="9"/>
  <c r="C7" i="9"/>
  <c r="C15" i="9"/>
  <c r="F18" i="9"/>
  <c r="D21" i="4"/>
  <c r="F24" i="4"/>
  <c r="D24" i="4"/>
  <c r="C21" i="4"/>
  <c r="F21" i="4"/>
  <c r="E21" i="4"/>
  <c r="N21" i="4" s="1"/>
  <c r="E24" i="4"/>
  <c r="N24" i="4" s="1"/>
  <c r="B23" i="2"/>
  <c r="B23" i="5" s="1"/>
  <c r="B9" i="9" l="1"/>
  <c r="B8" i="9"/>
  <c r="B25" i="2"/>
  <c r="B25" i="5" s="1"/>
  <c r="B15" i="9" l="1"/>
  <c r="B7" i="9"/>
  <c r="B18" i="9"/>
  <c r="R13" i="9" l="1"/>
  <c r="T26" i="9" s="1"/>
  <c r="V33" i="9" s="1"/>
  <c r="C12" i="9"/>
  <c r="H12" i="9"/>
  <c r="F12" i="9"/>
  <c r="D12" i="9"/>
  <c r="C6" i="4"/>
  <c r="K12" i="9"/>
  <c r="B6" i="4"/>
  <c r="B7" i="4" s="1"/>
  <c r="B12" i="9"/>
  <c r="F6" i="4"/>
  <c r="G12" i="9"/>
  <c r="D6" i="4"/>
  <c r="D7" i="4" s="1"/>
  <c r="E12" i="9"/>
  <c r="E6" i="4"/>
  <c r="J12" i="9"/>
  <c r="J6" i="4"/>
  <c r="K6" i="4"/>
  <c r="K7" i="4" s="1"/>
  <c r="K10" i="4" s="1"/>
  <c r="K14" i="4" s="1"/>
  <c r="K16" i="4" s="1"/>
  <c r="H6" i="4"/>
  <c r="H7" i="4" s="1"/>
  <c r="H10" i="4" s="1"/>
  <c r="H14" i="4" s="1"/>
  <c r="H16" i="4" s="1"/>
  <c r="G6" i="4"/>
  <c r="G7" i="4" s="1"/>
  <c r="G10" i="4" s="1"/>
  <c r="G14" i="4" s="1"/>
  <c r="G16" i="4" s="1"/>
  <c r="I12" i="9"/>
  <c r="I6" i="4"/>
  <c r="I7" i="4" s="1"/>
  <c r="I10" i="4" s="1"/>
  <c r="I14" i="4" s="1"/>
  <c r="I16" i="4" s="1"/>
  <c r="H22" i="9"/>
  <c r="D7" i="1"/>
  <c r="F22" i="9"/>
  <c r="E22" i="9"/>
  <c r="C7" i="1"/>
  <c r="C22" i="9" s="1"/>
  <c r="B7" i="1"/>
  <c r="K22" i="9"/>
  <c r="J19" i="4" l="1"/>
  <c r="J7" i="4"/>
  <c r="J10" i="4" s="1"/>
  <c r="J14" i="4" s="1"/>
  <c r="J16" i="4" s="1"/>
  <c r="B20" i="4"/>
  <c r="G19" i="4"/>
  <c r="G20" i="4"/>
  <c r="H19" i="4"/>
  <c r="H20" i="4"/>
  <c r="N6" i="4"/>
  <c r="F19" i="4"/>
  <c r="F20" i="4"/>
  <c r="C19" i="4"/>
  <c r="C7" i="4"/>
  <c r="C20" i="4" s="1"/>
  <c r="D20" i="4"/>
  <c r="I19" i="4"/>
  <c r="I20" i="4"/>
  <c r="D10" i="1"/>
  <c r="B19" i="4"/>
  <c r="K19" i="4"/>
  <c r="I22" i="9"/>
  <c r="B22" i="9"/>
  <c r="G22" i="9"/>
  <c r="J22" i="9"/>
  <c r="K23" i="9"/>
  <c r="K19" i="9"/>
  <c r="B10" i="1"/>
  <c r="C10" i="1"/>
  <c r="C10" i="4" s="1"/>
  <c r="C14" i="4" s="1"/>
  <c r="D19" i="4"/>
  <c r="D22" i="9"/>
  <c r="K20" i="4"/>
  <c r="E19" i="4"/>
  <c r="N19" i="4" s="1"/>
  <c r="J20" i="4" l="1"/>
  <c r="D14" i="1"/>
  <c r="D15" i="4" s="1"/>
  <c r="D28" i="4" s="1"/>
  <c r="D10" i="4"/>
  <c r="K23" i="4"/>
  <c r="K27" i="4"/>
  <c r="F23" i="9"/>
  <c r="E19" i="9"/>
  <c r="F19" i="9"/>
  <c r="D19" i="9"/>
  <c r="D23" i="9"/>
  <c r="E23" i="9"/>
  <c r="F15" i="4"/>
  <c r="F28" i="4" s="1"/>
  <c r="E15" i="4"/>
  <c r="E20" i="4"/>
  <c r="N20" i="4" s="1"/>
  <c r="N7" i="4"/>
  <c r="F23" i="4"/>
  <c r="I23" i="9"/>
  <c r="I23" i="4"/>
  <c r="I19" i="9"/>
  <c r="J23" i="9"/>
  <c r="J19" i="9"/>
  <c r="D16" i="1"/>
  <c r="C23" i="4"/>
  <c r="C23" i="9"/>
  <c r="C19" i="9"/>
  <c r="C14" i="1"/>
  <c r="C15" i="4" s="1"/>
  <c r="C28" i="4" s="1"/>
  <c r="G19" i="9"/>
  <c r="G23" i="4"/>
  <c r="G23" i="9"/>
  <c r="H23" i="9"/>
  <c r="H23" i="4"/>
  <c r="H19" i="9"/>
  <c r="B23" i="4"/>
  <c r="B19" i="9"/>
  <c r="B23" i="9"/>
  <c r="B14" i="1"/>
  <c r="B15" i="4" s="1"/>
  <c r="B28" i="4" s="1"/>
  <c r="D14" i="4" l="1"/>
  <c r="D27" i="4" s="1"/>
  <c r="D23" i="4"/>
  <c r="J23" i="4"/>
  <c r="J27" i="4"/>
  <c r="E27" i="4"/>
  <c r="N27" i="4" s="1"/>
  <c r="F27" i="4"/>
  <c r="F26" i="9"/>
  <c r="E28" i="4"/>
  <c r="N28" i="4" s="1"/>
  <c r="N15" i="4"/>
  <c r="E16" i="1"/>
  <c r="E26" i="9" s="1"/>
  <c r="E23" i="4"/>
  <c r="N10" i="4"/>
  <c r="G27" i="4"/>
  <c r="D16" i="4"/>
  <c r="D26" i="9"/>
  <c r="D24" i="9"/>
  <c r="K24" i="9"/>
  <c r="K26" i="9"/>
  <c r="I27" i="4"/>
  <c r="C16" i="1"/>
  <c r="C27" i="4"/>
  <c r="B27" i="4"/>
  <c r="B16" i="1"/>
  <c r="H27" i="4"/>
  <c r="E24" i="9" l="1"/>
  <c r="F27" i="9"/>
  <c r="F24" i="9"/>
  <c r="N16" i="4"/>
  <c r="N14" i="4"/>
  <c r="K29" i="4"/>
  <c r="E12" i="3"/>
  <c r="B16" i="4"/>
  <c r="B26" i="9"/>
  <c r="B24" i="9"/>
  <c r="I24" i="9"/>
  <c r="I26" i="9"/>
  <c r="F25" i="9"/>
  <c r="H24" i="9"/>
  <c r="H26" i="9"/>
  <c r="J24" i="9"/>
  <c r="J26" i="9"/>
  <c r="D12" i="3"/>
  <c r="G26" i="9"/>
  <c r="G24" i="9"/>
  <c r="C24" i="9"/>
  <c r="C26" i="9"/>
  <c r="C16" i="4"/>
  <c r="E25" i="9"/>
  <c r="K27" i="9"/>
  <c r="K25" i="9"/>
  <c r="D29" i="4"/>
  <c r="D25" i="9"/>
  <c r="D27" i="9"/>
  <c r="D12" i="7" l="1"/>
  <c r="D35" i="3"/>
  <c r="F12" i="7"/>
  <c r="F35" i="3"/>
  <c r="E12" i="7"/>
  <c r="N12" i="7" s="1"/>
  <c r="E35" i="3"/>
  <c r="F29" i="4"/>
  <c r="E27" i="9"/>
  <c r="E29" i="4"/>
  <c r="N29" i="4" s="1"/>
  <c r="H29" i="4"/>
  <c r="J29" i="4"/>
  <c r="B29" i="4"/>
  <c r="G29" i="4"/>
  <c r="I29" i="4"/>
  <c r="B12" i="3"/>
  <c r="C12" i="3"/>
  <c r="H25" i="9"/>
  <c r="H27" i="9"/>
  <c r="B25" i="9"/>
  <c r="B27" i="9"/>
  <c r="J25" i="9"/>
  <c r="J27" i="9"/>
  <c r="C27" i="9"/>
  <c r="C29" i="4"/>
  <c r="C25" i="9"/>
  <c r="G25" i="9"/>
  <c r="G27" i="9"/>
  <c r="I27" i="9"/>
  <c r="I25" i="9"/>
  <c r="C12" i="7" l="1"/>
  <c r="C35" i="3"/>
  <c r="D33" i="7"/>
  <c r="D40" i="3"/>
  <c r="D38" i="7" s="1"/>
  <c r="B12" i="7"/>
  <c r="B35" i="3"/>
  <c r="F33" i="7"/>
  <c r="F40" i="3"/>
  <c r="F38" i="7" s="1"/>
  <c r="E33" i="7"/>
  <c r="N33" i="7" s="1"/>
  <c r="E40" i="3"/>
  <c r="E38" i="7" s="1"/>
  <c r="N38" i="7" s="1"/>
  <c r="C33" i="7" l="1"/>
  <c r="C40" i="3"/>
  <c r="C38" i="7" s="1"/>
  <c r="B33" i="7"/>
  <c r="B40" i="3"/>
  <c r="B38" i="7" s="1"/>
</calcChain>
</file>

<file path=xl/comments1.xml><?xml version="1.0" encoding="utf-8"?>
<comments xmlns="http://schemas.openxmlformats.org/spreadsheetml/2006/main">
  <authors>
    <author>Palesa Ramashala</author>
  </authors>
  <commentList>
    <comment ref="A1" authorId="0" shapeId="0">
      <text>
        <r>
          <rPr>
            <b/>
            <sz val="9"/>
            <color indexed="81"/>
            <rFont val="Tahoma"/>
            <family val="2"/>
          </rPr>
          <t>Palesa Ramashala:</t>
        </r>
        <r>
          <rPr>
            <sz val="9"/>
            <color indexed="81"/>
            <rFont val="Tahoma"/>
            <family val="2"/>
          </rPr>
          <t xml:space="preserve">
Information obtained from the latest IR for relevance.</t>
        </r>
      </text>
    </comment>
  </commentList>
</comments>
</file>

<file path=xl/sharedStrings.xml><?xml version="1.0" encoding="utf-8"?>
<sst xmlns="http://schemas.openxmlformats.org/spreadsheetml/2006/main" count="447" uniqueCount="329">
  <si>
    <t>Cashflow Statement</t>
  </si>
  <si>
    <t>Balance Sheet</t>
  </si>
  <si>
    <t>Income Statement</t>
  </si>
  <si>
    <t>Revenue</t>
  </si>
  <si>
    <t>Cost of sales</t>
  </si>
  <si>
    <t xml:space="preserve">    Operating expenses</t>
  </si>
  <si>
    <t>Profits before tax</t>
  </si>
  <si>
    <t>Profit for the year</t>
  </si>
  <si>
    <t>Finance cost (Interest)</t>
  </si>
  <si>
    <t>Income tax expense</t>
  </si>
  <si>
    <t>Operating profit (EBIT)</t>
  </si>
  <si>
    <t>Non-current assets</t>
  </si>
  <si>
    <t>ASSETS</t>
  </si>
  <si>
    <t>Total non-current assets</t>
  </si>
  <si>
    <t>Current assets</t>
  </si>
  <si>
    <t>Total current assets</t>
  </si>
  <si>
    <t>TOTAL ASSETS</t>
  </si>
  <si>
    <t>EQUITY AND LIABILITIES</t>
  </si>
  <si>
    <t>Equity attributable to owners</t>
  </si>
  <si>
    <t>Total equity</t>
  </si>
  <si>
    <t>Non-current liabilities</t>
  </si>
  <si>
    <t>Deferred tax</t>
  </si>
  <si>
    <t>Total non-current liabilities</t>
  </si>
  <si>
    <t>Current Liabilities</t>
  </si>
  <si>
    <t>Trade and other payables</t>
  </si>
  <si>
    <t>Total current liabilities</t>
  </si>
  <si>
    <t>TOTAL LIABILITIES</t>
  </si>
  <si>
    <t>TOTAL EQUITY AND LIABILITIES</t>
  </si>
  <si>
    <t>Cashflow from operating activities</t>
  </si>
  <si>
    <t>Cash provided by operating activities</t>
  </si>
  <si>
    <t>Cashflow from investment activities</t>
  </si>
  <si>
    <t>Cash provided by investment activities</t>
  </si>
  <si>
    <t>Cashflow from financing activities</t>
  </si>
  <si>
    <t>Cash provided by financing activities</t>
  </si>
  <si>
    <t>Net increase in cash and cash equivalents</t>
  </si>
  <si>
    <t>Du-Pont Analysis</t>
  </si>
  <si>
    <t>Income Statement Analysis</t>
  </si>
  <si>
    <t>Balance Sheet Analysis</t>
  </si>
  <si>
    <t>Cashflow Analysis</t>
  </si>
  <si>
    <t>Operational Analysis</t>
  </si>
  <si>
    <t>Gross profit</t>
  </si>
  <si>
    <t>Gross profit margin</t>
  </si>
  <si>
    <t>Operating profit margin</t>
  </si>
  <si>
    <t xml:space="preserve">Sales </t>
  </si>
  <si>
    <t>minus</t>
  </si>
  <si>
    <t>Earnings available for ordianary shareholders</t>
  </si>
  <si>
    <t>Cost of Goods Sold</t>
  </si>
  <si>
    <t>Net profit margin</t>
  </si>
  <si>
    <t>Operating Expenses</t>
  </si>
  <si>
    <t>Interest Expenses</t>
  </si>
  <si>
    <t>Return on total assets (ROA)</t>
  </si>
  <si>
    <t>Taxes</t>
  </si>
  <si>
    <t>multiplied by</t>
  </si>
  <si>
    <t>Preference share Dividend</t>
  </si>
  <si>
    <t>Return on ordinary shareholder's equity (ROE)</t>
  </si>
  <si>
    <t>Current Assest</t>
  </si>
  <si>
    <t>Total asset turnover</t>
  </si>
  <si>
    <t>plus</t>
  </si>
  <si>
    <t>divided by</t>
  </si>
  <si>
    <t>Non current assets</t>
  </si>
  <si>
    <t>Total assets</t>
  </si>
  <si>
    <t>Total liabilities and shareholder's equity = Total assets</t>
  </si>
  <si>
    <t>Current liabilities</t>
  </si>
  <si>
    <t>Total liabilities</t>
  </si>
  <si>
    <t>Financial leverage multiplyer (FLM)</t>
  </si>
  <si>
    <t>Non current liabilities</t>
  </si>
  <si>
    <t>Shareholder's equity</t>
  </si>
  <si>
    <t>Ordinary shareholder's equity</t>
  </si>
  <si>
    <t>Current ratio</t>
  </si>
  <si>
    <t>Liquidity</t>
  </si>
  <si>
    <t>Quick ratio</t>
  </si>
  <si>
    <t>Activity</t>
  </si>
  <si>
    <t>Inventory turnover</t>
  </si>
  <si>
    <t>Total assets turnover</t>
  </si>
  <si>
    <t>Debt</t>
  </si>
  <si>
    <t>Debt ratio</t>
  </si>
  <si>
    <t>Times interest earned ratio</t>
  </si>
  <si>
    <t>Profitability</t>
  </si>
  <si>
    <t>Earnings per share (EPS)</t>
  </si>
  <si>
    <t>Return on common equity (ROE)</t>
  </si>
  <si>
    <t>Working capital</t>
  </si>
  <si>
    <t>Average collection period (days)</t>
  </si>
  <si>
    <t>Average payment period (days)</t>
  </si>
  <si>
    <t>Scoring and Ranking</t>
  </si>
  <si>
    <t>Rate card</t>
  </si>
  <si>
    <t>Description</t>
  </si>
  <si>
    <t>Fully in place</t>
  </si>
  <si>
    <t>Some evidence</t>
  </si>
  <si>
    <t>No evidence</t>
  </si>
  <si>
    <t>Indication</t>
  </si>
  <si>
    <t>Partially in place</t>
  </si>
  <si>
    <t>Sales</t>
  </si>
  <si>
    <t>Returns</t>
  </si>
  <si>
    <t>Labour cost</t>
  </si>
  <si>
    <t>Salaries</t>
  </si>
  <si>
    <t>Cost of material</t>
  </si>
  <si>
    <t>Labour as % of sales</t>
  </si>
  <si>
    <t>Salaries  as % of sales</t>
  </si>
  <si>
    <t>Material  as % of sales</t>
  </si>
  <si>
    <t>Financial Analysis</t>
  </si>
  <si>
    <t>CAGR</t>
  </si>
  <si>
    <t>Learning performance</t>
  </si>
  <si>
    <t>Internal processes performance</t>
  </si>
  <si>
    <t>Customer performance</t>
  </si>
  <si>
    <t>Actual</t>
  </si>
  <si>
    <t>Target</t>
  </si>
  <si>
    <t>Net Profit %</t>
  </si>
  <si>
    <t>Comments</t>
  </si>
  <si>
    <t>Gross Margin %</t>
  </si>
  <si>
    <t>Net Profit</t>
  </si>
  <si>
    <t>Gross Margin</t>
  </si>
  <si>
    <t>Revenues</t>
  </si>
  <si>
    <t>Financial performance</t>
  </si>
  <si>
    <t>Balance Scorecard</t>
  </si>
  <si>
    <t>Strategic Objectives</t>
  </si>
  <si>
    <t>Overall objective:</t>
  </si>
  <si>
    <t>Strategy and Strategic Intent</t>
  </si>
  <si>
    <t>Case Organisation:</t>
  </si>
  <si>
    <t>Desktop Review</t>
  </si>
  <si>
    <t>Growth Strategy</t>
  </si>
  <si>
    <t>Vision</t>
  </si>
  <si>
    <t>Mission</t>
  </si>
  <si>
    <t>Values</t>
  </si>
  <si>
    <t>Business structure / units</t>
  </si>
  <si>
    <t>Geographical coverage</t>
  </si>
  <si>
    <t>CEO</t>
  </si>
  <si>
    <t>CFO</t>
  </si>
  <si>
    <t>Chairperson</t>
  </si>
  <si>
    <t>Financial Year</t>
  </si>
  <si>
    <t>Property, plant and equipment</t>
  </si>
  <si>
    <t>Intangible assets</t>
  </si>
  <si>
    <t>Financial assets</t>
  </si>
  <si>
    <t>Trade and other receivables</t>
  </si>
  <si>
    <t>Financial receivables</t>
  </si>
  <si>
    <t>Deffered tax</t>
  </si>
  <si>
    <t>Inventrory</t>
  </si>
  <si>
    <t>Finance receivable</t>
  </si>
  <si>
    <t>Tax receivable</t>
  </si>
  <si>
    <t>Treasury shares</t>
  </si>
  <si>
    <t>Other reserves</t>
  </si>
  <si>
    <t>Non-controling interest</t>
  </si>
  <si>
    <t>Provisions</t>
  </si>
  <si>
    <t>Tax payable</t>
  </si>
  <si>
    <t>Bank overdrafts</t>
  </si>
  <si>
    <t>Tax paid</t>
  </si>
  <si>
    <t>Additions to property, plant and equipment and intangible assets</t>
  </si>
  <si>
    <t>Cash and cash equivalents at the biggining of the year</t>
  </si>
  <si>
    <t>Effect of foreign exchange rate changes</t>
  </si>
  <si>
    <t>Cash and cash equivalents at the end of the year</t>
  </si>
  <si>
    <t>Basic EPS</t>
  </si>
  <si>
    <t>Diluted EPS</t>
  </si>
  <si>
    <t>Mintek is South Africa’s national mineral research organisation and is one of the world’s leading technology organisations specialising in mineral processing, extractive metallurgy and related areas. Mintek works closely with industry and other R&amp;D institutions and provides service testwork, process development and optimisation, consulting and innovative products to clients worldwide. Mintek is a state owned science council which reports to the Minister of Mineral Resources.
Mintek’s mandate is to serve the national interest through research, development and technology transfer, to promote mineral technology and to foster the establishment and expansion of industries in the field of minerals and products derived therefrom.</t>
  </si>
  <si>
    <t>Mandate</t>
  </si>
  <si>
    <t>To serve the national interest through research, development and technology transfer, to promote mineral technology and to foster the establishment and expansion of industries in the field of minerals and products derived therefrom.</t>
  </si>
  <si>
    <t>To be a global leader in mineral and metallurgical innovation.</t>
  </si>
  <si>
    <t>To serve our stakeholders by adding value to mineral resources through technology, industrial growth and human development in a sustainable manner.</t>
  </si>
  <si>
    <t>Objectives</t>
  </si>
  <si>
    <t>*   Develop efficient mineral processing technologies and sustainable value added products and services
*   Second economy interventions
*   Human and organisational development
*   Good governance</t>
  </si>
  <si>
    <t>Services</t>
  </si>
  <si>
    <t>*   Advanced minerals
*   Analytical Services
*   Biotechnology
*   Hydrometallurgy
*   Measurement and control solutions
*   Mineral economics and strategy
*   Minerals processing
*   Mineralogy
*   Pyrometallurgy
*   Small scale and beneficiation</t>
  </si>
  <si>
    <t>South Africa</t>
  </si>
  <si>
    <t>Investment in subsidiaries</t>
  </si>
  <si>
    <t>Long term loans and advances</t>
  </si>
  <si>
    <t>R</t>
  </si>
  <si>
    <t>Short term investments</t>
  </si>
  <si>
    <t>Cash and cash equivalents</t>
  </si>
  <si>
    <t>Reserves</t>
  </si>
  <si>
    <t>Retained income</t>
  </si>
  <si>
    <t>Finance lease obligation</t>
  </si>
  <si>
    <t>Retirement benefit obligation</t>
  </si>
  <si>
    <t>Loan from group companies</t>
  </si>
  <si>
    <t>Diferred income</t>
  </si>
  <si>
    <t>Other operating income</t>
  </si>
  <si>
    <t>Employee Costs</t>
  </si>
  <si>
    <t>Depreciation, amortisation and impairments</t>
  </si>
  <si>
    <t xml:space="preserve">    Actuarial gains</t>
  </si>
  <si>
    <t>Profit/(Loss on) sale of assets and liabilities</t>
  </si>
  <si>
    <t>Cash receipts from customers</t>
  </si>
  <si>
    <t>Cash paid to suppliers and employees</t>
  </si>
  <si>
    <t>Interest received</t>
  </si>
  <si>
    <t>Provision utilised</t>
  </si>
  <si>
    <t>Finance costs</t>
  </si>
  <si>
    <t>Funding received towards purchasing of property, plant and equipment</t>
  </si>
  <si>
    <t>Additions to intangible assets</t>
  </si>
  <si>
    <t>Funding received towards intangible assets</t>
  </si>
  <si>
    <t>Increase in investments</t>
  </si>
  <si>
    <t>Receipts from subsidiary</t>
  </si>
  <si>
    <t>Long term creditor payments</t>
  </si>
  <si>
    <t>Post retirement health care settlement</t>
  </si>
  <si>
    <t>*   Creativity
*   Team work
*   Results orientation
*   Respect and dignity
*   Integrity</t>
  </si>
  <si>
    <t>General comments</t>
  </si>
  <si>
    <t>The results for 2014 were restated and the restated results were used in the analysis</t>
  </si>
  <si>
    <t>Repayment of pension fund liability</t>
  </si>
  <si>
    <t>Sales of property, plan and equipment</t>
  </si>
  <si>
    <t>Tax received</t>
  </si>
  <si>
    <t>Mr Mohau Mphomela</t>
  </si>
  <si>
    <t>Mr Abiel Mngomezulu</t>
  </si>
  <si>
    <t>Mr Sakhi Simelane</t>
  </si>
  <si>
    <t>Stakeholder Perspective: Develop efficient mineral processing technologies and sustainable value added products and services</t>
  </si>
  <si>
    <t>Stakeholder Perspective: Second economy interventions</t>
  </si>
  <si>
    <t>*   Development of technoligies relevant to SMMEs
*   Support SMME development using Minteck technologies / service</t>
  </si>
  <si>
    <t>Stakeholder Perspective: Support of regional interventions</t>
  </si>
  <si>
    <t>*   Policy Support</t>
  </si>
  <si>
    <t>Financial Perspective: Good Governance</t>
  </si>
  <si>
    <t>*   Compaliance
*   Financial management
*   Efficiencies
*   Quality, environment and safety
*   Energy efficiency
*   Corporate governance and compliance</t>
  </si>
  <si>
    <t>Learning and Growth Perspective: Human and organisational development</t>
  </si>
  <si>
    <t xml:space="preserve">*   Human capital development
*   Transformation
*   Performance Management
*   Talent leadership
*   Maintain world class R&amp;D competence
*   Integrated approach to marketing and communication
</t>
  </si>
  <si>
    <t>Entranching good business principles</t>
  </si>
  <si>
    <r>
      <t xml:space="preserve">*   </t>
    </r>
    <r>
      <rPr>
        <sz val="11"/>
        <color rgb="FF009632"/>
        <rFont val="Arial"/>
        <family val="2"/>
      </rPr>
      <t>Develop analytical &amp; mineralogical methods and services</t>
    </r>
    <r>
      <rPr>
        <sz val="11"/>
        <color theme="1"/>
        <rFont val="Arial"/>
        <family val="2"/>
      </rPr>
      <t xml:space="preserve">, </t>
    </r>
    <r>
      <rPr>
        <sz val="11"/>
        <color rgb="FFFFC000"/>
        <rFont val="Arial"/>
        <family val="2"/>
      </rPr>
      <t>Develop new technology</t>
    </r>
    <r>
      <rPr>
        <sz val="11"/>
        <color theme="1"/>
        <rFont val="Arial"/>
        <family val="2"/>
      </rPr>
      <t xml:space="preserve">, </t>
    </r>
    <r>
      <rPr>
        <sz val="11"/>
        <color rgb="FF009632"/>
        <rFont val="Arial"/>
        <family val="2"/>
      </rPr>
      <t>Sales of products, plant and equipment</t>
    </r>
    <r>
      <rPr>
        <sz val="11"/>
        <color theme="1"/>
        <rFont val="Arial"/>
        <family val="2"/>
      </rPr>
      <t xml:space="preserve">, </t>
    </r>
    <r>
      <rPr>
        <sz val="11"/>
        <color rgb="FF009632"/>
        <rFont val="Arial"/>
        <family val="2"/>
      </rPr>
      <t>Investigations and feasibility studies</t>
    </r>
    <r>
      <rPr>
        <sz val="11"/>
        <color theme="1"/>
        <rFont val="Arial"/>
        <family val="2"/>
      </rPr>
      <t xml:space="preserve">, </t>
    </r>
    <r>
      <rPr>
        <sz val="11"/>
        <color rgb="FFFFC000"/>
        <rFont val="Arial"/>
        <family val="2"/>
      </rPr>
      <t xml:space="preserve">Enhancing Mintek reputation
</t>
    </r>
    <r>
      <rPr>
        <sz val="11"/>
        <rFont val="Arial"/>
        <family val="2"/>
      </rPr>
      <t xml:space="preserve">*   </t>
    </r>
    <r>
      <rPr>
        <sz val="11"/>
        <color rgb="FF009632"/>
        <rFont val="Arial"/>
        <family val="2"/>
      </rPr>
      <t>Develop applications for precious metals</t>
    </r>
    <r>
      <rPr>
        <sz val="11"/>
        <rFont val="Arial"/>
        <family val="2"/>
      </rPr>
      <t xml:space="preserve">, </t>
    </r>
    <r>
      <rPr>
        <sz val="11"/>
        <color rgb="FFFFC000"/>
        <rFont val="Arial"/>
        <family val="2"/>
      </rPr>
      <t>Develop metallurgical process and products</t>
    </r>
    <r>
      <rPr>
        <sz val="11"/>
        <rFont val="Arial"/>
        <family val="2"/>
      </rPr>
      <t xml:space="preserve">, </t>
    </r>
    <r>
      <rPr>
        <sz val="11"/>
        <color rgb="FF009632"/>
        <rFont val="Arial"/>
        <family val="2"/>
      </rPr>
      <t>Enhance Mintek Reputation</t>
    </r>
    <r>
      <rPr>
        <sz val="11"/>
        <rFont val="Arial"/>
        <family val="2"/>
      </rPr>
      <t xml:space="preserve">
*   </t>
    </r>
    <r>
      <rPr>
        <sz val="11"/>
        <color rgb="FFFFC000"/>
        <rFont val="Arial"/>
        <family val="2"/>
      </rPr>
      <t>Water in minerals processing</t>
    </r>
    <r>
      <rPr>
        <sz val="11"/>
        <rFont val="Arial"/>
        <family val="2"/>
      </rPr>
      <t xml:space="preserve">, </t>
    </r>
    <r>
      <rPr>
        <sz val="11"/>
        <color rgb="FF009632"/>
        <rFont val="Arial"/>
        <family val="2"/>
      </rPr>
      <t>Energy in mineral processing</t>
    </r>
    <r>
      <rPr>
        <sz val="11"/>
        <rFont val="Arial"/>
        <family val="2"/>
      </rPr>
      <t xml:space="preserve">, </t>
    </r>
    <r>
      <rPr>
        <sz val="11"/>
        <color rgb="FF009632"/>
        <rFont val="Arial"/>
        <family val="2"/>
      </rPr>
      <t>Waste management and recycling</t>
    </r>
    <r>
      <rPr>
        <sz val="11"/>
        <rFont val="Arial"/>
        <family val="2"/>
      </rPr>
      <t xml:space="preserve">, </t>
    </r>
    <r>
      <rPr>
        <sz val="11"/>
        <color rgb="FF009632"/>
        <rFont val="Arial"/>
        <family val="2"/>
      </rPr>
      <t>Mineral scans</t>
    </r>
    <r>
      <rPr>
        <sz val="11"/>
        <rFont val="Arial"/>
        <family val="2"/>
      </rPr>
      <t xml:space="preserve">, </t>
    </r>
    <r>
      <rPr>
        <sz val="11"/>
        <color rgb="FFFFC000"/>
        <rFont val="Arial"/>
        <family val="2"/>
      </rPr>
      <t>Side stream and downstream development of mineral value chain</t>
    </r>
    <r>
      <rPr>
        <sz val="11"/>
        <rFont val="Arial"/>
        <family val="2"/>
      </rPr>
      <t xml:space="preserve">, </t>
    </r>
    <r>
      <rPr>
        <sz val="11"/>
        <color rgb="FF009632"/>
        <rFont val="Arial"/>
        <family val="2"/>
      </rPr>
      <t>Mineral infrastructure and logistic studies</t>
    </r>
    <r>
      <rPr>
        <sz val="11"/>
        <rFont val="Arial"/>
        <family val="2"/>
      </rPr>
      <t xml:space="preserve">, </t>
    </r>
    <r>
      <rPr>
        <sz val="11"/>
        <color rgb="FF009632"/>
        <rFont val="Arial"/>
        <family val="2"/>
      </rPr>
      <t>Enhancing Mintek Reputation</t>
    </r>
    <r>
      <rPr>
        <sz val="11"/>
        <rFont val="Arial"/>
        <family val="2"/>
      </rPr>
      <t xml:space="preserve">
*   </t>
    </r>
    <r>
      <rPr>
        <sz val="11"/>
        <color rgb="FFFF0000"/>
        <rFont val="Arial"/>
        <family val="2"/>
      </rPr>
      <t>Technical assistance</t>
    </r>
  </si>
  <si>
    <t>*   Competitive technologies, products and services for optimual resource utilisation.
*   Beneficiation to value added products.
*   Sustainable resource management.
*   Support the development of Junior Resource Companies (JRC).</t>
  </si>
  <si>
    <r>
      <t xml:space="preserve">*   </t>
    </r>
    <r>
      <rPr>
        <sz val="11"/>
        <color rgb="FF009632"/>
        <rFont val="Arial"/>
        <family val="2"/>
      </rPr>
      <t>High value minerals</t>
    </r>
    <r>
      <rPr>
        <sz val="11"/>
        <color theme="1"/>
        <rFont val="Arial"/>
        <family val="2"/>
      </rPr>
      <t xml:space="preserve">, </t>
    </r>
    <r>
      <rPr>
        <sz val="11"/>
        <color rgb="FFFFC000"/>
        <rFont val="Arial"/>
        <family val="2"/>
      </rPr>
      <t>Low value (bulk) minerals</t>
    </r>
    <r>
      <rPr>
        <sz val="11"/>
        <color theme="1"/>
        <rFont val="Arial"/>
        <family val="2"/>
      </rPr>
      <t xml:space="preserve">
*   </t>
    </r>
    <r>
      <rPr>
        <sz val="11"/>
        <color rgb="FF009632"/>
        <rFont val="Arial"/>
        <family val="2"/>
      </rPr>
      <t>Development and support of SMMes, 2nd Economy strategy</t>
    </r>
  </si>
  <si>
    <r>
      <t xml:space="preserve">*   </t>
    </r>
    <r>
      <rPr>
        <sz val="11"/>
        <color rgb="FFFFC000"/>
        <rFont val="Arial"/>
        <family val="2"/>
      </rPr>
      <t>Alluvial diamond finger printing competency</t>
    </r>
    <r>
      <rPr>
        <sz val="11"/>
        <color theme="1"/>
        <rFont val="Arial"/>
        <family val="2"/>
      </rPr>
      <t xml:space="preserve">, </t>
    </r>
    <r>
      <rPr>
        <sz val="11"/>
        <color rgb="FFFF0000"/>
        <rFont val="Arial"/>
        <family val="2"/>
      </rPr>
      <t>Socio-econimic research and analysis as per DMR request</t>
    </r>
    <r>
      <rPr>
        <sz val="11"/>
        <color theme="1"/>
        <rFont val="Arial"/>
        <family val="2"/>
      </rPr>
      <t xml:space="preserve">, </t>
    </r>
    <r>
      <rPr>
        <sz val="11"/>
        <color rgb="FF009632"/>
        <rFont val="Arial"/>
        <family val="2"/>
      </rPr>
      <t>Socio-economic management</t>
    </r>
  </si>
  <si>
    <r>
      <t xml:space="preserve">*  </t>
    </r>
    <r>
      <rPr>
        <sz val="11"/>
        <color rgb="FF009632"/>
        <rFont val="Arial"/>
        <family val="2"/>
      </rPr>
      <t xml:space="preserve"> IFRS Compliance</t>
    </r>
    <r>
      <rPr>
        <sz val="11"/>
        <color theme="1"/>
        <rFont val="Arial"/>
        <family val="2"/>
      </rPr>
      <t xml:space="preserve">
*   </t>
    </r>
    <r>
      <rPr>
        <sz val="11"/>
        <color rgb="FF009632"/>
        <rFont val="Arial"/>
        <family val="2"/>
      </rPr>
      <t>BEE procurement as a % of total discretionary spend</t>
    </r>
    <r>
      <rPr>
        <sz val="11"/>
        <color theme="1"/>
        <rFont val="Arial"/>
        <family val="2"/>
      </rPr>
      <t xml:space="preserve">, </t>
    </r>
    <r>
      <rPr>
        <sz val="11"/>
        <color rgb="FF009632"/>
        <rFont val="Arial"/>
        <family val="2"/>
      </rPr>
      <t>Strenthening internal financial controls</t>
    </r>
    <r>
      <rPr>
        <sz val="11"/>
        <color theme="1"/>
        <rFont val="Arial"/>
        <family val="2"/>
      </rPr>
      <t xml:space="preserve">, </t>
    </r>
    <r>
      <rPr>
        <sz val="11"/>
        <color rgb="FFFF0000"/>
        <rFont val="Arial"/>
        <family val="2"/>
      </rPr>
      <t>Actual debtors write-off</t>
    </r>
    <r>
      <rPr>
        <sz val="11"/>
        <color theme="1"/>
        <rFont val="Arial"/>
        <family val="2"/>
      </rPr>
      <t xml:space="preserve">, </t>
    </r>
    <r>
      <rPr>
        <sz val="11"/>
        <color rgb="FFFF0000"/>
        <rFont val="Arial"/>
        <family val="2"/>
      </rPr>
      <t>Total income</t>
    </r>
    <r>
      <rPr>
        <sz val="11"/>
        <color theme="1"/>
        <rFont val="Arial"/>
        <family val="2"/>
      </rPr>
      <t xml:space="preserve">, </t>
    </r>
    <r>
      <rPr>
        <sz val="11"/>
        <color rgb="FFFF0000"/>
        <rFont val="Arial"/>
        <family val="2"/>
      </rPr>
      <t>Total state grant revenue</t>
    </r>
    <r>
      <rPr>
        <sz val="11"/>
        <color theme="1"/>
        <rFont val="Arial"/>
        <family val="2"/>
      </rPr>
      <t xml:space="preserve">, </t>
    </r>
    <r>
      <rPr>
        <sz val="11"/>
        <color rgb="FFFF0000"/>
        <rFont val="Arial"/>
        <family val="2"/>
      </rPr>
      <t>Net result</t>
    </r>
    <r>
      <rPr>
        <sz val="11"/>
        <color theme="1"/>
        <rFont val="Arial"/>
        <family val="2"/>
      </rPr>
      <t xml:space="preserve">, </t>
    </r>
    <r>
      <rPr>
        <sz val="11"/>
        <color rgb="FF009632"/>
        <rFont val="Arial"/>
        <family val="2"/>
      </rPr>
      <t>Return on investment, Total capital expenditure</t>
    </r>
    <r>
      <rPr>
        <sz val="11"/>
        <color theme="1"/>
        <rFont val="Arial"/>
        <family val="2"/>
      </rPr>
      <t xml:space="preserve">
*   </t>
    </r>
    <r>
      <rPr>
        <sz val="11"/>
        <color rgb="FF009632"/>
        <rFont val="Arial"/>
        <family val="2"/>
      </rPr>
      <t>Maintained balance between R&amp;D and products &amp; service revenue streams</t>
    </r>
    <r>
      <rPr>
        <sz val="11"/>
        <color theme="1"/>
        <rFont val="Arial"/>
        <family val="2"/>
      </rPr>
      <t xml:space="preserve">, </t>
    </r>
    <r>
      <rPr>
        <sz val="11"/>
        <color rgb="FFFF0000"/>
        <rFont val="Arial"/>
        <family val="2"/>
      </rPr>
      <t>Total of overhead cost to total costs, Liquidity ratio</t>
    </r>
    <r>
      <rPr>
        <sz val="11"/>
        <color theme="1"/>
        <rFont val="Arial"/>
        <family val="2"/>
      </rPr>
      <t xml:space="preserve">, </t>
    </r>
    <r>
      <rPr>
        <sz val="11"/>
        <color rgb="FFFF0000"/>
        <rFont val="Arial"/>
        <family val="2"/>
      </rPr>
      <t>Revenue per head, TCTC salary bill over total expenditure</t>
    </r>
    <r>
      <rPr>
        <sz val="11"/>
        <color theme="1"/>
        <rFont val="Arial"/>
        <family val="2"/>
      </rPr>
      <t xml:space="preserve">
*   </t>
    </r>
    <r>
      <rPr>
        <sz val="11"/>
        <color rgb="FFFFC000"/>
        <rFont val="Arial"/>
        <family val="2"/>
      </rPr>
      <t>Maintain QES standards</t>
    </r>
    <r>
      <rPr>
        <sz val="11"/>
        <color theme="1"/>
        <rFont val="Arial"/>
        <family val="2"/>
      </rPr>
      <t xml:space="preserve">
*   </t>
    </r>
    <r>
      <rPr>
        <sz val="11"/>
        <color rgb="FF009632"/>
        <rFont val="Arial"/>
        <family val="2"/>
      </rPr>
      <t>Continual improvement in energy efficiency</t>
    </r>
    <r>
      <rPr>
        <sz val="11"/>
        <color theme="1"/>
        <rFont val="Arial"/>
        <family val="2"/>
      </rPr>
      <t xml:space="preserve">
*  </t>
    </r>
    <r>
      <rPr>
        <sz val="11"/>
        <color rgb="FF009632"/>
        <rFont val="Arial"/>
        <family val="2"/>
      </rPr>
      <t xml:space="preserve"> Compliance with appropriate regulations and legislation, Internal audits conducted, Eradicate fraud through awareness campaigns</t>
    </r>
  </si>
  <si>
    <r>
      <t xml:space="preserve">*   </t>
    </r>
    <r>
      <rPr>
        <sz val="11"/>
        <color rgb="FFFFC000"/>
        <rFont val="Arial"/>
        <family val="2"/>
      </rPr>
      <t>Skills development, Science, technology, engineering and mathematics promotion</t>
    </r>
    <r>
      <rPr>
        <sz val="11"/>
        <color theme="1"/>
        <rFont val="Arial"/>
        <family val="2"/>
      </rPr>
      <t xml:space="preserve">, </t>
    </r>
    <r>
      <rPr>
        <sz val="11"/>
        <color rgb="FFFFC000"/>
        <rFont val="Arial"/>
        <family val="2"/>
      </rPr>
      <t>Undergraduate bursary programme</t>
    </r>
    <r>
      <rPr>
        <sz val="11"/>
        <color theme="1"/>
        <rFont val="Arial"/>
        <family val="2"/>
      </rPr>
      <t xml:space="preserve">, </t>
    </r>
    <r>
      <rPr>
        <sz val="11"/>
        <color rgb="FFFFC000"/>
        <rFont val="Arial"/>
        <family val="2"/>
      </rPr>
      <t>Postgraduate bursary programme</t>
    </r>
    <r>
      <rPr>
        <sz val="11"/>
        <color theme="1"/>
        <rFont val="Arial"/>
        <family val="2"/>
      </rPr>
      <t xml:space="preserve">, </t>
    </r>
    <r>
      <rPr>
        <sz val="11"/>
        <color rgb="FF009632"/>
        <rFont val="Arial"/>
        <family val="2"/>
      </rPr>
      <t>Work based learning programme</t>
    </r>
    <r>
      <rPr>
        <sz val="11"/>
        <color theme="1"/>
        <rFont val="Arial"/>
        <family val="2"/>
      </rPr>
      <t xml:space="preserve">, </t>
    </r>
    <r>
      <rPr>
        <sz val="11"/>
        <color rgb="FF009632"/>
        <rFont val="Arial"/>
        <family val="2"/>
      </rPr>
      <t>Interns programme</t>
    </r>
    <r>
      <rPr>
        <sz val="11"/>
        <color theme="1"/>
        <rFont val="Arial"/>
        <family val="2"/>
      </rPr>
      <t xml:space="preserve">, </t>
    </r>
    <r>
      <rPr>
        <sz val="11"/>
        <color rgb="FFFF0000"/>
        <rFont val="Arial"/>
        <family val="2"/>
      </rPr>
      <t>Local SMME and jewellery training and development</t>
    </r>
    <r>
      <rPr>
        <sz val="11"/>
        <color theme="1"/>
        <rFont val="Arial"/>
        <family val="2"/>
      </rPr>
      <t xml:space="preserve">, </t>
    </r>
    <r>
      <rPr>
        <sz val="11"/>
        <color rgb="FFFF0000"/>
        <rFont val="Arial"/>
        <family val="2"/>
      </rPr>
      <t>SMME development</t>
    </r>
    <r>
      <rPr>
        <sz val="11"/>
        <color theme="1"/>
        <rFont val="Arial"/>
        <family val="2"/>
      </rPr>
      <t xml:space="preserve">
*   </t>
    </r>
    <r>
      <rPr>
        <sz val="11"/>
        <color rgb="FF009632"/>
        <rFont val="Arial"/>
        <family val="2"/>
      </rPr>
      <t>Employment equity report and plan</t>
    </r>
    <r>
      <rPr>
        <sz val="11"/>
        <color theme="1"/>
        <rFont val="Arial"/>
        <family val="2"/>
      </rPr>
      <t xml:space="preserve">
*   </t>
    </r>
    <r>
      <rPr>
        <sz val="11"/>
        <color rgb="FF009632"/>
        <rFont val="Arial"/>
        <family val="2"/>
      </rPr>
      <t>Performance management system</t>
    </r>
    <r>
      <rPr>
        <sz val="11"/>
        <color theme="1"/>
        <rFont val="Arial"/>
        <family val="2"/>
      </rPr>
      <t xml:space="preserve">
*   </t>
    </r>
    <r>
      <rPr>
        <sz val="11"/>
        <color rgb="FFFF0000"/>
        <rFont val="Arial"/>
        <family val="2"/>
      </rPr>
      <t>Experience profile of scientists</t>
    </r>
    <r>
      <rPr>
        <sz val="11"/>
        <color theme="1"/>
        <rFont val="Arial"/>
        <family val="2"/>
      </rPr>
      <t xml:space="preserve">, </t>
    </r>
    <r>
      <rPr>
        <sz val="11"/>
        <color rgb="FFFFC000"/>
        <rFont val="Arial"/>
        <family val="2"/>
      </rPr>
      <t>Retention and succession</t>
    </r>
    <r>
      <rPr>
        <sz val="11"/>
        <color theme="1"/>
        <rFont val="Arial"/>
        <family val="2"/>
      </rPr>
      <t xml:space="preserve">, </t>
    </r>
    <r>
      <rPr>
        <sz val="11"/>
        <color rgb="FFFF0000"/>
        <rFont val="Arial"/>
        <family val="2"/>
      </rPr>
      <t>Coaching and mentoring, Leadership development programme</t>
    </r>
    <r>
      <rPr>
        <sz val="11"/>
        <color theme="1"/>
        <rFont val="Arial"/>
        <family val="2"/>
      </rPr>
      <t xml:space="preserve">, </t>
    </r>
    <r>
      <rPr>
        <sz val="11"/>
        <color rgb="FF009632"/>
        <rFont val="Arial"/>
        <family val="2"/>
      </rPr>
      <t>Employee health</t>
    </r>
    <r>
      <rPr>
        <sz val="11"/>
        <color theme="1"/>
        <rFont val="Arial"/>
        <family val="2"/>
      </rPr>
      <t xml:space="preserve">
*   </t>
    </r>
    <r>
      <rPr>
        <sz val="11"/>
        <color rgb="FFFF0000"/>
        <rFont val="Arial"/>
        <family val="2"/>
      </rPr>
      <t>Promote scientific and innovation excellence</t>
    </r>
    <r>
      <rPr>
        <sz val="11"/>
        <color theme="1"/>
        <rFont val="Arial"/>
        <family val="2"/>
      </rPr>
      <t xml:space="preserve">, </t>
    </r>
    <r>
      <rPr>
        <sz val="11"/>
        <color rgb="FFFF0000"/>
        <rFont val="Arial"/>
        <family val="2"/>
      </rPr>
      <t>Proportion of reseachres to total staff</t>
    </r>
    <r>
      <rPr>
        <sz val="11"/>
        <color theme="1"/>
        <rFont val="Arial"/>
        <family val="2"/>
      </rPr>
      <t xml:space="preserve">, </t>
    </r>
    <r>
      <rPr>
        <sz val="11"/>
        <color rgb="FFFF0000"/>
        <rFont val="Arial"/>
        <family val="2"/>
      </rPr>
      <t># of staff enronlled for MSc and PhD</t>
    </r>
    <r>
      <rPr>
        <sz val="11"/>
        <color theme="1"/>
        <rFont val="Arial"/>
        <family val="2"/>
      </rPr>
      <t xml:space="preserve">, </t>
    </r>
    <r>
      <rPr>
        <sz val="11"/>
        <color rgb="FFFF0000"/>
        <rFont val="Arial"/>
        <family val="2"/>
      </rPr>
      <t>% of staff with MSc</t>
    </r>
    <r>
      <rPr>
        <sz val="11"/>
        <color theme="1"/>
        <rFont val="Arial"/>
        <family val="2"/>
      </rPr>
      <t xml:space="preserve">, </t>
    </r>
    <r>
      <rPr>
        <sz val="11"/>
        <color rgb="FF009632"/>
        <rFont val="Arial"/>
        <family val="2"/>
      </rPr>
      <t>% of staff with PhD</t>
    </r>
    <r>
      <rPr>
        <sz val="11"/>
        <color theme="1"/>
        <rFont val="Arial"/>
        <family val="2"/>
      </rPr>
      <t xml:space="preserve">, </t>
    </r>
    <r>
      <rPr>
        <sz val="11"/>
        <color rgb="FFFF0000"/>
        <rFont val="Arial"/>
        <family val="2"/>
      </rPr>
      <t>Papers and articles</t>
    </r>
    <r>
      <rPr>
        <sz val="11"/>
        <color theme="1"/>
        <rFont val="Arial"/>
        <family val="2"/>
      </rPr>
      <t xml:space="preserve">, </t>
    </r>
    <r>
      <rPr>
        <sz val="11"/>
        <color rgb="FF009632"/>
        <rFont val="Arial"/>
        <family val="2"/>
      </rPr>
      <t>International collaborations</t>
    </r>
    <r>
      <rPr>
        <sz val="11"/>
        <color theme="1"/>
        <rFont val="Arial"/>
        <family val="2"/>
      </rPr>
      <t xml:space="preserve">
*   </t>
    </r>
    <r>
      <rPr>
        <sz val="11"/>
        <color rgb="FFFF0000"/>
        <rFont val="Arial"/>
        <family val="2"/>
      </rPr>
      <t>Integrated approach to marketing and communication</t>
    </r>
  </si>
  <si>
    <t>Growth Strategy Projects</t>
  </si>
  <si>
    <t xml:space="preserve">*   
*   
*   
*   
*   </t>
  </si>
  <si>
    <t>Business performance</t>
  </si>
  <si>
    <t>Drivers of Growth</t>
  </si>
  <si>
    <t>Measures of Value</t>
  </si>
  <si>
    <t>Observed leading practices</t>
  </si>
  <si>
    <t>Repositioning Mintek in the market as research organisation that supplies technology, services, products and know-how for the benefit of the mining and mineral processing industries.</t>
  </si>
  <si>
    <t>*   Improving the financial position of Mintek.
*   Marketing and positioning of Mintek in the industry and market.
*   Water and energy efficiency project to help the mining industry.
*   Research work into Uranium and alternative sources of energy (MetRIX continouos resin-in-pulp).
*   Pursuing toll smelting opportunities for the Bay 2 furnace.
*   Skills development and further education to build capacity.</t>
  </si>
  <si>
    <t>A worldclass developer of mineral processing technology</t>
  </si>
  <si>
    <t>Stakeholder Perspective: Enhance Mintek's visibility and credibility to all stakeholders</t>
  </si>
  <si>
    <t>*   Integrate marketing and communication function.
*   Enhancing the visibility and credibility of Mintek.
*   Sustainable resource management.
*   Support the development of Junior Resource Companies (JRC).</t>
  </si>
  <si>
    <r>
      <t xml:space="preserve">*   </t>
    </r>
    <r>
      <rPr>
        <sz val="11"/>
        <color rgb="FF009632"/>
        <rFont val="Arial"/>
        <family val="2"/>
      </rPr>
      <t>Annually updated marketing and communications plan approved and implemented</t>
    </r>
    <r>
      <rPr>
        <sz val="11"/>
        <color theme="1"/>
        <rFont val="Arial"/>
        <family val="2"/>
      </rPr>
      <t xml:space="preserve">.
*   </t>
    </r>
    <r>
      <rPr>
        <sz val="11"/>
        <color rgb="FF009632"/>
        <rFont val="Arial"/>
        <family val="2"/>
      </rPr>
      <t>Evidence of enhanced Mintek visibility and credibility as a research institution</t>
    </r>
    <r>
      <rPr>
        <sz val="11"/>
        <color theme="1"/>
        <rFont val="Arial"/>
        <family val="2"/>
      </rPr>
      <t xml:space="preserve">, </t>
    </r>
    <r>
      <rPr>
        <sz val="11"/>
        <color rgb="FF009632"/>
        <rFont val="Arial"/>
        <family val="2"/>
      </rPr>
      <t>Attained annual customer satisfaction target</t>
    </r>
    <r>
      <rPr>
        <sz val="11"/>
        <color theme="1"/>
        <rFont val="Arial"/>
        <family val="2"/>
      </rPr>
      <t xml:space="preserve">, </t>
    </r>
    <r>
      <rPr>
        <sz val="11"/>
        <color rgb="FF009632"/>
        <rFont val="Arial"/>
        <family val="2"/>
      </rPr>
      <t>Ehanced media exposure</t>
    </r>
    <r>
      <rPr>
        <sz val="11"/>
        <color theme="1"/>
        <rFont val="Arial"/>
        <family val="2"/>
      </rPr>
      <t xml:space="preserve">, </t>
    </r>
    <r>
      <rPr>
        <sz val="11"/>
        <color rgb="FF009632"/>
        <rFont val="Arial"/>
        <family val="2"/>
      </rPr>
      <t>Enhanced relations with oversigh bodies</t>
    </r>
  </si>
  <si>
    <t>Stakeholder Perspective: Research and develop efficient mineral processing technologies and value added products and services</t>
  </si>
  <si>
    <r>
      <t xml:space="preserve">*   </t>
    </r>
    <r>
      <rPr>
        <sz val="11"/>
        <color rgb="FFFFC000"/>
        <rFont val="Arial"/>
        <family val="2"/>
      </rPr>
      <t>Develop analytical and mineralogical methods and services, evidenced by reports</t>
    </r>
    <r>
      <rPr>
        <sz val="11"/>
        <color theme="1"/>
        <rFont val="Arial"/>
        <family val="2"/>
      </rPr>
      <t xml:space="preserve">, </t>
    </r>
    <r>
      <rPr>
        <sz val="11"/>
        <color rgb="FFFFC000"/>
        <rFont val="Arial"/>
        <family val="2"/>
      </rPr>
      <t>Develop new technologies under Sience Vote funding</t>
    </r>
    <r>
      <rPr>
        <sz val="11"/>
        <color theme="1"/>
        <rFont val="Arial"/>
        <family val="2"/>
      </rPr>
      <t xml:space="preserve">, </t>
    </r>
    <r>
      <rPr>
        <sz val="11"/>
        <color rgb="FF009632"/>
        <rFont val="Arial"/>
        <family val="2"/>
      </rPr>
      <t>Sales of products, plant and equipment</t>
    </r>
    <r>
      <rPr>
        <sz val="11"/>
        <color theme="1"/>
        <rFont val="Arial"/>
        <family val="2"/>
      </rPr>
      <t xml:space="preserve">, </t>
    </r>
    <r>
      <rPr>
        <sz val="11"/>
        <color rgb="FF009632"/>
        <rFont val="Arial"/>
        <family val="2"/>
      </rPr>
      <t>Commercial investigation and feasibility studies</t>
    </r>
    <r>
      <rPr>
        <sz val="11"/>
        <color theme="1"/>
        <rFont val="Arial"/>
        <family val="2"/>
      </rPr>
      <t xml:space="preserve">.
*   </t>
    </r>
    <r>
      <rPr>
        <sz val="11"/>
        <color rgb="FF009632"/>
        <rFont val="Arial"/>
        <family val="2"/>
      </rPr>
      <t>Develop applications for precious, ferrous and base metals</t>
    </r>
    <r>
      <rPr>
        <sz val="11"/>
        <color theme="1"/>
        <rFont val="Arial"/>
        <family val="2"/>
      </rPr>
      <t>,</t>
    </r>
    <r>
      <rPr>
        <sz val="11"/>
        <color rgb="FFFF0000"/>
        <rFont val="Arial"/>
        <family val="2"/>
      </rPr>
      <t xml:space="preserve"> Develop mettallurgical processes and products for base, light, and ferrous metals</t>
    </r>
    <r>
      <rPr>
        <sz val="11"/>
        <color theme="1"/>
        <rFont val="Arial"/>
        <family val="2"/>
      </rPr>
      <t xml:space="preserve">.
*   </t>
    </r>
    <r>
      <rPr>
        <sz val="11"/>
        <color rgb="FFFF0000"/>
        <rFont val="Arial"/>
        <family val="2"/>
      </rPr>
      <t>Technical assistance</t>
    </r>
    <r>
      <rPr>
        <sz val="11"/>
        <color theme="1"/>
        <rFont val="Arial"/>
        <family val="2"/>
      </rPr>
      <t xml:space="preserve">
*   </t>
    </r>
    <r>
      <rPr>
        <sz val="11"/>
        <color rgb="FF009632"/>
        <rFont val="Arial"/>
        <family val="2"/>
      </rPr>
      <t xml:space="preserve">Mineral scans
</t>
    </r>
    <r>
      <rPr>
        <sz val="11"/>
        <rFont val="Arial"/>
        <family val="2"/>
      </rPr>
      <t xml:space="preserve">*   </t>
    </r>
    <r>
      <rPr>
        <sz val="11"/>
        <color rgb="FFFFC000"/>
        <rFont val="Arial"/>
        <family val="2"/>
      </rPr>
      <t>Develop water efficient flow sheets to optimise water consumption and enable processing of ore bodies in water striken areas</t>
    </r>
    <r>
      <rPr>
        <sz val="11"/>
        <rFont val="Arial"/>
        <family val="2"/>
      </rPr>
      <t xml:space="preserve">
*   </t>
    </r>
    <r>
      <rPr>
        <sz val="11"/>
        <color rgb="FF009632"/>
        <rFont val="Arial"/>
        <family val="2"/>
      </rPr>
      <t>Develop energy efficient processes, flow sheet and control technologies that minimise enerty consumetion and carbon emissions</t>
    </r>
    <r>
      <rPr>
        <sz val="11"/>
        <rFont val="Arial"/>
        <family val="2"/>
      </rPr>
      <t xml:space="preserve">
*   </t>
    </r>
    <r>
      <rPr>
        <sz val="11"/>
        <color rgb="FF009632"/>
        <rFont val="Arial"/>
        <family val="2"/>
      </rPr>
      <t>Develop technologies for treating and recycling water in order to extend mineral resources</t>
    </r>
    <r>
      <rPr>
        <sz val="11"/>
        <rFont val="Arial"/>
        <family val="2"/>
      </rPr>
      <t xml:space="preserve">, </t>
    </r>
    <r>
      <rPr>
        <sz val="11"/>
        <color rgb="FF009632"/>
        <rFont val="Arial"/>
        <family val="2"/>
      </rPr>
      <t>Rehabilitate derelict and ownerless mine sites</t>
    </r>
  </si>
  <si>
    <t>*   Competitive technoliges, products and services for optimal mining resource utilisation
*   Beneficiation to value added products and services
*   Supporting the technical requirements of emerging minerals resource companies
*   Providing mineral econimic data and consulting services
*   Water efficient processes
*   Energy efficient processes
*   Waste management and recycling</t>
  </si>
  <si>
    <t>Stakeholder Perspective: Promote the mineral-based economies of rural and marginalised communities through technical assistance and skills development</t>
  </si>
  <si>
    <t>*   Development of technologies and strategies relevant to rural and marginalised communities
*   Economically sustainable businesses created in rural and marginalised communities
*   Training and skills development interventions in rural and marginalised communities</t>
  </si>
  <si>
    <t>Stakeholder Perspective: Ensure the short-term viability and long-term sustainability of Mintek</t>
  </si>
  <si>
    <t>*   Improve modern facilities that reflect the image of a world class R&amp;D orgnisation
*   Sustainable funding model secured</t>
  </si>
  <si>
    <r>
      <t xml:space="preserve">*   </t>
    </r>
    <r>
      <rPr>
        <sz val="11"/>
        <color rgb="FF009632"/>
        <rFont val="Arial"/>
        <family val="2"/>
      </rPr>
      <t>Implement infrastructure modernisation according to modernisation plan</t>
    </r>
    <r>
      <rPr>
        <sz val="11"/>
        <color theme="1"/>
        <rFont val="Arial"/>
        <family val="2"/>
      </rPr>
      <t xml:space="preserve">
*   </t>
    </r>
    <r>
      <rPr>
        <sz val="11"/>
        <color rgb="FF009632"/>
        <rFont val="Arial"/>
        <family val="2"/>
      </rPr>
      <t>A sustainable funding model agreed and implemented</t>
    </r>
  </si>
  <si>
    <r>
      <t xml:space="preserve">*   </t>
    </r>
    <r>
      <rPr>
        <sz val="11"/>
        <color rgb="FF009632"/>
        <rFont val="Arial"/>
        <family val="2"/>
      </rPr>
      <t>Establish technologies and strategies relevant to small scale operations, for transfer to rural and marginalised communities</t>
    </r>
    <r>
      <rPr>
        <sz val="11"/>
        <color theme="1"/>
        <rFont val="Arial"/>
        <family val="2"/>
      </rPr>
      <t xml:space="preserve">
*   </t>
    </r>
    <r>
      <rPr>
        <sz val="11"/>
        <color rgb="FF009632"/>
        <rFont val="Arial"/>
        <family val="2"/>
      </rPr>
      <t>Develop and support economically sustainable SMME enterprises</t>
    </r>
    <r>
      <rPr>
        <sz val="11"/>
        <color theme="1"/>
        <rFont val="Arial"/>
        <family val="2"/>
      </rPr>
      <t xml:space="preserve">
*   </t>
    </r>
    <r>
      <rPr>
        <sz val="11"/>
        <color rgb="FFFFC000"/>
        <rFont val="Arial"/>
        <family val="2"/>
      </rPr>
      <t>Provide accredited training in glass bead, jewellery, pottery and brick making, intorudction to small scale mining</t>
    </r>
  </si>
  <si>
    <t>Finance Perspective: Uphold good governance practices</t>
  </si>
  <si>
    <t>*   Enhance fiscal discipline and the effective management of resources
*   Enhance oranisational efficiencies and energy efficiency
*   Enhance quality, environment and safety
*   Compliance with all national and international regulatory frameworks and applicable standards
*   Enhanced business intergration and organiational effectiveness programme</t>
  </si>
  <si>
    <r>
      <t xml:space="preserve">*   </t>
    </r>
    <r>
      <rPr>
        <sz val="11"/>
        <color rgb="FFFF0000"/>
        <rFont val="Arial"/>
        <family val="2"/>
      </rPr>
      <t>BEE procurement as a % of total discretinary spend</t>
    </r>
    <r>
      <rPr>
        <sz val="11"/>
        <color theme="1"/>
        <rFont val="Arial"/>
        <family val="2"/>
      </rPr>
      <t xml:space="preserve">, </t>
    </r>
    <r>
      <rPr>
        <sz val="11"/>
        <color rgb="FF009632"/>
        <rFont val="Arial"/>
        <family val="2"/>
      </rPr>
      <t>Strengthened internal financial controls</t>
    </r>
    <r>
      <rPr>
        <sz val="11"/>
        <color theme="1"/>
        <rFont val="Arial"/>
        <family val="2"/>
      </rPr>
      <t xml:space="preserve">, </t>
    </r>
    <r>
      <rPr>
        <sz val="11"/>
        <color rgb="FF009632"/>
        <rFont val="Arial"/>
        <family val="2"/>
      </rPr>
      <t>Sound debtor management</t>
    </r>
    <r>
      <rPr>
        <sz val="11"/>
        <color theme="1"/>
        <rFont val="Arial"/>
        <family val="2"/>
      </rPr>
      <t>,</t>
    </r>
    <r>
      <rPr>
        <sz val="11"/>
        <color rgb="FF009632"/>
        <rFont val="Arial"/>
        <family val="2"/>
      </rPr>
      <t xml:space="preserve"> total income, Net result (surplus)</t>
    </r>
    <r>
      <rPr>
        <sz val="11"/>
        <color theme="1"/>
        <rFont val="Arial"/>
        <family val="2"/>
      </rPr>
      <t xml:space="preserve">, </t>
    </r>
    <r>
      <rPr>
        <sz val="11"/>
        <color rgb="FF009632"/>
        <rFont val="Arial"/>
        <family val="2"/>
      </rPr>
      <t>Optimal return on invesmtne</t>
    </r>
    <r>
      <rPr>
        <sz val="11"/>
        <color theme="1"/>
        <rFont val="Arial"/>
        <family val="2"/>
      </rPr>
      <t xml:space="preserve">, </t>
    </r>
    <r>
      <rPr>
        <sz val="11"/>
        <color rgb="FFFF0000"/>
        <rFont val="Arial"/>
        <family val="2"/>
      </rPr>
      <t>Total capital expenditure</t>
    </r>
    <r>
      <rPr>
        <sz val="11"/>
        <color theme="1"/>
        <rFont val="Arial"/>
        <family val="2"/>
      </rPr>
      <t xml:space="preserve">
*   </t>
    </r>
    <r>
      <rPr>
        <sz val="11"/>
        <color rgb="FF009632"/>
        <rFont val="Arial"/>
        <family val="2"/>
      </rPr>
      <t>Maintained balance between R&amp;D and Commercial revenue streams</t>
    </r>
    <r>
      <rPr>
        <sz val="11"/>
        <color theme="1"/>
        <rFont val="Arial"/>
        <family val="2"/>
      </rPr>
      <t xml:space="preserve">, </t>
    </r>
    <r>
      <rPr>
        <sz val="11"/>
        <color rgb="FF009632"/>
        <rFont val="Arial"/>
        <family val="2"/>
      </rPr>
      <t>Maintained balance between TCTC salary bill / Total expenditure</t>
    </r>
    <r>
      <rPr>
        <sz val="11"/>
        <color theme="1"/>
        <rFont val="Arial"/>
        <family val="2"/>
      </rPr>
      <t xml:space="preserve">, </t>
    </r>
    <r>
      <rPr>
        <sz val="11"/>
        <color rgb="FF009632"/>
        <rFont val="Arial"/>
        <family val="2"/>
      </rPr>
      <t>Enhanced liquidity ratio</t>
    </r>
    <r>
      <rPr>
        <sz val="11"/>
        <color theme="1"/>
        <rFont val="Arial"/>
        <family val="2"/>
      </rPr>
      <t xml:space="preserve">, </t>
    </r>
    <r>
      <rPr>
        <sz val="11"/>
        <color rgb="FF009632"/>
        <rFont val="Arial"/>
        <family val="2"/>
      </rPr>
      <t>Revenue per head, Improved coash flow from oprations</t>
    </r>
    <r>
      <rPr>
        <sz val="11"/>
        <color theme="1"/>
        <rFont val="Arial"/>
        <family val="2"/>
      </rPr>
      <t xml:space="preserve">, </t>
    </r>
    <r>
      <rPr>
        <sz val="11"/>
        <color rgb="FF009632"/>
        <rFont val="Arial"/>
        <family val="2"/>
      </rPr>
      <t>Continual improvement in organisational energy efficiency achieved energy saving initiative targets</t>
    </r>
    <r>
      <rPr>
        <sz val="11"/>
        <color theme="1"/>
        <rFont val="Arial"/>
        <family val="2"/>
      </rPr>
      <t xml:space="preserve">
*   </t>
    </r>
    <r>
      <rPr>
        <sz val="11"/>
        <color rgb="FFFFC000"/>
        <rFont val="Arial"/>
        <family val="2"/>
      </rPr>
      <t>QES standards maintained and enhanced</t>
    </r>
    <r>
      <rPr>
        <sz val="11"/>
        <color theme="1"/>
        <rFont val="Arial"/>
        <family val="2"/>
      </rPr>
      <t xml:space="preserve">
*   </t>
    </r>
    <r>
      <rPr>
        <sz val="11"/>
        <color rgb="FF009632"/>
        <rFont val="Arial"/>
        <family val="2"/>
      </rPr>
      <t>Compliance with appropriate standards, regulations and legislation</t>
    </r>
    <r>
      <rPr>
        <sz val="11"/>
        <color theme="1"/>
        <rFont val="Arial"/>
        <family val="2"/>
      </rPr>
      <t xml:space="preserve">
*   </t>
    </r>
    <r>
      <rPr>
        <sz val="11"/>
        <color rgb="FFFF0000"/>
        <rFont val="Arial"/>
        <family val="2"/>
      </rPr>
      <t>Development and implementation of ICT Master Plan</t>
    </r>
    <r>
      <rPr>
        <sz val="11"/>
        <color theme="1"/>
        <rFont val="Arial"/>
        <family val="2"/>
      </rPr>
      <t xml:space="preserve">, </t>
    </r>
    <r>
      <rPr>
        <sz val="11"/>
        <color rgb="FF009632"/>
        <rFont val="Arial"/>
        <family val="2"/>
      </rPr>
      <t>IP Act compliance</t>
    </r>
  </si>
  <si>
    <t>Learning and Growth Perspective: Build world-class R&amp;D excellence</t>
  </si>
  <si>
    <t>*   Human capital development, attraction and retention, Identify and support potential skills in the scientific and technological fields, Enhanced pipeline of skills available to support the Mintek Mandate
*   Transformation of the Mintek Organisation
*   Enhanced Performance Management
*   Effective skills and knowledge transfer</t>
  </si>
  <si>
    <r>
      <t xml:space="preserve">*  </t>
    </r>
    <r>
      <rPr>
        <sz val="11"/>
        <color rgb="FF009632"/>
        <rFont val="Arial"/>
        <family val="2"/>
      </rPr>
      <t xml:space="preserve"> Enhanced skills development</t>
    </r>
    <r>
      <rPr>
        <sz val="11"/>
        <color theme="1"/>
        <rFont val="Arial"/>
        <family val="2"/>
      </rPr>
      <t xml:space="preserve">, </t>
    </r>
    <r>
      <rPr>
        <sz val="11"/>
        <color rgb="FF009632"/>
        <rFont val="Arial"/>
        <family val="2"/>
      </rPr>
      <t>Enhanced relationship with institutions of higher education and other similar organisations</t>
    </r>
    <r>
      <rPr>
        <sz val="11"/>
        <color theme="1"/>
        <rFont val="Arial"/>
        <family val="2"/>
      </rPr>
      <t xml:space="preserve">, </t>
    </r>
    <r>
      <rPr>
        <sz val="11"/>
        <color rgb="FF009632"/>
        <rFont val="Arial"/>
        <family val="2"/>
      </rPr>
      <t>Science, technology, engineering and maths (STEM) promotion</t>
    </r>
    <r>
      <rPr>
        <sz val="11"/>
        <color theme="1"/>
        <rFont val="Arial"/>
        <family val="2"/>
      </rPr>
      <t xml:space="preserve">, </t>
    </r>
    <r>
      <rPr>
        <sz val="11"/>
        <color rgb="FFFFC000"/>
        <rFont val="Arial"/>
        <family val="2"/>
      </rPr>
      <t>Effective undergraduate bursary programme</t>
    </r>
    <r>
      <rPr>
        <sz val="11"/>
        <color theme="1"/>
        <rFont val="Arial"/>
        <family val="2"/>
      </rPr>
      <t xml:space="preserve">, </t>
    </r>
    <r>
      <rPr>
        <sz val="11"/>
        <color rgb="FFFFC000"/>
        <rFont val="Arial"/>
        <family val="2"/>
      </rPr>
      <t>Effective postgraduate bursary programme</t>
    </r>
    <r>
      <rPr>
        <sz val="11"/>
        <color theme="1"/>
        <rFont val="Arial"/>
        <family val="2"/>
      </rPr>
      <t xml:space="preserve">, </t>
    </r>
    <r>
      <rPr>
        <sz val="11"/>
        <color rgb="FF009632"/>
        <rFont val="Arial"/>
        <family val="2"/>
      </rPr>
      <t>Work integrated learning, studentship and internship programmes</t>
    </r>
    <r>
      <rPr>
        <sz val="11"/>
        <color theme="1"/>
        <rFont val="Arial"/>
        <family val="2"/>
      </rPr>
      <t xml:space="preserve">, </t>
    </r>
    <r>
      <rPr>
        <sz val="11"/>
        <color rgb="FF009632"/>
        <rFont val="Arial"/>
        <family val="2"/>
      </rPr>
      <t>Develpment programme for recent graduate scientists and engineers, and for training future career researchers</t>
    </r>
    <r>
      <rPr>
        <sz val="11"/>
        <color theme="1"/>
        <rFont val="Arial"/>
        <family val="2"/>
      </rPr>
      <t xml:space="preserve">
*   </t>
    </r>
    <r>
      <rPr>
        <sz val="11"/>
        <color rgb="FF009632"/>
        <rFont val="Arial"/>
        <family val="2"/>
      </rPr>
      <t>Employment equipty report and plan</t>
    </r>
    <r>
      <rPr>
        <sz val="11"/>
        <color theme="1"/>
        <rFont val="Arial"/>
        <family val="2"/>
      </rPr>
      <t xml:space="preserve">
*   </t>
    </r>
    <r>
      <rPr>
        <sz val="11"/>
        <color rgb="FF009632"/>
        <rFont val="Arial"/>
        <family val="2"/>
      </rPr>
      <t>Compliance with performance management policy</t>
    </r>
    <r>
      <rPr>
        <sz val="11"/>
        <color theme="1"/>
        <rFont val="Arial"/>
        <family val="2"/>
      </rPr>
      <t xml:space="preserve">
*   </t>
    </r>
    <r>
      <rPr>
        <sz val="11"/>
        <color rgb="FF009632"/>
        <rFont val="Arial"/>
        <family val="2"/>
      </rPr>
      <t>Enhanced experience profile of "Scientists"</t>
    </r>
    <r>
      <rPr>
        <sz val="11"/>
        <color theme="1"/>
        <rFont val="Arial"/>
        <family val="2"/>
      </rPr>
      <t xml:space="preserve">, </t>
    </r>
    <r>
      <rPr>
        <sz val="11"/>
        <color rgb="FFFF0000"/>
        <rFont val="Arial"/>
        <family val="2"/>
      </rPr>
      <t>Proportion of research to total staff</t>
    </r>
    <r>
      <rPr>
        <sz val="11"/>
        <color theme="1"/>
        <rFont val="Arial"/>
        <family val="2"/>
      </rPr>
      <t xml:space="preserve">, </t>
    </r>
    <r>
      <rPr>
        <sz val="11"/>
        <color rgb="FF009632"/>
        <rFont val="Arial"/>
        <family val="2"/>
      </rPr>
      <t>No. of staff enrolled for postgraduate studies</t>
    </r>
    <r>
      <rPr>
        <sz val="11"/>
        <color theme="1"/>
        <rFont val="Arial"/>
        <family val="2"/>
      </rPr>
      <t xml:space="preserve">, </t>
    </r>
    <r>
      <rPr>
        <sz val="11"/>
        <color rgb="FF009632"/>
        <rFont val="Arial"/>
        <family val="2"/>
      </rPr>
      <t>% of staff with MSc and MEng, % of staff with PhD</t>
    </r>
    <r>
      <rPr>
        <sz val="11"/>
        <color theme="1"/>
        <rFont val="Arial"/>
        <family val="2"/>
      </rPr>
      <t xml:space="preserve">, </t>
    </r>
    <r>
      <rPr>
        <sz val="11"/>
        <color rgb="FFFFC000"/>
        <rFont val="Arial"/>
        <family val="2"/>
      </rPr>
      <t>Enhanced staff retention and succession</t>
    </r>
    <r>
      <rPr>
        <sz val="11"/>
        <color theme="1"/>
        <rFont val="Arial"/>
        <family val="2"/>
      </rPr>
      <t xml:space="preserve">, </t>
    </r>
    <r>
      <rPr>
        <sz val="11"/>
        <color rgb="FFFFC000"/>
        <rFont val="Arial"/>
        <family val="2"/>
      </rPr>
      <t>Enhanced coaching and mentoring</t>
    </r>
    <r>
      <rPr>
        <sz val="11"/>
        <color theme="1"/>
        <rFont val="Arial"/>
        <family val="2"/>
      </rPr>
      <t xml:space="preserve">, </t>
    </r>
    <r>
      <rPr>
        <sz val="11"/>
        <color rgb="FF009632"/>
        <rFont val="Arial"/>
        <family val="2"/>
      </rPr>
      <t>Effective leadership development programme</t>
    </r>
    <r>
      <rPr>
        <sz val="11"/>
        <color theme="1"/>
        <rFont val="Arial"/>
        <family val="2"/>
      </rPr>
      <t xml:space="preserve">, </t>
    </r>
    <r>
      <rPr>
        <sz val="11"/>
        <color rgb="FF009632"/>
        <rFont val="Arial"/>
        <family val="2"/>
      </rPr>
      <t>Enhananced employee health and wellness programme</t>
    </r>
  </si>
  <si>
    <t>*   ConRoast smelting technology with Jubilee Platinum
*   Rehabilitation of derelict and ownerless mines
*   Commissioning of an atomiser plant with Anglo American Platinum at Bay 2.
*   Completed 2 large pilot smelting tests as Bay 1 DC completed.</t>
  </si>
  <si>
    <t>*   Financial performance boosted significantly by royalty fees from the ConRoast smelting technology project.
*   Mintek's Minataur gold refining technology for the gold mining sector.
*   Developing as a CoE for the sensor-based ore sorting environment for the efficient use of water and energy.
*   Growing interest in rare earth elements (REE) test work, for Frontier Minerals on its Zandkopsdrift deposits.
*   Improvement and optimisation of SAVMIN process for commercialisation.</t>
  </si>
  <si>
    <t>Adv Linda Makatini</t>
  </si>
  <si>
    <t>*   Integrate marketing and communication function.
*   Enhancing the visibility and credibility of Mintek.</t>
  </si>
  <si>
    <t>*   Competitive technoliges, products and services for optimal mining resource utilisation
*   Beneficiation to value added products and services</t>
  </si>
  <si>
    <r>
      <t xml:space="preserve">*   </t>
    </r>
    <r>
      <rPr>
        <sz val="11"/>
        <color rgb="FFFF0000"/>
        <rFont val="Arial"/>
        <family val="2"/>
      </rPr>
      <t>Develop analytical and mineralogical methods and services</t>
    </r>
    <r>
      <rPr>
        <sz val="11"/>
        <color theme="1"/>
        <rFont val="Arial"/>
        <family val="2"/>
      </rPr>
      <t xml:space="preserve">, </t>
    </r>
    <r>
      <rPr>
        <sz val="11"/>
        <color rgb="FF009632"/>
        <rFont val="Arial"/>
        <family val="2"/>
      </rPr>
      <t>evidenced by reports, Develop new technologies under Science Vote funding</t>
    </r>
    <r>
      <rPr>
        <sz val="11"/>
        <color theme="1"/>
        <rFont val="Arial"/>
        <family val="2"/>
      </rPr>
      <t xml:space="preserve">, </t>
    </r>
    <r>
      <rPr>
        <sz val="11"/>
        <color rgb="FF009632"/>
        <rFont val="Arial"/>
        <family val="2"/>
      </rPr>
      <t>Sales of products, plant and equipment</t>
    </r>
    <r>
      <rPr>
        <sz val="11"/>
        <color theme="1"/>
        <rFont val="Arial"/>
        <family val="2"/>
      </rPr>
      <t xml:space="preserve">, </t>
    </r>
    <r>
      <rPr>
        <sz val="11"/>
        <color rgb="FF009632"/>
        <rFont val="Arial"/>
        <family val="2"/>
      </rPr>
      <t>Commercial investigations and feasibility studies</t>
    </r>
    <r>
      <rPr>
        <sz val="11"/>
        <color theme="1"/>
        <rFont val="Arial"/>
        <family val="2"/>
      </rPr>
      <t xml:space="preserve">
*   </t>
    </r>
    <r>
      <rPr>
        <sz val="11"/>
        <color rgb="FF009632"/>
        <rFont val="Arial"/>
        <family val="2"/>
      </rPr>
      <t>Develop applications for precious-, ferrous- and base metals in the areas of:- Biomedicine (HIV, 
cancer, malaria)</t>
    </r>
    <r>
      <rPr>
        <sz val="11"/>
        <rFont val="Arial"/>
        <family val="2"/>
      </rPr>
      <t>,</t>
    </r>
    <r>
      <rPr>
        <sz val="11"/>
        <color rgb="FF009632"/>
        <rFont val="Arial"/>
        <family val="2"/>
      </rPr>
      <t xml:space="preserve"> Develop metallurgical processes and products for base-, light- (titanium, magnesium) and ferrous metals.</t>
    </r>
  </si>
  <si>
    <t>Stakeholder Perspective: Research and develop green technologies and process to mitigate the impact of mineral development on the environment</t>
  </si>
  <si>
    <r>
      <t xml:space="preserve">*   </t>
    </r>
    <r>
      <rPr>
        <sz val="11"/>
        <color rgb="FF009632"/>
        <rFont val="Arial"/>
        <family val="2"/>
      </rPr>
      <t>Develop water efficient flow sheets to optimise water consumption and enable processing of ore bodies in water stricken areas</t>
    </r>
    <r>
      <rPr>
        <sz val="11"/>
        <color theme="1"/>
        <rFont val="Arial"/>
        <family val="2"/>
      </rPr>
      <t xml:space="preserve"> 
*   </t>
    </r>
    <r>
      <rPr>
        <sz val="11"/>
        <color rgb="FF009632"/>
        <rFont val="Arial"/>
        <family val="2"/>
      </rPr>
      <t>Develop energy efficient processes, flow sheets and control technologies that minimise energy consumption and carbon emission</t>
    </r>
    <r>
      <rPr>
        <sz val="11"/>
        <color theme="1"/>
        <rFont val="Arial"/>
        <family val="2"/>
      </rPr>
      <t xml:space="preserve">
*  </t>
    </r>
    <r>
      <rPr>
        <sz val="11"/>
        <color rgb="FF009632"/>
        <rFont val="Arial"/>
        <family val="2"/>
      </rPr>
      <t xml:space="preserve"> Develop technologies for treating and recycling waste in order to extend mineral resources</t>
    </r>
    <r>
      <rPr>
        <sz val="11"/>
        <color theme="1"/>
        <rFont val="Arial"/>
        <family val="2"/>
      </rPr>
      <t xml:space="preserve">, </t>
    </r>
    <r>
      <rPr>
        <sz val="11"/>
        <color rgb="FF009632"/>
        <rFont val="Arial"/>
        <family val="2"/>
      </rPr>
      <t>Rehabilitate derelict &amp; ownerless mine sites</t>
    </r>
  </si>
  <si>
    <t>*   Water efficient processes
*   Energy efficient processes
*   Waste management and recycling</t>
  </si>
  <si>
    <t>*   Development of technologies 
and strategies relevant to rural and marginalised communities
*   Economically sustainable 
businesses created  in rural and marginalised communities
*   Training and skills development interventions in rural and marginalised communities</t>
  </si>
  <si>
    <r>
      <t xml:space="preserve">*   </t>
    </r>
    <r>
      <rPr>
        <sz val="11"/>
        <color rgb="FF009632"/>
        <rFont val="Arial"/>
        <family val="2"/>
      </rPr>
      <t>Establish technologies and strategies relevant to small scale operators, for transfer to rural and marginalised communities</t>
    </r>
    <r>
      <rPr>
        <sz val="11"/>
        <color theme="1"/>
        <rFont val="Arial"/>
        <family val="2"/>
      </rPr>
      <t xml:space="preserve">
*   </t>
    </r>
    <r>
      <rPr>
        <sz val="11"/>
        <color rgb="FF009632"/>
        <rFont val="Arial"/>
        <family val="2"/>
      </rPr>
      <t>Develop and support economically sustainable SMME enterprises</t>
    </r>
    <r>
      <rPr>
        <sz val="11"/>
        <color theme="1"/>
        <rFont val="Arial"/>
        <family val="2"/>
      </rPr>
      <t xml:space="preserve">
*   </t>
    </r>
    <r>
      <rPr>
        <sz val="11"/>
        <color rgb="FF009632"/>
        <rFont val="Arial"/>
        <family val="2"/>
      </rPr>
      <t>Provide accredited training in glass bead, jewellery, potter and brick making, introduction to small scale mining</t>
    </r>
  </si>
  <si>
    <t>*   Improved modern facilities that reflect the image of a world class R&amp;D organisation
*   Sustainable funding model 
secured</t>
  </si>
  <si>
    <t>Financial and Internal business Perspective: Uphold good governance practices</t>
  </si>
  <si>
    <t>*   Enhanced fiscal discipline and the effective management of resources
*   Enhanced organisational efficiencies and energy efficiency 
*   Enhanced Quality, Environment and Safety
*   Compliance with all national and international regulatory frameworks, and  applicable standards
*   Enhanced business integration and organisational effectiveness programme.</t>
  </si>
  <si>
    <r>
      <t xml:space="preserve">*   </t>
    </r>
    <r>
      <rPr>
        <sz val="11"/>
        <color rgb="FF009632"/>
        <rFont val="Arial"/>
        <family val="2"/>
      </rPr>
      <t>BEE procurement as a % of total discretionary spend</t>
    </r>
    <r>
      <rPr>
        <sz val="11"/>
        <color theme="1"/>
        <rFont val="Arial"/>
        <family val="2"/>
      </rPr>
      <t xml:space="preserve">, </t>
    </r>
    <r>
      <rPr>
        <sz val="11"/>
        <color rgb="FF009632"/>
        <rFont val="Arial"/>
        <family val="2"/>
      </rPr>
      <t>Strengthened Internal Financial Controls</t>
    </r>
    <r>
      <rPr>
        <sz val="11"/>
        <color theme="1"/>
        <rFont val="Arial"/>
        <family val="2"/>
      </rPr>
      <t xml:space="preserve">, </t>
    </r>
    <r>
      <rPr>
        <sz val="11"/>
        <color rgb="FF009632"/>
        <rFont val="Arial"/>
        <family val="2"/>
      </rPr>
      <t>Sound Debtor Management</t>
    </r>
    <r>
      <rPr>
        <sz val="11"/>
        <color theme="1"/>
        <rFont val="Arial"/>
        <family val="2"/>
      </rPr>
      <t xml:space="preserve">, </t>
    </r>
    <r>
      <rPr>
        <sz val="11"/>
        <color rgb="FFFF0000"/>
        <rFont val="Arial"/>
        <family val="2"/>
      </rPr>
      <t>Total Income</t>
    </r>
    <r>
      <rPr>
        <sz val="11"/>
        <color theme="1"/>
        <rFont val="Arial"/>
        <family val="2"/>
      </rPr>
      <t xml:space="preserve">, </t>
    </r>
    <r>
      <rPr>
        <sz val="11"/>
        <color rgb="FFFF0000"/>
        <rFont val="Arial"/>
        <family val="2"/>
      </rPr>
      <t>Net Result (surplus)</t>
    </r>
    <r>
      <rPr>
        <sz val="11"/>
        <color theme="1"/>
        <rFont val="Arial"/>
        <family val="2"/>
      </rPr>
      <t xml:space="preserve">, </t>
    </r>
    <r>
      <rPr>
        <sz val="11"/>
        <color rgb="FF009632"/>
        <rFont val="Arial"/>
        <family val="2"/>
      </rPr>
      <t>Optimal yield on Investment</t>
    </r>
    <r>
      <rPr>
        <sz val="11"/>
        <color theme="1"/>
        <rFont val="Arial"/>
        <family val="2"/>
      </rPr>
      <t xml:space="preserve">, </t>
    </r>
    <r>
      <rPr>
        <sz val="11"/>
        <color rgb="FF009632"/>
        <rFont val="Arial"/>
        <family val="2"/>
      </rPr>
      <t>Total Capital Expenditure</t>
    </r>
    <r>
      <rPr>
        <sz val="11"/>
        <color theme="1"/>
        <rFont val="Arial"/>
        <family val="2"/>
      </rPr>
      <t xml:space="preserve">
*  </t>
    </r>
    <r>
      <rPr>
        <sz val="11"/>
        <color rgb="FF009632"/>
        <rFont val="Arial"/>
        <family val="2"/>
      </rPr>
      <t xml:space="preserve"> Maintained balance between R&amp;D and Commercial Revenue streams</t>
    </r>
    <r>
      <rPr>
        <sz val="11"/>
        <color theme="1"/>
        <rFont val="Arial"/>
        <family val="2"/>
      </rPr>
      <t xml:space="preserve">, </t>
    </r>
    <r>
      <rPr>
        <sz val="11"/>
        <color rgb="FFFF0000"/>
        <rFont val="Arial"/>
        <family val="2"/>
      </rPr>
      <t>Maintained balance between TCTC Salary Bill/Total Expenditure</t>
    </r>
    <r>
      <rPr>
        <sz val="11"/>
        <color theme="1"/>
        <rFont val="Arial"/>
        <family val="2"/>
      </rPr>
      <t xml:space="preserve">, </t>
    </r>
    <r>
      <rPr>
        <sz val="11"/>
        <color rgb="FF009632"/>
        <rFont val="Arial"/>
        <family val="2"/>
      </rPr>
      <t>Enhanced Liquidity Ratio</t>
    </r>
    <r>
      <rPr>
        <sz val="11"/>
        <color theme="1"/>
        <rFont val="Arial"/>
        <family val="2"/>
      </rPr>
      <t xml:space="preserve">, </t>
    </r>
    <r>
      <rPr>
        <sz val="11"/>
        <color rgb="FF009632"/>
        <rFont val="Arial"/>
        <family val="2"/>
      </rPr>
      <t>Revenue per head</t>
    </r>
    <r>
      <rPr>
        <sz val="11"/>
        <rFont val="Arial"/>
        <family val="2"/>
      </rPr>
      <t>,</t>
    </r>
    <r>
      <rPr>
        <sz val="11"/>
        <color rgb="FF009632"/>
        <rFont val="Arial"/>
        <family val="2"/>
      </rPr>
      <t xml:space="preserve"> </t>
    </r>
    <r>
      <rPr>
        <sz val="11"/>
        <color rgb="FFFF0000"/>
        <rFont val="Arial"/>
        <family val="2"/>
      </rPr>
      <t>Improved cash flows from operations</t>
    </r>
    <r>
      <rPr>
        <sz val="11"/>
        <color theme="1"/>
        <rFont val="Arial"/>
        <family val="2"/>
      </rPr>
      <t xml:space="preserve">, </t>
    </r>
    <r>
      <rPr>
        <sz val="11"/>
        <color rgb="FF009632"/>
        <rFont val="Arial"/>
        <family val="2"/>
      </rPr>
      <t>Effective and sustainable energy and water management within Mintek</t>
    </r>
    <r>
      <rPr>
        <sz val="11"/>
        <color theme="1"/>
        <rFont val="Arial"/>
        <family val="2"/>
      </rPr>
      <t xml:space="preserve">
*   </t>
    </r>
    <r>
      <rPr>
        <sz val="11"/>
        <color rgb="FF009632"/>
        <rFont val="Arial"/>
        <family val="2"/>
      </rPr>
      <t>QES standards maintained and enhanced</t>
    </r>
    <r>
      <rPr>
        <sz val="11"/>
        <color theme="1"/>
        <rFont val="Arial"/>
        <family val="2"/>
      </rPr>
      <t xml:space="preserve">
*   </t>
    </r>
    <r>
      <rPr>
        <sz val="11"/>
        <color rgb="FF009632"/>
        <rFont val="Arial"/>
        <family val="2"/>
      </rPr>
      <t>Compliance with appropriate standards, regulations and legislation</t>
    </r>
    <r>
      <rPr>
        <sz val="11"/>
        <color theme="1"/>
        <rFont val="Arial"/>
        <family val="2"/>
      </rPr>
      <t xml:space="preserve">
*   </t>
    </r>
    <r>
      <rPr>
        <sz val="11"/>
        <color rgb="FF009632"/>
        <rFont val="Arial"/>
        <family val="2"/>
      </rPr>
      <t>Development and implementation of ICT Master plan</t>
    </r>
    <r>
      <rPr>
        <sz val="11"/>
        <color theme="1"/>
        <rFont val="Arial"/>
        <family val="2"/>
      </rPr>
      <t xml:space="preserve">, </t>
    </r>
    <r>
      <rPr>
        <sz val="11"/>
        <color rgb="FFFFC000"/>
        <rFont val="Arial"/>
        <family val="2"/>
      </rPr>
      <t>Virtualisation of Mintek server infrastructure</t>
    </r>
    <r>
      <rPr>
        <sz val="11"/>
        <color theme="1"/>
        <rFont val="Arial"/>
        <family val="2"/>
      </rPr>
      <t xml:space="preserve">, </t>
    </r>
    <r>
      <rPr>
        <sz val="11"/>
        <color rgb="FFFF0000"/>
        <rFont val="Arial"/>
        <family val="2"/>
      </rPr>
      <t>Implement Business intelligence</t>
    </r>
    <r>
      <rPr>
        <sz val="11"/>
        <color theme="1"/>
        <rFont val="Arial"/>
        <family val="2"/>
      </rPr>
      <t xml:space="preserve">, </t>
    </r>
    <r>
      <rPr>
        <sz val="11"/>
        <color rgb="FF009632"/>
        <rFont val="Arial"/>
        <family val="2"/>
      </rPr>
      <t>Implementation of an electronic document and record management system</t>
    </r>
    <r>
      <rPr>
        <sz val="11"/>
        <color theme="1"/>
        <rFont val="Arial"/>
        <family val="2"/>
      </rPr>
      <t xml:space="preserve">, </t>
    </r>
    <r>
      <rPr>
        <sz val="11"/>
        <color rgb="FFFFC000"/>
        <rFont val="Arial"/>
        <family val="2"/>
      </rPr>
      <t>Development of a knowledge management system</t>
    </r>
    <r>
      <rPr>
        <sz val="11"/>
        <color theme="1"/>
        <rFont val="Arial"/>
        <family val="2"/>
      </rPr>
      <t>,</t>
    </r>
    <r>
      <rPr>
        <sz val="11"/>
        <color rgb="FF009632"/>
        <rFont val="Arial"/>
        <family val="2"/>
      </rPr>
      <t xml:space="preserve"> IP Act Compliance</t>
    </r>
  </si>
  <si>
    <t>Learning and Growth Perspective: Build world class R&amp;D excellence</t>
  </si>
  <si>
    <t xml:space="preserve">*   Human Capital Development, Attraction &amp; Retention
*   Identify and support potential skills in the scientific and technological fields. Enhanced pipeline of skills available to support the Mintek Mandate
*   Transformation of the Mintek Organisation 
*   Enhanced Performance Management
*   Effective skills and knowledge transfer </t>
  </si>
  <si>
    <r>
      <t xml:space="preserve">*   </t>
    </r>
    <r>
      <rPr>
        <sz val="11"/>
        <color rgb="FF009632"/>
        <rFont val="Arial"/>
        <family val="2"/>
      </rPr>
      <t>Enhanced Skills Development</t>
    </r>
    <r>
      <rPr>
        <sz val="11"/>
        <color theme="1"/>
        <rFont val="Arial"/>
        <family val="2"/>
      </rPr>
      <t xml:space="preserve">
*   </t>
    </r>
    <r>
      <rPr>
        <sz val="11"/>
        <color rgb="FF009632"/>
        <rFont val="Arial"/>
        <family val="2"/>
      </rPr>
      <t>Enhanced relationships with Institutions of Higher Education and other similar organisations</t>
    </r>
    <r>
      <rPr>
        <sz val="11"/>
        <color theme="1"/>
        <rFont val="Arial"/>
        <family val="2"/>
      </rPr>
      <t xml:space="preserve">, </t>
    </r>
    <r>
      <rPr>
        <sz val="11"/>
        <color rgb="FF009632"/>
        <rFont val="Arial"/>
        <family val="2"/>
      </rPr>
      <t>Science, Technology, Engineering and Maths (STEM) Promotion</t>
    </r>
    <r>
      <rPr>
        <sz val="11"/>
        <color theme="1"/>
        <rFont val="Arial"/>
        <family val="2"/>
      </rPr>
      <t xml:space="preserve">, </t>
    </r>
    <r>
      <rPr>
        <sz val="11"/>
        <color rgb="FF009632"/>
        <rFont val="Arial"/>
        <family val="2"/>
      </rPr>
      <t>Effective Full-time Bursary Programme</t>
    </r>
    <r>
      <rPr>
        <sz val="11"/>
        <color theme="1"/>
        <rFont val="Arial"/>
        <family val="2"/>
      </rPr>
      <t xml:space="preserve">, </t>
    </r>
    <r>
      <rPr>
        <sz val="11"/>
        <color rgb="FF009632"/>
        <rFont val="Arial"/>
        <family val="2"/>
      </rPr>
      <t>Effective Part-time Bursary Programme</t>
    </r>
    <r>
      <rPr>
        <sz val="11"/>
        <color theme="1"/>
        <rFont val="Arial"/>
        <family val="2"/>
      </rPr>
      <t xml:space="preserve">, </t>
    </r>
    <r>
      <rPr>
        <sz val="11"/>
        <color rgb="FF009632"/>
        <rFont val="Arial"/>
        <family val="2"/>
      </rPr>
      <t>Work-Integrated Learning, Studentships and Internship Programmes</t>
    </r>
    <r>
      <rPr>
        <sz val="11"/>
        <color theme="1"/>
        <rFont val="Arial"/>
        <family val="2"/>
      </rPr>
      <t xml:space="preserve">, </t>
    </r>
    <r>
      <rPr>
        <sz val="11"/>
        <color rgb="FFFFC000"/>
        <rFont val="Arial"/>
        <family val="2"/>
      </rPr>
      <t>Artisan Learnership Programme</t>
    </r>
    <r>
      <rPr>
        <sz val="11"/>
        <color theme="1"/>
        <rFont val="Arial"/>
        <family val="2"/>
      </rPr>
      <t xml:space="preserve">, </t>
    </r>
    <r>
      <rPr>
        <sz val="11"/>
        <color rgb="FFFFC000"/>
        <rFont val="Arial"/>
        <family val="2"/>
      </rPr>
      <t>Development Programmes for recent graduate scientists &amp; engineers, and for training future career researchers</t>
    </r>
    <r>
      <rPr>
        <sz val="11"/>
        <color theme="1"/>
        <rFont val="Arial"/>
        <family val="2"/>
      </rPr>
      <t xml:space="preserve">
*   </t>
    </r>
    <r>
      <rPr>
        <sz val="11"/>
        <color rgb="FF009632"/>
        <rFont val="Arial"/>
        <family val="2"/>
      </rPr>
      <t>Employment Equity Report and Plan</t>
    </r>
    <r>
      <rPr>
        <sz val="11"/>
        <color theme="1"/>
        <rFont val="Arial"/>
        <family val="2"/>
      </rPr>
      <t xml:space="preserve">
*   </t>
    </r>
    <r>
      <rPr>
        <sz val="11"/>
        <color rgb="FF009632"/>
        <rFont val="Arial"/>
        <family val="2"/>
      </rPr>
      <t>Compliance with Performance 
Management  Policy</t>
    </r>
    <r>
      <rPr>
        <sz val="11"/>
        <color theme="1"/>
        <rFont val="Arial"/>
        <family val="2"/>
      </rPr>
      <t xml:space="preserve">
*  </t>
    </r>
    <r>
      <rPr>
        <sz val="11"/>
        <color rgb="FF009632"/>
        <rFont val="Arial"/>
        <family val="2"/>
      </rPr>
      <t xml:space="preserve"> Enhanced Experience Profile of “SCIENTISTS”</t>
    </r>
    <r>
      <rPr>
        <sz val="11"/>
        <color theme="1"/>
        <rFont val="Arial"/>
        <family val="2"/>
      </rPr>
      <t xml:space="preserve">, </t>
    </r>
    <r>
      <rPr>
        <sz val="11"/>
        <color rgb="FF009632"/>
        <rFont val="Arial"/>
        <family val="2"/>
      </rPr>
      <t>Proportion of Researchers to Total Staff</t>
    </r>
    <r>
      <rPr>
        <sz val="11"/>
        <color theme="1"/>
        <rFont val="Arial"/>
        <family val="2"/>
      </rPr>
      <t>,</t>
    </r>
    <r>
      <rPr>
        <sz val="11"/>
        <color rgb="FF009632"/>
        <rFont val="Arial"/>
        <family val="2"/>
      </rPr>
      <t xml:space="preserve"> No. of Staff enrolled for postgraduate 
(Masters and above) studies</t>
    </r>
    <r>
      <rPr>
        <sz val="11"/>
        <color theme="1"/>
        <rFont val="Arial"/>
        <family val="2"/>
      </rPr>
      <t xml:space="preserve">, </t>
    </r>
    <r>
      <rPr>
        <sz val="11"/>
        <color rgb="FF009632"/>
        <rFont val="Arial"/>
        <family val="2"/>
      </rPr>
      <t>% of staff with MSc &amp; MEng</t>
    </r>
    <r>
      <rPr>
        <sz val="11"/>
        <color theme="1"/>
        <rFont val="Arial"/>
        <family val="2"/>
      </rPr>
      <t xml:space="preserve">, </t>
    </r>
    <r>
      <rPr>
        <sz val="11"/>
        <color rgb="FFFFC000"/>
        <rFont val="Arial"/>
        <family val="2"/>
      </rPr>
      <t>% of staff with PhD</t>
    </r>
    <r>
      <rPr>
        <sz val="11"/>
        <color theme="1"/>
        <rFont val="Arial"/>
        <family val="2"/>
      </rPr>
      <t xml:space="preserve">, </t>
    </r>
    <r>
      <rPr>
        <sz val="11"/>
        <color rgb="FF009632"/>
        <rFont val="Arial"/>
        <family val="2"/>
      </rPr>
      <t>Enhanced staff Retention &amp; Succession</t>
    </r>
    <r>
      <rPr>
        <sz val="11"/>
        <color theme="1"/>
        <rFont val="Arial"/>
        <family val="2"/>
      </rPr>
      <t xml:space="preserve">, </t>
    </r>
    <r>
      <rPr>
        <sz val="11"/>
        <color rgb="FFFFC000"/>
        <rFont val="Arial"/>
        <family val="2"/>
      </rPr>
      <t>Enhanced Coaching and Mentoring</t>
    </r>
    <r>
      <rPr>
        <sz val="11"/>
        <color theme="1"/>
        <rFont val="Arial"/>
        <family val="2"/>
      </rPr>
      <t xml:space="preserve">, </t>
    </r>
    <r>
      <rPr>
        <sz val="11"/>
        <color rgb="FF009632"/>
        <rFont val="Arial"/>
        <family val="2"/>
      </rPr>
      <t>Effective Leadership Development Programme</t>
    </r>
    <r>
      <rPr>
        <sz val="11"/>
        <color theme="1"/>
        <rFont val="Arial"/>
        <family val="2"/>
      </rPr>
      <t xml:space="preserve">, </t>
    </r>
    <r>
      <rPr>
        <sz val="11"/>
        <color rgb="FF009632"/>
        <rFont val="Arial"/>
        <family val="2"/>
      </rPr>
      <t>Upholding of Mintek values</t>
    </r>
    <r>
      <rPr>
        <sz val="11"/>
        <color theme="1"/>
        <rFont val="Arial"/>
        <family val="2"/>
      </rPr>
      <t xml:space="preserve">, </t>
    </r>
    <r>
      <rPr>
        <sz val="11"/>
        <color rgb="FFFFC000"/>
        <rFont val="Arial"/>
        <family val="2"/>
      </rPr>
      <t>Enhanced induction programme</t>
    </r>
    <r>
      <rPr>
        <sz val="11"/>
        <color theme="1"/>
        <rFont val="Arial"/>
        <family val="2"/>
      </rPr>
      <t xml:space="preserve">, </t>
    </r>
    <r>
      <rPr>
        <sz val="11"/>
        <color rgb="FF009632"/>
        <rFont val="Arial"/>
        <family val="2"/>
      </rPr>
      <t>Conduct skills audit</t>
    </r>
    <r>
      <rPr>
        <sz val="11"/>
        <color theme="1"/>
        <rFont val="Arial"/>
        <family val="2"/>
      </rPr>
      <t xml:space="preserve">, </t>
    </r>
    <r>
      <rPr>
        <sz val="11"/>
        <color rgb="FF009632"/>
        <rFont val="Arial"/>
        <family val="2"/>
      </rPr>
      <t>Enhanced Employee Health and Wellness Programme</t>
    </r>
  </si>
  <si>
    <t>*   Number of research projects done.
*   Number of research papers published.
*   Level of collaboration with institutions that develop and manage knowledge (IP).
*   Post graduate development of staff and graduates including their absorption.
*   Contribution to the mining and mineral processing industry.</t>
  </si>
  <si>
    <t xml:space="preserve">*   Number of research projects done.
*   Contribution to the mining and mineral processing industry.
*   Contribution to the green technology.
*   Contribution to the development of technical skills including Science, Technology, Engineering and Maths.
*   Level of collaboration with institutions that develop and manage knowledge (IP).
*   Post graduate development of staff and graduates including their absorption.
</t>
  </si>
  <si>
    <t>*   Number of research projects done.
*   Number of research papers published.
*   Contribution to the mining and mineral processing industry.
*   Contribution to the green technology.
*   Contribution to the development of technical skills including Science, Technology, Engineering and Maths
*   Level of collaboration with institutions that develop and manage knowledge (IP).
*   Post graduate development of staff and graduates including their absorption.
*   Contribution to the mining and mineral processing industry.</t>
  </si>
  <si>
    <t>*   Successful commissioning and implementation of an atomiser demonstration plant of alloys with Anglo American Platinum at Bay 2.
*   Advanced process control expertise
*   Installation and commissioning of a continuous autoclave plant.
*   Commercialisation of the heap leaching process of uranium and/or copper bearing ores.
*   Mintek has reached an agreement with the Institute of Physical and Organic Chemistry (IPOC) in Belarus to commercialise fibre technology in the minerals processing industry, with Mintek having an exclusive right to apply the technology in this industry.
*   Demonstration of Mintek’s processing technology for rare earth elements (REE)</t>
  </si>
  <si>
    <t>Stakeholder Perspective: Enhance Mintek’s visibility and credibility to all stakeholders</t>
  </si>
  <si>
    <t>*   Integrated marketing and 
communication functions  
*   Enhancing the visibility and 
credibility of Mintek</t>
  </si>
  <si>
    <r>
      <t xml:space="preserve">*   </t>
    </r>
    <r>
      <rPr>
        <sz val="11"/>
        <color rgb="FF009632"/>
        <rFont val="Arial"/>
        <family val="2"/>
      </rPr>
      <t>Annually updated marketing and communications plan approved and implemented</t>
    </r>
    <r>
      <rPr>
        <sz val="11"/>
        <color theme="1"/>
        <rFont val="Arial"/>
        <family val="2"/>
      </rPr>
      <t xml:space="preserve">
*   </t>
    </r>
    <r>
      <rPr>
        <sz val="11"/>
        <color rgb="FF009632"/>
        <rFont val="Arial"/>
        <family val="2"/>
      </rPr>
      <t>Evidence of enhanced Mintek visibility and credibility as a research institution</t>
    </r>
    <r>
      <rPr>
        <sz val="11"/>
        <color theme="1"/>
        <rFont val="Arial"/>
        <family val="2"/>
      </rPr>
      <t xml:space="preserve">, </t>
    </r>
    <r>
      <rPr>
        <sz val="11"/>
        <color rgb="FF009632"/>
        <rFont val="Arial"/>
        <family val="2"/>
      </rPr>
      <t>Attained annual customer satisfaction target</t>
    </r>
    <r>
      <rPr>
        <sz val="11"/>
        <color theme="1"/>
        <rFont val="Arial"/>
        <family val="2"/>
      </rPr>
      <t xml:space="preserve">, </t>
    </r>
    <r>
      <rPr>
        <sz val="11"/>
        <color rgb="FF009632"/>
        <rFont val="Arial"/>
        <family val="2"/>
      </rPr>
      <t>Enhanced media exposure</t>
    </r>
    <r>
      <rPr>
        <sz val="11"/>
        <color theme="1"/>
        <rFont val="Arial"/>
        <family val="2"/>
      </rPr>
      <t xml:space="preserve">, </t>
    </r>
    <r>
      <rPr>
        <sz val="11"/>
        <color rgb="FF009632"/>
        <rFont val="Arial"/>
        <family val="2"/>
      </rPr>
      <t>Enhanced relations with oversight bodies</t>
    </r>
  </si>
  <si>
    <t>*   Competitive technologies, products and services for optimal mineral resource utilisation
*   Beneficiation to value added products and services
*   Green technologies</t>
  </si>
  <si>
    <t>Stakeholder Perspective: Promote the mineral-based economies of rural and marginalised communities</t>
  </si>
  <si>
    <r>
      <t xml:space="preserve">*   </t>
    </r>
    <r>
      <rPr>
        <sz val="11"/>
        <color rgb="FF009632"/>
        <rFont val="Arial"/>
        <family val="2"/>
      </rPr>
      <t>Develop analytical and mineralogical methods and services, evidenced by reports</t>
    </r>
    <r>
      <rPr>
        <sz val="11"/>
        <color theme="1"/>
        <rFont val="Arial"/>
        <family val="2"/>
      </rPr>
      <t xml:space="preserve">, </t>
    </r>
    <r>
      <rPr>
        <sz val="11"/>
        <color rgb="FF009632"/>
        <rFont val="Arial"/>
        <family val="2"/>
      </rPr>
      <t>Develop new technologies under Science Vote funding</t>
    </r>
    <r>
      <rPr>
        <sz val="11"/>
        <color theme="1"/>
        <rFont val="Arial"/>
        <family val="2"/>
      </rPr>
      <t xml:space="preserve">, </t>
    </r>
    <r>
      <rPr>
        <sz val="11"/>
        <color rgb="FF009632"/>
        <rFont val="Arial"/>
        <family val="2"/>
      </rPr>
      <t>Sales of products, plant and equipment</t>
    </r>
    <r>
      <rPr>
        <sz val="11"/>
        <color theme="1"/>
        <rFont val="Arial"/>
        <family val="2"/>
      </rPr>
      <t xml:space="preserve">, </t>
    </r>
    <r>
      <rPr>
        <sz val="11"/>
        <color rgb="FF009632"/>
        <rFont val="Arial"/>
        <family val="2"/>
      </rPr>
      <t>Commercial investigations and feasibility studies</t>
    </r>
    <r>
      <rPr>
        <sz val="11"/>
        <color theme="1"/>
        <rFont val="Arial"/>
        <family val="2"/>
      </rPr>
      <t xml:space="preserve">
*   </t>
    </r>
    <r>
      <rPr>
        <sz val="11"/>
        <color rgb="FF009632"/>
        <rFont val="Arial"/>
        <family val="2"/>
      </rPr>
      <t>Develop applications for 
precious-, ferrous- and base metals in the areas of:- Biomedicine (HIV, cancer, malaria)</t>
    </r>
    <r>
      <rPr>
        <sz val="11"/>
        <color theme="1"/>
        <rFont val="Arial"/>
        <family val="2"/>
      </rPr>
      <t xml:space="preserve">, </t>
    </r>
    <r>
      <rPr>
        <sz val="11"/>
        <color rgb="FF009632"/>
        <rFont val="Arial"/>
        <family val="2"/>
      </rPr>
      <t>Develop metallurgical processes and products for base-, light- (titanium, magnesium) and ferrous metals</t>
    </r>
    <r>
      <rPr>
        <sz val="11"/>
        <color theme="1"/>
        <rFont val="Arial"/>
        <family val="2"/>
      </rPr>
      <t xml:space="preserve">
*   </t>
    </r>
    <r>
      <rPr>
        <sz val="11"/>
        <color rgb="FFFFC000"/>
        <rFont val="Arial"/>
        <family val="2"/>
      </rPr>
      <t>Develop water efficient  processes and flow sheets to optimise water consumption and enable processing of ore bodies in water stricken areas</t>
    </r>
    <r>
      <rPr>
        <sz val="11"/>
        <color theme="1"/>
        <rFont val="Arial"/>
        <family val="2"/>
      </rPr>
      <t xml:space="preserve">, </t>
    </r>
    <r>
      <rPr>
        <sz val="11"/>
        <color rgb="FF009632"/>
        <rFont val="Arial"/>
        <family val="2"/>
      </rPr>
      <t>Develop energy efficient processes, flow sheets and control technologies that minimise energy consumption and carbon emissions</t>
    </r>
    <r>
      <rPr>
        <sz val="11"/>
        <color theme="1"/>
        <rFont val="Arial"/>
        <family val="2"/>
      </rPr>
      <t xml:space="preserve">, </t>
    </r>
    <r>
      <rPr>
        <sz val="11"/>
        <color rgb="FFFFC000"/>
        <rFont val="Arial"/>
        <family val="2"/>
      </rPr>
      <t>Develop waste management and recycling technologies for treating and recycling waste in order to extend mineral resources</t>
    </r>
    <r>
      <rPr>
        <sz val="11"/>
        <color theme="1"/>
        <rFont val="Arial"/>
        <family val="2"/>
      </rPr>
      <t xml:space="preserve">, </t>
    </r>
    <r>
      <rPr>
        <sz val="11"/>
        <color rgb="FFFF0000"/>
        <rFont val="Arial"/>
        <family val="2"/>
      </rPr>
      <t>Rehabilitate derelict &amp; ownerless mine sites</t>
    </r>
  </si>
  <si>
    <t>*   Development of technologies 
and strategies relevant to rural and marginalised communities
*   Economically sustainable businesses created  in rural and marginalised communities
*   Training and skills development interventions in rural and marginalised communities</t>
  </si>
  <si>
    <r>
      <t xml:space="preserve">*   </t>
    </r>
    <r>
      <rPr>
        <sz val="11"/>
        <color rgb="FF009632"/>
        <rFont val="Arial"/>
        <family val="2"/>
      </rPr>
      <t>Establish technologies and strategies relevant to small scale operators, for transfer to rural and marginalised communities</t>
    </r>
    <r>
      <rPr>
        <sz val="11"/>
        <color theme="1"/>
        <rFont val="Arial"/>
        <family val="2"/>
      </rPr>
      <t xml:space="preserve">, 
*  </t>
    </r>
    <r>
      <rPr>
        <sz val="11"/>
        <color rgb="FF009632"/>
        <rFont val="Arial"/>
        <family val="2"/>
      </rPr>
      <t xml:space="preserve"> Develop and support economically sustainable SMME enterprises,</t>
    </r>
    <r>
      <rPr>
        <sz val="11"/>
        <color theme="1"/>
        <rFont val="Arial"/>
        <family val="2"/>
      </rPr>
      <t xml:space="preserve"> 
*   </t>
    </r>
    <r>
      <rPr>
        <sz val="11"/>
        <color rgb="FF009632"/>
        <rFont val="Arial"/>
        <family val="2"/>
      </rPr>
      <t>Provide accredited training in glass bead, jewellery, pottery and brick making, introduction to small scale mining.</t>
    </r>
  </si>
  <si>
    <r>
      <t xml:space="preserve">*   </t>
    </r>
    <r>
      <rPr>
        <sz val="11"/>
        <color rgb="FF009632"/>
        <rFont val="Arial"/>
        <family val="2"/>
      </rPr>
      <t>BEE procurement as a % of total discretionary spend</t>
    </r>
    <r>
      <rPr>
        <sz val="11"/>
        <color theme="1"/>
        <rFont val="Arial"/>
        <family val="2"/>
      </rPr>
      <t xml:space="preserve">, </t>
    </r>
    <r>
      <rPr>
        <sz val="11"/>
        <color rgb="FF009632"/>
        <rFont val="Arial"/>
        <family val="2"/>
      </rPr>
      <t>Strengthened Internal Financial Controls</t>
    </r>
    <r>
      <rPr>
        <sz val="11"/>
        <color theme="1"/>
        <rFont val="Arial"/>
        <family val="2"/>
      </rPr>
      <t xml:space="preserve">, </t>
    </r>
    <r>
      <rPr>
        <sz val="11"/>
        <color rgb="FF009632"/>
        <rFont val="Arial"/>
        <family val="2"/>
      </rPr>
      <t>Sound Debtor Management</t>
    </r>
    <r>
      <rPr>
        <sz val="11"/>
        <color theme="1"/>
        <rFont val="Arial"/>
        <family val="2"/>
      </rPr>
      <t xml:space="preserve">, </t>
    </r>
    <r>
      <rPr>
        <sz val="11"/>
        <color rgb="FFFF0000"/>
        <rFont val="Arial"/>
        <family val="2"/>
      </rPr>
      <t>Total Income</t>
    </r>
    <r>
      <rPr>
        <sz val="11"/>
        <color theme="1"/>
        <rFont val="Arial"/>
        <family val="2"/>
      </rPr>
      <t xml:space="preserve">, </t>
    </r>
    <r>
      <rPr>
        <sz val="11"/>
        <color rgb="FF009632"/>
        <rFont val="Arial"/>
        <family val="2"/>
      </rPr>
      <t>Net Result (surplus)</t>
    </r>
    <r>
      <rPr>
        <sz val="11"/>
        <color theme="1"/>
        <rFont val="Arial"/>
        <family val="2"/>
      </rPr>
      <t xml:space="preserve">, </t>
    </r>
    <r>
      <rPr>
        <sz val="11"/>
        <color rgb="FF009632"/>
        <rFont val="Arial"/>
        <family val="2"/>
      </rPr>
      <t>Optimal yield on Investment</t>
    </r>
    <r>
      <rPr>
        <sz val="11"/>
        <color theme="1"/>
        <rFont val="Arial"/>
        <family val="2"/>
      </rPr>
      <t xml:space="preserve">, </t>
    </r>
    <r>
      <rPr>
        <sz val="11"/>
        <color rgb="FF009632"/>
        <rFont val="Arial"/>
        <family val="2"/>
      </rPr>
      <t>Total Capital Expenditure</t>
    </r>
    <r>
      <rPr>
        <sz val="11"/>
        <color theme="1"/>
        <rFont val="Arial"/>
        <family val="2"/>
      </rPr>
      <t xml:space="preserve">
*  </t>
    </r>
    <r>
      <rPr>
        <sz val="11"/>
        <color rgb="FF009632"/>
        <rFont val="Arial"/>
        <family val="2"/>
      </rPr>
      <t xml:space="preserve"> Maintained balance between R&amp;D and Commercial Revenue streams</t>
    </r>
    <r>
      <rPr>
        <sz val="11"/>
        <color theme="1"/>
        <rFont val="Arial"/>
        <family val="2"/>
      </rPr>
      <t xml:space="preserve">, </t>
    </r>
    <r>
      <rPr>
        <sz val="11"/>
        <color rgb="FF009632"/>
        <rFont val="Arial"/>
        <family val="2"/>
      </rPr>
      <t>Maintained balance between TCTC Salary Bill/Total Expenditure</t>
    </r>
    <r>
      <rPr>
        <sz val="11"/>
        <color theme="1"/>
        <rFont val="Arial"/>
        <family val="2"/>
      </rPr>
      <t xml:space="preserve">, </t>
    </r>
    <r>
      <rPr>
        <sz val="11"/>
        <color rgb="FF009632"/>
        <rFont val="Arial"/>
        <family val="2"/>
      </rPr>
      <t>Enhanced Liquidity Ratio</t>
    </r>
    <r>
      <rPr>
        <sz val="11"/>
        <color theme="1"/>
        <rFont val="Arial"/>
        <family val="2"/>
      </rPr>
      <t xml:space="preserve">, </t>
    </r>
    <r>
      <rPr>
        <sz val="11"/>
        <color rgb="FF009632"/>
        <rFont val="Arial"/>
        <family val="2"/>
      </rPr>
      <t>Improved cash flows from operations</t>
    </r>
    <r>
      <rPr>
        <sz val="11"/>
        <color theme="1"/>
        <rFont val="Arial"/>
        <family val="2"/>
      </rPr>
      <t xml:space="preserve">, </t>
    </r>
    <r>
      <rPr>
        <sz val="11"/>
        <color rgb="FF009632"/>
        <rFont val="Arial"/>
        <family val="2"/>
      </rPr>
      <t>Integration of EMS and ESD services.</t>
    </r>
    <r>
      <rPr>
        <sz val="11"/>
        <color theme="1"/>
        <rFont val="Arial"/>
        <family val="2"/>
      </rPr>
      <t xml:space="preserve">
*   </t>
    </r>
    <r>
      <rPr>
        <sz val="11"/>
        <color rgb="FF009632"/>
        <rFont val="Arial"/>
        <family val="2"/>
      </rPr>
      <t>SHEQ standards maintained and enhanced</t>
    </r>
    <r>
      <rPr>
        <sz val="11"/>
        <color theme="1"/>
        <rFont val="Arial"/>
        <family val="2"/>
      </rPr>
      <t xml:space="preserve">
*   </t>
    </r>
    <r>
      <rPr>
        <sz val="11"/>
        <color rgb="FF009632"/>
        <rFont val="Arial"/>
        <family val="2"/>
      </rPr>
      <t>Compliance with appropriate standards, regulations and legislation</t>
    </r>
    <r>
      <rPr>
        <sz val="11"/>
        <color theme="1"/>
        <rFont val="Arial"/>
        <family val="2"/>
      </rPr>
      <t xml:space="preserve">
*  </t>
    </r>
    <r>
      <rPr>
        <sz val="11"/>
        <color rgb="FF009632"/>
        <rFont val="Arial"/>
        <family val="2"/>
      </rPr>
      <t xml:space="preserve"> Implementation of ICT Master plan</t>
    </r>
    <r>
      <rPr>
        <sz val="11"/>
        <color theme="1"/>
        <rFont val="Arial"/>
        <family val="2"/>
      </rPr>
      <t xml:space="preserve">, </t>
    </r>
    <r>
      <rPr>
        <sz val="11"/>
        <color rgb="FF009632"/>
        <rFont val="Arial"/>
        <family val="2"/>
      </rPr>
      <t>Implementation of an electronic document and record 
management system</t>
    </r>
    <r>
      <rPr>
        <sz val="11"/>
        <rFont val="Arial"/>
        <family val="2"/>
      </rPr>
      <t>,</t>
    </r>
    <r>
      <rPr>
        <sz val="11"/>
        <color rgb="FFFFC000"/>
        <rFont val="Arial"/>
        <family val="2"/>
      </rPr>
      <t xml:space="preserve"> </t>
    </r>
    <r>
      <rPr>
        <sz val="11"/>
        <color rgb="FF009632"/>
        <rFont val="Arial"/>
        <family val="2"/>
      </rPr>
      <t>Development of a knowledge management system</t>
    </r>
  </si>
  <si>
    <r>
      <t xml:space="preserve">*   </t>
    </r>
    <r>
      <rPr>
        <sz val="11"/>
        <color rgb="FF009632"/>
        <rFont val="Arial"/>
        <family val="2"/>
      </rPr>
      <t>Enhanced Skills Development</t>
    </r>
    <r>
      <rPr>
        <sz val="11"/>
        <rFont val="Arial"/>
        <family val="2"/>
      </rPr>
      <t>,</t>
    </r>
    <r>
      <rPr>
        <sz val="11"/>
        <color rgb="FF009632"/>
        <rFont val="Arial"/>
        <family val="2"/>
      </rPr>
      <t xml:space="preserve"> Enhanced relationships with Institutions of Higher Education and other similar organisations</t>
    </r>
    <r>
      <rPr>
        <sz val="11"/>
        <color theme="1"/>
        <rFont val="Arial"/>
        <family val="2"/>
      </rPr>
      <t xml:space="preserve">, </t>
    </r>
    <r>
      <rPr>
        <sz val="11"/>
        <color rgb="FF009632"/>
        <rFont val="Arial"/>
        <family val="2"/>
      </rPr>
      <t>Science, Technology, Engineering and Maths (STEM) Promotion</t>
    </r>
    <r>
      <rPr>
        <sz val="11"/>
        <color theme="1"/>
        <rFont val="Arial"/>
        <family val="2"/>
      </rPr>
      <t xml:space="preserve">, </t>
    </r>
    <r>
      <rPr>
        <sz val="11"/>
        <color rgb="FF009632"/>
        <rFont val="Arial"/>
        <family val="2"/>
      </rPr>
      <t>Effective Full-time Bursary Programme</t>
    </r>
    <r>
      <rPr>
        <sz val="11"/>
        <color theme="1"/>
        <rFont val="Arial"/>
        <family val="2"/>
      </rPr>
      <t xml:space="preserve">, </t>
    </r>
    <r>
      <rPr>
        <sz val="11"/>
        <color rgb="FF009632"/>
        <rFont val="Arial"/>
        <family val="2"/>
      </rPr>
      <t>Effective Part-time Bursary Programme</t>
    </r>
    <r>
      <rPr>
        <sz val="11"/>
        <color theme="1"/>
        <rFont val="Arial"/>
        <family val="2"/>
      </rPr>
      <t xml:space="preserve">, </t>
    </r>
    <r>
      <rPr>
        <sz val="11"/>
        <color rgb="FF009632"/>
        <rFont val="Arial"/>
        <family val="2"/>
      </rPr>
      <t>Work-Integrated Learning, Studentships and Internship Programmes</t>
    </r>
    <r>
      <rPr>
        <sz val="11"/>
        <color theme="1"/>
        <rFont val="Arial"/>
        <family val="2"/>
      </rPr>
      <t xml:space="preserve">, </t>
    </r>
    <r>
      <rPr>
        <sz val="11"/>
        <color rgb="FFFFC000"/>
        <rFont val="Arial"/>
        <family val="2"/>
      </rPr>
      <t>Artisan Learnership Programme</t>
    </r>
    <r>
      <rPr>
        <sz val="11"/>
        <color theme="1"/>
        <rFont val="Arial"/>
        <family val="2"/>
      </rPr>
      <t xml:space="preserve">, </t>
    </r>
    <r>
      <rPr>
        <sz val="11"/>
        <color rgb="FF009632"/>
        <rFont val="Arial"/>
        <family val="2"/>
      </rPr>
      <t>Development Programmes for recent graduate scientists &amp; engineers, and for training future career researchers</t>
    </r>
    <r>
      <rPr>
        <sz val="11"/>
        <color theme="1"/>
        <rFont val="Arial"/>
        <family val="2"/>
      </rPr>
      <t xml:space="preserve">
*   </t>
    </r>
    <r>
      <rPr>
        <sz val="11"/>
        <color rgb="FF009632"/>
        <rFont val="Arial"/>
        <family val="2"/>
      </rPr>
      <t>Employment Equity Report and Plan</t>
    </r>
    <r>
      <rPr>
        <sz val="11"/>
        <rFont val="Arial"/>
        <family val="2"/>
      </rPr>
      <t>,</t>
    </r>
    <r>
      <rPr>
        <sz val="11"/>
        <color rgb="FF009632"/>
        <rFont val="Arial"/>
        <family val="2"/>
      </rPr>
      <t xml:space="preserve"> Compliance with Performance Management  Policy</t>
    </r>
    <r>
      <rPr>
        <sz val="11"/>
        <rFont val="Arial"/>
        <family val="2"/>
      </rPr>
      <t>,</t>
    </r>
    <r>
      <rPr>
        <sz val="11"/>
        <color rgb="FF009632"/>
        <rFont val="Arial"/>
        <family val="2"/>
      </rPr>
      <t xml:space="preserve"> Enhanced Experience Profile of “SCIENTISTS”</t>
    </r>
    <r>
      <rPr>
        <sz val="11"/>
        <color theme="1"/>
        <rFont val="Arial"/>
        <family val="2"/>
      </rPr>
      <t xml:space="preserve">, </t>
    </r>
    <r>
      <rPr>
        <sz val="11"/>
        <color rgb="FFFFC000"/>
        <rFont val="Arial"/>
        <family val="2"/>
      </rPr>
      <t>Proportion of Researchers to Total Staff</t>
    </r>
    <r>
      <rPr>
        <sz val="11"/>
        <color theme="1"/>
        <rFont val="Arial"/>
        <family val="2"/>
      </rPr>
      <t>,</t>
    </r>
    <r>
      <rPr>
        <sz val="11"/>
        <color rgb="FF009632"/>
        <rFont val="Arial"/>
        <family val="2"/>
      </rPr>
      <t xml:space="preserve"> No. of Staff enrolled for postgraduate (Masters and above) studies</t>
    </r>
    <r>
      <rPr>
        <sz val="11"/>
        <color theme="1"/>
        <rFont val="Arial"/>
        <family val="2"/>
      </rPr>
      <t xml:space="preserve">, </t>
    </r>
    <r>
      <rPr>
        <sz val="11"/>
        <color rgb="FF009632"/>
        <rFont val="Arial"/>
        <family val="2"/>
      </rPr>
      <t>% of staff with MSc &amp; MEng</t>
    </r>
    <r>
      <rPr>
        <sz val="11"/>
        <color theme="1"/>
        <rFont val="Arial"/>
        <family val="2"/>
      </rPr>
      <t xml:space="preserve">, </t>
    </r>
    <r>
      <rPr>
        <sz val="11"/>
        <color rgb="FFFFC000"/>
        <rFont val="Arial"/>
        <family val="2"/>
      </rPr>
      <t>% of staff with PhD</t>
    </r>
    <r>
      <rPr>
        <sz val="11"/>
        <color theme="1"/>
        <rFont val="Arial"/>
        <family val="2"/>
      </rPr>
      <t xml:space="preserve">, </t>
    </r>
    <r>
      <rPr>
        <sz val="11"/>
        <color rgb="FFFF0000"/>
        <rFont val="Arial"/>
        <family val="2"/>
      </rPr>
      <t>Enhanced staff Retention &amp; Succession</t>
    </r>
    <r>
      <rPr>
        <sz val="11"/>
        <color theme="1"/>
        <rFont val="Arial"/>
        <family val="2"/>
      </rPr>
      <t xml:space="preserve">, </t>
    </r>
    <r>
      <rPr>
        <sz val="11"/>
        <color rgb="FFFF0000"/>
        <rFont val="Arial"/>
        <family val="2"/>
      </rPr>
      <t>Enhanced Coaching and Mentoring</t>
    </r>
    <r>
      <rPr>
        <sz val="11"/>
        <color theme="1"/>
        <rFont val="Arial"/>
        <family val="2"/>
      </rPr>
      <t xml:space="preserve">, </t>
    </r>
    <r>
      <rPr>
        <sz val="11"/>
        <color rgb="FF009632"/>
        <rFont val="Arial"/>
        <family val="2"/>
      </rPr>
      <t>Upholding of Mintek values</t>
    </r>
    <r>
      <rPr>
        <sz val="11"/>
        <color theme="1"/>
        <rFont val="Arial"/>
        <family val="2"/>
      </rPr>
      <t xml:space="preserve">, </t>
    </r>
    <r>
      <rPr>
        <sz val="11"/>
        <color rgb="FF009632"/>
        <rFont val="Arial"/>
        <family val="2"/>
      </rPr>
      <t>Enhanced induction programme</t>
    </r>
    <r>
      <rPr>
        <sz val="11"/>
        <color theme="1"/>
        <rFont val="Arial"/>
        <family val="2"/>
      </rPr>
      <t xml:space="preserve">, </t>
    </r>
    <r>
      <rPr>
        <sz val="11"/>
        <color rgb="FFFF0000"/>
        <rFont val="Arial"/>
        <family val="2"/>
      </rPr>
      <t>Conduct skills audit</t>
    </r>
    <r>
      <rPr>
        <sz val="11"/>
        <color theme="1"/>
        <rFont val="Arial"/>
        <family val="2"/>
      </rPr>
      <t xml:space="preserve">, </t>
    </r>
    <r>
      <rPr>
        <sz val="11"/>
        <color rgb="FF009632"/>
        <rFont val="Arial"/>
        <family val="2"/>
      </rPr>
      <t>Enhanced Employee Health and Wellness Programme</t>
    </r>
  </si>
  <si>
    <t>*   Large installations of Mintek’s world leading FloatStar level Stabiliser (FSlS) and MillStar technologies were also completed at a number of Southern African concentrators, including a FSlS at Mimosa in Zimbabwe and a full MillStar and FSlS for Mopani Copper Mines in Zambia.
*   Mintek’s started the construction of a pilot facility for the demonstration of processing technology for rare earth elements (REE) last year.  The installation of this rare earth pilot plant has now been completed.
*   Acid mine drainage (AMD) is a threat to our country as the flow, or seepage, of polluted water from old mined out areas may contain toxic heavy metals and radioactive elements which are dangerous to people’s health, as well as plants and animals. A suitable test site for demonstrating the SAVMIN™ technology had been secured on the West Rand and an agreement with the site owners has been finalised.
*   The automated continuous autoclave plant is scheduled to be commissioned in the second quarter of 2014. There is continuous interest in the facility and it is envisaged that a successful pilot campaign can convert interest into commercial revenue for Mintek.
*   We continued to increase our market penetration of products in the area of advanced process control for flotation, milling, furnace control and cyanide measurement and control throughout the world.</t>
  </si>
  <si>
    <t>*   Mintek achieved a surplus of R17.4-million, which is an improvement of 71% on the targeted amount of R10.4-million.
*   Achieved 11% additional surplus on cash reserves compared to the previous period due to a culture of saving.
*   However, despite the surplus, our total income of R462-million was lower than anticipated due to the Bay 2 downtime and a decrease in commercial work towards the third quarter of the year.</t>
  </si>
  <si>
    <t xml:space="preserve">*   Contribution to the mining and mineral processing industry.
*   Contribution to the green technology.
*   Contribution to the development of technical skills including Science, Technology, Engineering and Maths.
*   Level of collaboration with institutions that develop and manage knowledge (IP).
*   Post graduate development of staff and graduates including their absorption.
</t>
  </si>
  <si>
    <t>Strategic objective 1: Enhance Mintek’s visibility and credibility to all stakeholders</t>
  </si>
  <si>
    <t>Strategic Objective 2:   Research and develop efficient mineral processing technologies and value added products and services</t>
  </si>
  <si>
    <t>Strategic objective 3: Promote the mineral-based economies of rural and marginalised communities</t>
  </si>
  <si>
    <t>Strategic objective 4: Uphold good governance practices</t>
  </si>
  <si>
    <t>*   Enhanced fiscal discipline and the effective management of resources
*   Enhanced organisational efficiencies and energy efficiency 
*   Enhanced Quality, Environment and Safety
*   Compliance with national and international regulatory frameworks, and  applicable standards
*   Enhanced business integration and organisational effectiveness</t>
  </si>
  <si>
    <t>Strategic objective 5: Build world-class R&amp;D excellence</t>
  </si>
  <si>
    <t>*   Human Capital Development, Attraction &amp; Retention Identify and support potential skills in the scientific and technological fields. Enhanced pipeline of skills available to support the Mintek Mandate
*   Transformation of the Mintek Organisation</t>
  </si>
  <si>
    <t>*   Training and development
*   Organisational development
*   Employee health and wellness
*   Effective human resource systems</t>
  </si>
  <si>
    <t>*   Integrated marketing and communication functions  
*   Enhancing the visibility and 
credibility of Mintek</t>
  </si>
  <si>
    <r>
      <t xml:space="preserve">*  </t>
    </r>
    <r>
      <rPr>
        <sz val="11"/>
        <color rgb="FF009632"/>
        <rFont val="Arial"/>
        <family val="2"/>
      </rPr>
      <t xml:space="preserve"> Integrated marketing and communication functions</t>
    </r>
    <r>
      <rPr>
        <sz val="11"/>
        <color theme="1"/>
        <rFont val="Arial"/>
        <family val="2"/>
      </rPr>
      <t xml:space="preserve">
*   </t>
    </r>
    <r>
      <rPr>
        <sz val="11"/>
        <color rgb="FFFFC000"/>
        <rFont val="Arial"/>
        <family val="2"/>
      </rPr>
      <t>Mintek promotion</t>
    </r>
    <r>
      <rPr>
        <sz val="11"/>
        <color theme="1"/>
        <rFont val="Arial"/>
        <family val="2"/>
      </rPr>
      <t>, I</t>
    </r>
    <r>
      <rPr>
        <sz val="11"/>
        <color rgb="FF009632"/>
        <rFont val="Arial"/>
        <family val="2"/>
      </rPr>
      <t>P creation and transfer</t>
    </r>
    <r>
      <rPr>
        <sz val="11"/>
        <color theme="1"/>
        <rFont val="Arial"/>
        <family val="2"/>
      </rPr>
      <t xml:space="preserve">, </t>
    </r>
    <r>
      <rPr>
        <sz val="11"/>
        <color rgb="FF009632"/>
        <rFont val="Arial"/>
        <family val="2"/>
      </rPr>
      <t>Attained annual customer satisfaction target</t>
    </r>
    <r>
      <rPr>
        <sz val="11"/>
        <color theme="1"/>
        <rFont val="Arial"/>
        <family val="2"/>
      </rPr>
      <t xml:space="preserve">, </t>
    </r>
    <r>
      <rPr>
        <sz val="11"/>
        <color rgb="FF009632"/>
        <rFont val="Arial"/>
        <family val="2"/>
      </rPr>
      <t>Enhanced media exposure</t>
    </r>
    <r>
      <rPr>
        <sz val="11"/>
        <color theme="1"/>
        <rFont val="Arial"/>
        <family val="2"/>
      </rPr>
      <t xml:space="preserve">, </t>
    </r>
    <r>
      <rPr>
        <sz val="11"/>
        <color rgb="FF009632"/>
        <rFont val="Arial"/>
        <family val="2"/>
      </rPr>
      <t>Enhanced relations with oversight bodies</t>
    </r>
  </si>
  <si>
    <r>
      <t xml:space="preserve">*   </t>
    </r>
    <r>
      <rPr>
        <sz val="11"/>
        <color rgb="FFFFC000"/>
        <rFont val="Arial"/>
        <family val="2"/>
      </rPr>
      <t>Develop analytical and mineralogical methods and supply of services</t>
    </r>
    <r>
      <rPr>
        <sz val="11"/>
        <color theme="1"/>
        <rFont val="Arial"/>
        <family val="2"/>
      </rPr>
      <t xml:space="preserve">, </t>
    </r>
    <r>
      <rPr>
        <sz val="11"/>
        <color rgb="FFFFC000"/>
        <rFont val="Arial"/>
        <family val="2"/>
      </rPr>
      <t>Develop new technologies under Science vote funding</t>
    </r>
    <r>
      <rPr>
        <sz val="11"/>
        <color theme="1"/>
        <rFont val="Arial"/>
        <family val="2"/>
      </rPr>
      <t xml:space="preserve">, </t>
    </r>
    <r>
      <rPr>
        <sz val="11"/>
        <color rgb="FFFF0000"/>
        <rFont val="Arial"/>
        <family val="2"/>
      </rPr>
      <t>Sales of products, plant and equipment</t>
    </r>
    <r>
      <rPr>
        <sz val="11"/>
        <color theme="1"/>
        <rFont val="Arial"/>
        <family val="2"/>
      </rPr>
      <t xml:space="preserve">, </t>
    </r>
    <r>
      <rPr>
        <sz val="11"/>
        <color rgb="FF009632"/>
        <rFont val="Arial"/>
        <family val="2"/>
      </rPr>
      <t>Commercial investigations and feasibility studies</t>
    </r>
    <r>
      <rPr>
        <sz val="11"/>
        <color theme="1"/>
        <rFont val="Arial"/>
        <family val="2"/>
      </rPr>
      <t xml:space="preserve">, </t>
    </r>
    <r>
      <rPr>
        <sz val="11"/>
        <color rgb="FF009632"/>
        <rFont val="Arial"/>
        <family val="2"/>
      </rPr>
      <t>Provision of Mineral Economics and Strategy advice</t>
    </r>
    <r>
      <rPr>
        <sz val="11"/>
        <color theme="1"/>
        <rFont val="Arial"/>
        <family val="2"/>
      </rPr>
      <t xml:space="preserve">
*   </t>
    </r>
    <r>
      <rPr>
        <sz val="11"/>
        <color rgb="FF009632"/>
        <rFont val="Arial"/>
        <family val="2"/>
      </rPr>
      <t>Develop applications for precious-, ferrous- and base metals in the areas of:- Biomedicine (HIv, cancer, malaria)</t>
    </r>
    <r>
      <rPr>
        <sz val="11"/>
        <color theme="1"/>
        <rFont val="Arial"/>
        <family val="2"/>
      </rPr>
      <t xml:space="preserve">, </t>
    </r>
    <r>
      <rPr>
        <sz val="11"/>
        <color rgb="FF009632"/>
        <rFont val="Arial"/>
        <family val="2"/>
      </rPr>
      <t>Develop metallurgical processes and products for base, light- (titanium, magnesium) &amp; ferrous metals</t>
    </r>
    <r>
      <rPr>
        <sz val="11"/>
        <color theme="1"/>
        <rFont val="Arial"/>
        <family val="2"/>
      </rPr>
      <t xml:space="preserve">
*   </t>
    </r>
    <r>
      <rPr>
        <sz val="11"/>
        <color rgb="FF009632"/>
        <rFont val="Arial"/>
        <family val="2"/>
      </rPr>
      <t>Develop water efficient  processes and flow sheets to optimise water consumption and enable processing of ore bodies in water stricken areas</t>
    </r>
    <r>
      <rPr>
        <sz val="11"/>
        <color theme="1"/>
        <rFont val="Arial"/>
        <family val="2"/>
      </rPr>
      <t xml:space="preserve">, </t>
    </r>
    <r>
      <rPr>
        <sz val="11"/>
        <color rgb="FF009632"/>
        <rFont val="Arial"/>
        <family val="2"/>
      </rPr>
      <t>Develop energy efficient processes, flow sheets and control technologies that minimise energy consumption and carbon emissions</t>
    </r>
    <r>
      <rPr>
        <sz val="11"/>
        <color theme="1"/>
        <rFont val="Arial"/>
        <family val="2"/>
      </rPr>
      <t xml:space="preserve">, </t>
    </r>
    <r>
      <rPr>
        <sz val="11"/>
        <color rgb="FF009632"/>
        <rFont val="Arial"/>
        <family val="2"/>
      </rPr>
      <t>Develop waste management and recycling technologies for treating and recycling waste in order to extend mineral resources</t>
    </r>
    <r>
      <rPr>
        <sz val="11"/>
        <color theme="1"/>
        <rFont val="Arial"/>
        <family val="2"/>
      </rPr>
      <t xml:space="preserve">, </t>
    </r>
    <r>
      <rPr>
        <sz val="11"/>
        <color rgb="FF009632"/>
        <rFont val="Arial"/>
        <family val="2"/>
      </rPr>
      <t>Rehabilitate derelict &amp; ownerless mine sites</t>
    </r>
  </si>
  <si>
    <r>
      <t xml:space="preserve">*   </t>
    </r>
    <r>
      <rPr>
        <sz val="11"/>
        <color rgb="FF009632"/>
        <rFont val="Arial"/>
        <family val="2"/>
      </rPr>
      <t>Establish technologies and strategies relevant to small scale operators, for transfer to rural and marginalised communities</t>
    </r>
    <r>
      <rPr>
        <sz val="11"/>
        <color theme="1"/>
        <rFont val="Arial"/>
        <family val="2"/>
      </rPr>
      <t xml:space="preserve">
*   </t>
    </r>
    <r>
      <rPr>
        <sz val="11"/>
        <color rgb="FF009632"/>
        <rFont val="Arial"/>
        <family val="2"/>
      </rPr>
      <t>Develop and support economically sustainable rural and marginalised communities</t>
    </r>
    <r>
      <rPr>
        <sz val="11"/>
        <color theme="1"/>
        <rFont val="Arial"/>
        <family val="2"/>
      </rPr>
      <t xml:space="preserve">
*    </t>
    </r>
    <r>
      <rPr>
        <sz val="11"/>
        <color rgb="FF009632"/>
        <rFont val="Arial"/>
        <family val="2"/>
      </rPr>
      <t>Provide accredited training relevant to rural and marginalised communities</t>
    </r>
  </si>
  <si>
    <r>
      <t xml:space="preserve">*   </t>
    </r>
    <r>
      <rPr>
        <sz val="11"/>
        <color rgb="FF009632"/>
        <rFont val="Arial"/>
        <family val="2"/>
      </rPr>
      <t>BEE procurement as a % of total discretionary spend</t>
    </r>
    <r>
      <rPr>
        <sz val="11"/>
        <color theme="1"/>
        <rFont val="Arial"/>
        <family val="2"/>
      </rPr>
      <t xml:space="preserve">, </t>
    </r>
    <r>
      <rPr>
        <sz val="11"/>
        <color rgb="FF009632"/>
        <rFont val="Arial"/>
        <family val="2"/>
      </rPr>
      <t>Strengthened Internal Financial Controls</t>
    </r>
    <r>
      <rPr>
        <sz val="11"/>
        <color theme="1"/>
        <rFont val="Arial"/>
        <family val="2"/>
      </rPr>
      <t xml:space="preserve">, </t>
    </r>
    <r>
      <rPr>
        <sz val="11"/>
        <color rgb="FF009632"/>
        <rFont val="Arial"/>
        <family val="2"/>
      </rPr>
      <t>Sound Debtor Management</t>
    </r>
    <r>
      <rPr>
        <sz val="11"/>
        <color theme="1"/>
        <rFont val="Arial"/>
        <family val="2"/>
      </rPr>
      <t xml:space="preserve">, </t>
    </r>
    <r>
      <rPr>
        <sz val="11"/>
        <color rgb="FFFF0000"/>
        <rFont val="Arial"/>
        <family val="2"/>
      </rPr>
      <t>Total Income</t>
    </r>
    <r>
      <rPr>
        <sz val="11"/>
        <color theme="1"/>
        <rFont val="Arial"/>
        <family val="2"/>
      </rPr>
      <t xml:space="preserve">, </t>
    </r>
    <r>
      <rPr>
        <sz val="11"/>
        <color rgb="FF009632"/>
        <rFont val="Arial"/>
        <family val="2"/>
      </rPr>
      <t>Net Result (surplus)</t>
    </r>
    <r>
      <rPr>
        <sz val="11"/>
        <color theme="1"/>
        <rFont val="Arial"/>
        <family val="2"/>
      </rPr>
      <t xml:space="preserve">, </t>
    </r>
    <r>
      <rPr>
        <sz val="11"/>
        <color rgb="FF009632"/>
        <rFont val="Arial"/>
        <family val="2"/>
      </rPr>
      <t>Optimal yield on Investment</t>
    </r>
    <r>
      <rPr>
        <sz val="11"/>
        <color theme="1"/>
        <rFont val="Arial"/>
        <family val="2"/>
      </rPr>
      <t xml:space="preserve">, </t>
    </r>
    <r>
      <rPr>
        <sz val="11"/>
        <color rgb="FFFF0000"/>
        <rFont val="Arial"/>
        <family val="2"/>
      </rPr>
      <t>Total Capital Expenditure</t>
    </r>
    <r>
      <rPr>
        <sz val="11"/>
        <color theme="1"/>
        <rFont val="Arial"/>
        <family val="2"/>
      </rPr>
      <t xml:space="preserve">
*   </t>
    </r>
    <r>
      <rPr>
        <sz val="11"/>
        <color rgb="FF009632"/>
        <rFont val="Arial"/>
        <family val="2"/>
      </rPr>
      <t>Maintained balance between R&amp;D and Commercial Revenue streams</t>
    </r>
    <r>
      <rPr>
        <sz val="11"/>
        <color theme="1"/>
        <rFont val="Arial"/>
        <family val="2"/>
      </rPr>
      <t xml:space="preserve">, </t>
    </r>
    <r>
      <rPr>
        <sz val="11"/>
        <color rgb="FFFF0000"/>
        <rFont val="Arial"/>
        <family val="2"/>
      </rPr>
      <t>Maintained balance between TCTC Salary Bill/Total Expenditure</t>
    </r>
    <r>
      <rPr>
        <sz val="11"/>
        <color theme="1"/>
        <rFont val="Arial"/>
        <family val="2"/>
      </rPr>
      <t>,</t>
    </r>
    <r>
      <rPr>
        <sz val="11"/>
        <color rgb="FF009632"/>
        <rFont val="Arial"/>
        <family val="2"/>
      </rPr>
      <t xml:space="preserve"> Enhanced Liquidity Ratio</t>
    </r>
    <r>
      <rPr>
        <sz val="11"/>
        <color theme="1"/>
        <rFont val="Arial"/>
        <family val="2"/>
      </rPr>
      <t xml:space="preserve">, </t>
    </r>
    <r>
      <rPr>
        <sz val="11"/>
        <color rgb="FF009632"/>
        <rFont val="Arial"/>
        <family val="2"/>
      </rPr>
      <t>Improved cash flows from 
operations</t>
    </r>
    <r>
      <rPr>
        <sz val="11"/>
        <color theme="1"/>
        <rFont val="Arial"/>
        <family val="2"/>
      </rPr>
      <t xml:space="preserve">, </t>
    </r>
    <r>
      <rPr>
        <sz val="11"/>
        <color rgb="FF009632"/>
        <rFont val="Arial"/>
        <family val="2"/>
      </rPr>
      <t>Productivity Ratio</t>
    </r>
    <r>
      <rPr>
        <sz val="11"/>
        <color theme="1"/>
        <rFont val="Arial"/>
        <family val="2"/>
      </rPr>
      <t xml:space="preserve">, </t>
    </r>
    <r>
      <rPr>
        <sz val="11"/>
        <color rgb="FF009632"/>
        <rFont val="Arial"/>
        <family val="2"/>
      </rPr>
      <t>Energy Efficiency</t>
    </r>
    <r>
      <rPr>
        <sz val="11"/>
        <color theme="1"/>
        <rFont val="Arial"/>
        <family val="2"/>
      </rPr>
      <t xml:space="preserve"> 
*   </t>
    </r>
    <r>
      <rPr>
        <sz val="11"/>
        <color rgb="FF009632"/>
        <rFont val="Arial"/>
        <family val="2"/>
      </rPr>
      <t>SHEQ standards maintained and enhanced</t>
    </r>
    <r>
      <rPr>
        <sz val="11"/>
        <color theme="1"/>
        <rFont val="Arial"/>
        <family val="2"/>
      </rPr>
      <t xml:space="preserve">
*   </t>
    </r>
    <r>
      <rPr>
        <sz val="11"/>
        <color rgb="FF009632"/>
        <rFont val="Arial"/>
        <family val="2"/>
      </rPr>
      <t>Compliance with appropriate standards, regulations and legislation</t>
    </r>
    <r>
      <rPr>
        <sz val="11"/>
        <color theme="1"/>
        <rFont val="Arial"/>
        <family val="2"/>
      </rPr>
      <t>,</t>
    </r>
    <r>
      <rPr>
        <sz val="11"/>
        <color rgb="FF009632"/>
        <rFont val="Arial"/>
        <family val="2"/>
      </rPr>
      <t xml:space="preserve"> Internal Audits conducted</t>
    </r>
    <r>
      <rPr>
        <sz val="11"/>
        <color theme="1"/>
        <rFont val="Arial"/>
        <family val="2"/>
      </rPr>
      <t xml:space="preserve">
*   </t>
    </r>
    <r>
      <rPr>
        <sz val="11"/>
        <color rgb="FF009632"/>
        <rFont val="Arial"/>
        <family val="2"/>
      </rPr>
      <t>Implementation of ICT Master plan</t>
    </r>
    <r>
      <rPr>
        <sz val="11"/>
        <color theme="1"/>
        <rFont val="Arial"/>
        <family val="2"/>
      </rPr>
      <t xml:space="preserve">, </t>
    </r>
    <r>
      <rPr>
        <sz val="11"/>
        <color rgb="FF009632"/>
        <rFont val="Arial"/>
        <family val="2"/>
      </rPr>
      <t>Monitoring of critical facility availability</t>
    </r>
  </si>
  <si>
    <r>
      <t xml:space="preserve">*  </t>
    </r>
    <r>
      <rPr>
        <sz val="11"/>
        <color rgb="FF009632"/>
        <rFont val="Arial"/>
        <family val="2"/>
      </rPr>
      <t xml:space="preserve"> Enhanced Skills Development</t>
    </r>
    <r>
      <rPr>
        <sz val="11"/>
        <color theme="1"/>
        <rFont val="Arial"/>
        <family val="2"/>
      </rPr>
      <t xml:space="preserve">, </t>
    </r>
    <r>
      <rPr>
        <sz val="11"/>
        <color rgb="FF009632"/>
        <rFont val="Arial"/>
        <family val="2"/>
      </rPr>
      <t>Enhanced relationships with Institutions of Higher Education and other similar organisations</t>
    </r>
    <r>
      <rPr>
        <sz val="11"/>
        <color theme="1"/>
        <rFont val="Arial"/>
        <family val="2"/>
      </rPr>
      <t xml:space="preserve">, </t>
    </r>
    <r>
      <rPr>
        <sz val="11"/>
        <color rgb="FF009632"/>
        <rFont val="Arial"/>
        <family val="2"/>
      </rPr>
      <t>Science, Technology, Engineering and Maths (STEM) Promotion</t>
    </r>
    <r>
      <rPr>
        <sz val="11"/>
        <color theme="1"/>
        <rFont val="Arial"/>
        <family val="2"/>
      </rPr>
      <t xml:space="preserve">, </t>
    </r>
    <r>
      <rPr>
        <sz val="11"/>
        <color rgb="FFFFC000"/>
        <rFont val="Arial"/>
        <family val="2"/>
      </rPr>
      <t>Effective Full-time Bursary Programme</t>
    </r>
    <r>
      <rPr>
        <sz val="11"/>
        <color theme="1"/>
        <rFont val="Arial"/>
        <family val="2"/>
      </rPr>
      <t xml:space="preserve">, </t>
    </r>
    <r>
      <rPr>
        <sz val="11"/>
        <color rgb="FF009632"/>
        <rFont val="Arial"/>
        <family val="2"/>
      </rPr>
      <t>Effective Part–time Bursary Programme</t>
    </r>
    <r>
      <rPr>
        <sz val="11"/>
        <color theme="1"/>
        <rFont val="Arial"/>
        <family val="2"/>
      </rPr>
      <t xml:space="preserve">, </t>
    </r>
    <r>
      <rPr>
        <sz val="11"/>
        <color rgb="FF009632"/>
        <rFont val="Arial"/>
        <family val="2"/>
      </rPr>
      <t>Work-Integrated Learning, Studentships and Internship Programmes</t>
    </r>
    <r>
      <rPr>
        <sz val="11"/>
        <color theme="1"/>
        <rFont val="Arial"/>
        <family val="2"/>
      </rPr>
      <t xml:space="preserve">, </t>
    </r>
    <r>
      <rPr>
        <sz val="11"/>
        <color rgb="FF009632"/>
        <rFont val="Arial"/>
        <family val="2"/>
      </rPr>
      <t>Artisan Learnership Programme</t>
    </r>
    <r>
      <rPr>
        <sz val="11"/>
        <color theme="1"/>
        <rFont val="Arial"/>
        <family val="2"/>
      </rPr>
      <t xml:space="preserve">, </t>
    </r>
    <r>
      <rPr>
        <sz val="11"/>
        <color rgb="FF009632"/>
        <rFont val="Arial"/>
        <family val="2"/>
      </rPr>
      <t>Development Programmes for recent graduate scientists &amp; engineers</t>
    </r>
    <r>
      <rPr>
        <sz val="11"/>
        <color theme="1"/>
        <rFont val="Arial"/>
        <family val="2"/>
      </rPr>
      <t xml:space="preserve">, </t>
    </r>
    <r>
      <rPr>
        <sz val="11"/>
        <color rgb="FF009632"/>
        <rFont val="Arial"/>
        <family val="2"/>
      </rPr>
      <t>Development programme for mid-level professionals, including researchers, scientists, engineers and technicians</t>
    </r>
    <r>
      <rPr>
        <sz val="11"/>
        <color theme="1"/>
        <rFont val="Arial"/>
        <family val="2"/>
      </rPr>
      <t xml:space="preserve">
*   </t>
    </r>
    <r>
      <rPr>
        <sz val="11"/>
        <color rgb="FFFFC000"/>
        <rFont val="Arial"/>
        <family val="2"/>
      </rPr>
      <t>Transformation of the Mintek Organisation</t>
    </r>
    <r>
      <rPr>
        <sz val="11"/>
        <color theme="1"/>
        <rFont val="Arial"/>
        <family val="2"/>
      </rPr>
      <t xml:space="preserve">, </t>
    </r>
    <r>
      <rPr>
        <sz val="11"/>
        <color rgb="FFFF0000"/>
        <rFont val="Arial"/>
        <family val="2"/>
      </rPr>
      <t>Structured mentorship programme to transfer skills &amp; knowledge from specialists to mid-level professionals</t>
    </r>
    <r>
      <rPr>
        <sz val="11"/>
        <color theme="1"/>
        <rFont val="Arial"/>
        <family val="2"/>
      </rPr>
      <t xml:space="preserve">, </t>
    </r>
    <r>
      <rPr>
        <sz val="11"/>
        <color rgb="FF009632"/>
        <rFont val="Arial"/>
        <family val="2"/>
      </rPr>
      <t>Compliance with Performance Management  Policy</t>
    </r>
    <r>
      <rPr>
        <sz val="11"/>
        <color theme="1"/>
        <rFont val="Arial"/>
        <family val="2"/>
      </rPr>
      <t xml:space="preserve">
*   </t>
    </r>
    <r>
      <rPr>
        <sz val="11"/>
        <color rgb="FFFFC000"/>
        <rFont val="Arial"/>
        <family val="2"/>
      </rPr>
      <t>Enhanced Experience Profile of “SCIENTISTS”</t>
    </r>
    <r>
      <rPr>
        <sz val="11"/>
        <color theme="1"/>
        <rFont val="Arial"/>
        <family val="2"/>
      </rPr>
      <t xml:space="preserve">, </t>
    </r>
    <r>
      <rPr>
        <sz val="11"/>
        <color rgb="FFFF0000"/>
        <rFont val="Arial"/>
        <family val="2"/>
      </rPr>
      <t>Proportion of Researchers to Total Staff</t>
    </r>
    <r>
      <rPr>
        <sz val="11"/>
        <color theme="1"/>
        <rFont val="Arial"/>
        <family val="2"/>
      </rPr>
      <t xml:space="preserve">, </t>
    </r>
    <r>
      <rPr>
        <sz val="11"/>
        <color rgb="FF009632"/>
        <rFont val="Arial"/>
        <family val="2"/>
      </rPr>
      <t>Proportion of staff with MSc &amp; MEng</t>
    </r>
    <r>
      <rPr>
        <sz val="11"/>
        <color theme="1"/>
        <rFont val="Arial"/>
        <family val="2"/>
      </rPr>
      <t xml:space="preserve">, </t>
    </r>
    <r>
      <rPr>
        <sz val="11"/>
        <color rgb="FFFFC000"/>
        <rFont val="Arial"/>
        <family val="2"/>
      </rPr>
      <t>Proportion of staff with PhD</t>
    </r>
    <r>
      <rPr>
        <sz val="11"/>
        <color theme="1"/>
        <rFont val="Arial"/>
        <family val="2"/>
      </rPr>
      <t xml:space="preserve">, </t>
    </r>
    <r>
      <rPr>
        <sz val="11"/>
        <color rgb="FF009632"/>
        <rFont val="Arial"/>
        <family val="2"/>
      </rPr>
      <t>Enhanced Staff Retention &amp; Succession</t>
    </r>
    <r>
      <rPr>
        <sz val="11"/>
        <color theme="1"/>
        <rFont val="Arial"/>
        <family val="2"/>
      </rPr>
      <t xml:space="preserve">, </t>
    </r>
    <r>
      <rPr>
        <sz val="11"/>
        <color rgb="FFFF0000"/>
        <rFont val="Arial"/>
        <family val="2"/>
      </rPr>
      <t>Enhanced Coaching and Mentoring</t>
    </r>
    <r>
      <rPr>
        <sz val="11"/>
        <color theme="1"/>
        <rFont val="Arial"/>
        <family val="2"/>
      </rPr>
      <t xml:space="preserve">, </t>
    </r>
    <r>
      <rPr>
        <sz val="11"/>
        <color rgb="FFFF0000"/>
        <rFont val="Arial"/>
        <family val="2"/>
      </rPr>
      <t>Effective Leadership Development Programme</t>
    </r>
    <r>
      <rPr>
        <sz val="11"/>
        <color theme="1"/>
        <rFont val="Arial"/>
        <family val="2"/>
      </rPr>
      <t xml:space="preserve">, </t>
    </r>
    <r>
      <rPr>
        <sz val="11"/>
        <color rgb="FF009632"/>
        <rFont val="Arial"/>
        <family val="2"/>
      </rPr>
      <t>Upholding of Mintek values</t>
    </r>
    <r>
      <rPr>
        <sz val="11"/>
        <color theme="1"/>
        <rFont val="Arial"/>
        <family val="2"/>
      </rPr>
      <t xml:space="preserve">, </t>
    </r>
    <r>
      <rPr>
        <sz val="11"/>
        <color rgb="FF009632"/>
        <rFont val="Arial"/>
        <family val="2"/>
      </rPr>
      <t>Enhanced induction programme</t>
    </r>
    <r>
      <rPr>
        <sz val="11"/>
        <color theme="1"/>
        <rFont val="Arial"/>
        <family val="2"/>
      </rPr>
      <t xml:space="preserve">, </t>
    </r>
    <r>
      <rPr>
        <sz val="11"/>
        <color rgb="FFFF0000"/>
        <rFont val="Arial"/>
        <family val="2"/>
      </rPr>
      <t>Conduct skills audit</t>
    </r>
    <r>
      <rPr>
        <sz val="11"/>
        <color theme="1"/>
        <rFont val="Arial"/>
        <family val="2"/>
      </rPr>
      <t xml:space="preserve">
*   Enhanced Employee Health and Wellness Programme
*   </t>
    </r>
    <r>
      <rPr>
        <sz val="11"/>
        <color rgb="FFFFC000"/>
        <rFont val="Arial"/>
        <family val="2"/>
      </rPr>
      <t>Data verification and cleaning</t>
    </r>
    <r>
      <rPr>
        <sz val="11"/>
        <color theme="1"/>
        <rFont val="Arial"/>
        <family val="2"/>
      </rPr>
      <t xml:space="preserve">, </t>
    </r>
    <r>
      <rPr>
        <sz val="11"/>
        <color rgb="FFFFC000"/>
        <rFont val="Arial"/>
        <family val="2"/>
      </rPr>
      <t>Time and attendance</t>
    </r>
    <r>
      <rPr>
        <sz val="11"/>
        <color theme="1"/>
        <rFont val="Arial"/>
        <family val="2"/>
      </rPr>
      <t xml:space="preserve"> </t>
    </r>
  </si>
  <si>
    <t>*   Mintek has experienced a continuous drop, 4.1% year on year in commercial revenues. However, despite the surplus, our total income of R466.7-million was lower than the anticipated budgeted amount of R541.9-million. It is important for a science institute to have a mix of diverse revenue streams which can support the continuity of long term research in a cyclical and volatile market environment. 
*   Mintek achieved a surplus of R17.9million, which is an improvement of R8.5million on the budget of R9.4million, and a marginal increase of 0.6% on the previous year’s surplus.
*   Mintek maintains a strong balance sheet position with assets of more than R600m and a liquidity ratio of 2:1 with a strong cash flow. 
*   However, of serious concern is the slow growth in total revenue of 5.8% year on year with costs that are generally increasing above inflation. This will require Mintek to look at its financial model going forward.</t>
  </si>
  <si>
    <t>*   Mintek continues to respond in a manner that will see it continuing with its mission to serve its stakeholders by adding value to the mineral sector, through high-calibre research and technology development and transfer, in support of our country’s national priorities and sustainable growth.  
*   Mintek continued to collaborate in a number of efforts in the global space while continuing to expand its operations.
*   Mintek focused considerable effort to increasing its participation in international collaborative research programmes, particularly those of the European Union.
*   Mintek is participating in the German-South African collaborative three year project, “Applied Mineralogy for the Resource Efficiency of Platinum Minerals”.
*   Mintek has also designed and constructed a Metal Dusting Simulation Rig and is currently offering PGM-based alloy development services to Johnson-Matthey and SAPREF using this rig.
*   A MillStar anti-roping strategy was developed to extend the effectiveness of the Cylas Cyclone underflow angle detection device.
*   Mintek completed the commissioning of the FloatStar Grade Recovery Optimiser (FSGRO) for flotation control.
*   Mintek also plays a very important role in state “flagship” research programmes, mostly initiated by the DST, examples include the Advanced Metals Initiatives (AMI), the Ferrous Metal Development Network (FMDN) and the Hydrogen and Fuel Cells Programme (HySA).
*   Mintek has concluded a manufacturing agreement with an international chemical producer to produce its Nicksyn™ reagent, which improves nickel recovery, on an industrial scale. A mine project feasibility study, which includes use of Mintek’s proprietary Nicksyn™ reagent, is currently underway.
*   The Mintek-developed SAVMINTM technology to treat acid mine drainage has the potential to cost-effectively remove heavy metals and sulphate from acid mine drainage. A large pilot plant was completed and is being operated in association with veolia, one of the world’s largest water treatment companies. If successful, the technology will be investigated for incorporation in the process operations of operating gold and coal mines.
*   The construction of the MTEF-funded Rare Earth Elements (REE) pilot plant has been completed. The facility will significantly improve the capability of Mintek to evaluate REE mine opportunities, with an eventual vision for a central South Africa refinery that can facilitate the development of REE mines in Southern Africa as well as downstream high technology REE manufacturing enterprises.</t>
  </si>
  <si>
    <t xml:space="preserve">*   Contribution to the mining and mineral processing industry.
*   Contribution to the green technology.
*   Level of collaboration with institutions that develop and manage knowledge (IP).
*   Post graduate development of staff and graduates including their absorption.
</t>
  </si>
  <si>
    <t>Dr Len Konar</t>
  </si>
  <si>
    <t>Enhancing Mintek's position as an R&amp;D organisation of note</t>
  </si>
  <si>
    <r>
      <t xml:space="preserve">*   </t>
    </r>
    <r>
      <rPr>
        <sz val="11"/>
        <color rgb="FFFFC000"/>
        <rFont val="Arial"/>
        <family val="2"/>
      </rPr>
      <t>Develop analytical and mineralogical methods and supply of services</t>
    </r>
    <r>
      <rPr>
        <sz val="11"/>
        <color theme="1"/>
        <rFont val="Arial"/>
        <family val="2"/>
      </rPr>
      <t xml:space="preserve">, </t>
    </r>
    <r>
      <rPr>
        <sz val="11"/>
        <color rgb="FF009632"/>
        <rFont val="Arial"/>
        <family val="2"/>
      </rPr>
      <t>Develop new technologies under Science Vote funding</t>
    </r>
    <r>
      <rPr>
        <sz val="11"/>
        <color theme="1"/>
        <rFont val="Arial"/>
        <family val="2"/>
      </rPr>
      <t xml:space="preserve">, </t>
    </r>
    <r>
      <rPr>
        <sz val="11"/>
        <color rgb="FFFF0000"/>
        <rFont val="Arial"/>
        <family val="2"/>
      </rPr>
      <t>Sales of products, plant and equipment</t>
    </r>
    <r>
      <rPr>
        <sz val="11"/>
        <color theme="1"/>
        <rFont val="Arial"/>
        <family val="2"/>
      </rPr>
      <t xml:space="preserve">, </t>
    </r>
    <r>
      <rPr>
        <sz val="11"/>
        <color rgb="FF009632"/>
        <rFont val="Arial"/>
        <family val="2"/>
      </rPr>
      <t>Commercial investigations and feasibility studies</t>
    </r>
    <r>
      <rPr>
        <sz val="11"/>
        <color theme="1"/>
        <rFont val="Arial"/>
        <family val="2"/>
      </rPr>
      <t xml:space="preserve">, </t>
    </r>
    <r>
      <rPr>
        <sz val="11"/>
        <color rgb="FF009632"/>
        <rFont val="Arial"/>
        <family val="2"/>
      </rPr>
      <t>Provision of Mineral Economics and Strategy advice</t>
    </r>
    <r>
      <rPr>
        <sz val="11"/>
        <color theme="1"/>
        <rFont val="Arial"/>
        <family val="2"/>
      </rPr>
      <t xml:space="preserve">
*   </t>
    </r>
    <r>
      <rPr>
        <sz val="11"/>
        <color rgb="FF009632"/>
        <rFont val="Arial"/>
        <family val="2"/>
      </rPr>
      <t>Develop applications for precious-, ferrous- and base metals in the areas</t>
    </r>
    <r>
      <rPr>
        <sz val="11"/>
        <color theme="1"/>
        <rFont val="Arial"/>
        <family val="2"/>
      </rPr>
      <t xml:space="preserve">, </t>
    </r>
    <r>
      <rPr>
        <sz val="11"/>
        <color rgb="FF009632"/>
        <rFont val="Arial"/>
        <family val="2"/>
      </rPr>
      <t>Develop metallurgical processes and products for base-, light- (titanium, magnesium) and ferrous metals</t>
    </r>
    <r>
      <rPr>
        <sz val="11"/>
        <color theme="1"/>
        <rFont val="Arial"/>
        <family val="2"/>
      </rPr>
      <t xml:space="preserve">
*   </t>
    </r>
    <r>
      <rPr>
        <sz val="11"/>
        <color rgb="FF009632"/>
        <rFont val="Arial"/>
        <family val="2"/>
      </rPr>
      <t>Develop water efficient  processes and flow sheets to optimise water consumption and enable processing of ore bodies in water stricken areas</t>
    </r>
    <r>
      <rPr>
        <sz val="11"/>
        <color theme="1"/>
        <rFont val="Arial"/>
        <family val="2"/>
      </rPr>
      <t xml:space="preserve">, </t>
    </r>
    <r>
      <rPr>
        <sz val="11"/>
        <color rgb="FF009632"/>
        <rFont val="Arial"/>
        <family val="2"/>
      </rPr>
      <t>Develop energy efficient processes, flow sheets and control technologies that minimise energy consumption and carbon emissions</t>
    </r>
    <r>
      <rPr>
        <sz val="11"/>
        <color theme="1"/>
        <rFont val="Arial"/>
        <family val="2"/>
      </rPr>
      <t xml:space="preserve">, </t>
    </r>
    <r>
      <rPr>
        <sz val="11"/>
        <color rgb="FF009632"/>
        <rFont val="Arial"/>
        <family val="2"/>
      </rPr>
      <t>Develop waste management and recycling technologies for treating and recycling waste in order to extend mineral resources</t>
    </r>
    <r>
      <rPr>
        <sz val="11"/>
        <color theme="1"/>
        <rFont val="Arial"/>
        <family val="2"/>
      </rPr>
      <t xml:space="preserve">, </t>
    </r>
    <r>
      <rPr>
        <sz val="11"/>
        <color rgb="FF009632"/>
        <rFont val="Arial"/>
        <family val="2"/>
      </rPr>
      <t>Rehabilitate derelict &amp; ownerless mine sites</t>
    </r>
  </si>
  <si>
    <r>
      <t xml:space="preserve">*   </t>
    </r>
    <r>
      <rPr>
        <sz val="11"/>
        <color rgb="FF009632"/>
        <rFont val="Arial"/>
        <family val="2"/>
      </rPr>
      <t>Establish technologies and strategies relevant to small scale operators, for transfer to rural and marginalised communities</t>
    </r>
    <r>
      <rPr>
        <sz val="11"/>
        <color theme="1"/>
        <rFont val="Arial"/>
        <family val="2"/>
      </rPr>
      <t xml:space="preserve"> 
*   </t>
    </r>
    <r>
      <rPr>
        <sz val="11"/>
        <color rgb="FFFFC000"/>
        <rFont val="Arial"/>
        <family val="2"/>
      </rPr>
      <t>Develop and support economically sustainable rural and marginalised communities</t>
    </r>
    <r>
      <rPr>
        <sz val="11"/>
        <color theme="1"/>
        <rFont val="Arial"/>
        <family val="2"/>
      </rPr>
      <t xml:space="preserve">
*   </t>
    </r>
    <r>
      <rPr>
        <sz val="11"/>
        <color rgb="FF009632"/>
        <rFont val="Arial"/>
        <family val="2"/>
      </rPr>
      <t>Provide value-added beneficiation training relevant to rural and marginalised communities</t>
    </r>
    <r>
      <rPr>
        <sz val="11"/>
        <color theme="1"/>
        <rFont val="Arial"/>
        <family val="2"/>
      </rPr>
      <t xml:space="preserve">.
*   </t>
    </r>
    <r>
      <rPr>
        <sz val="11"/>
        <color rgb="FF009632"/>
        <rFont val="Arial"/>
        <family val="2"/>
      </rPr>
      <t>Provide value addition training in glass beads making and ceramics</t>
    </r>
  </si>
  <si>
    <t>*   Enhanced fiscal discipline and the effective management of resources
*   Enhanced organisational efficiencies 
*   Compliance with national and international regulatory frameworks, and  applicable standards
*   Enhanced Quality, Environment and Safety</t>
  </si>
  <si>
    <r>
      <t xml:space="preserve">*   </t>
    </r>
    <r>
      <rPr>
        <sz val="11"/>
        <color rgb="FF009632"/>
        <rFont val="Arial"/>
        <family val="2"/>
      </rPr>
      <t>BEE procurement as a % of total discretionary spend</t>
    </r>
    <r>
      <rPr>
        <sz val="11"/>
        <color theme="1"/>
        <rFont val="Arial"/>
        <family val="2"/>
      </rPr>
      <t xml:space="preserve">, </t>
    </r>
    <r>
      <rPr>
        <sz val="11"/>
        <color rgb="FF009632"/>
        <rFont val="Arial"/>
        <family val="2"/>
      </rPr>
      <t>Strengthened Internal Financial Controls</t>
    </r>
    <r>
      <rPr>
        <sz val="11"/>
        <color theme="1"/>
        <rFont val="Arial"/>
        <family val="2"/>
      </rPr>
      <t xml:space="preserve">, </t>
    </r>
    <r>
      <rPr>
        <sz val="11"/>
        <color rgb="FF009632"/>
        <rFont val="Arial"/>
        <family val="2"/>
      </rPr>
      <t>Sound Debtor Management</t>
    </r>
    <r>
      <rPr>
        <sz val="11"/>
        <color theme="1"/>
        <rFont val="Arial"/>
        <family val="2"/>
      </rPr>
      <t xml:space="preserve">, </t>
    </r>
    <r>
      <rPr>
        <sz val="11"/>
        <color rgb="FFFFC000"/>
        <rFont val="Arial"/>
        <family val="2"/>
      </rPr>
      <t>Total Income</t>
    </r>
    <r>
      <rPr>
        <sz val="11"/>
        <color theme="1"/>
        <rFont val="Arial"/>
        <family val="2"/>
      </rPr>
      <t xml:space="preserve">, </t>
    </r>
    <r>
      <rPr>
        <sz val="11"/>
        <color rgb="FF009632"/>
        <rFont val="Arial"/>
        <family val="2"/>
      </rPr>
      <t>Net Result (surplus)</t>
    </r>
    <r>
      <rPr>
        <sz val="11"/>
        <color theme="1"/>
        <rFont val="Arial"/>
        <family val="2"/>
      </rPr>
      <t xml:space="preserve">, </t>
    </r>
    <r>
      <rPr>
        <sz val="11"/>
        <color rgb="FF009632"/>
        <rFont val="Arial"/>
        <family val="2"/>
      </rPr>
      <t>Optimal Yield on Investment</t>
    </r>
    <r>
      <rPr>
        <sz val="11"/>
        <color theme="1"/>
        <rFont val="Arial"/>
        <family val="2"/>
      </rPr>
      <t xml:space="preserve">, </t>
    </r>
    <r>
      <rPr>
        <sz val="11"/>
        <color rgb="FF009632"/>
        <rFont val="Arial"/>
        <family val="2"/>
      </rPr>
      <t>Total Capital Expenditure</t>
    </r>
    <r>
      <rPr>
        <sz val="11"/>
        <color theme="1"/>
        <rFont val="Arial"/>
        <family val="2"/>
      </rPr>
      <t xml:space="preserve">, </t>
    </r>
    <r>
      <rPr>
        <sz val="11"/>
        <color rgb="FF009632"/>
        <rFont val="Arial"/>
        <family val="2"/>
      </rPr>
      <t>Maintained balance between R&amp;D and Commercial Revenue streams</t>
    </r>
    <r>
      <rPr>
        <sz val="11"/>
        <color theme="1"/>
        <rFont val="Arial"/>
        <family val="2"/>
      </rPr>
      <t xml:space="preserve">, </t>
    </r>
    <r>
      <rPr>
        <sz val="11"/>
        <color rgb="FFFFC000"/>
        <rFont val="Arial"/>
        <family val="2"/>
      </rPr>
      <t>Maintained balance between TCTC Salary Bill/Total Expenditure</t>
    </r>
    <r>
      <rPr>
        <sz val="11"/>
        <color theme="1"/>
        <rFont val="Arial"/>
        <family val="2"/>
      </rPr>
      <t xml:space="preserve">, </t>
    </r>
    <r>
      <rPr>
        <sz val="11"/>
        <color rgb="FF009632"/>
        <rFont val="Arial"/>
        <family val="2"/>
      </rPr>
      <t>Enhanced Liquidity Ratio</t>
    </r>
    <r>
      <rPr>
        <sz val="11"/>
        <color theme="1"/>
        <rFont val="Arial"/>
        <family val="2"/>
      </rPr>
      <t xml:space="preserve">, </t>
    </r>
    <r>
      <rPr>
        <sz val="11"/>
        <color rgb="FF009632"/>
        <rFont val="Arial"/>
        <family val="2"/>
      </rPr>
      <t>Improved cash flows from operations</t>
    </r>
    <r>
      <rPr>
        <sz val="11"/>
        <color theme="1"/>
        <rFont val="Arial"/>
        <family val="2"/>
      </rPr>
      <t xml:space="preserve">
*   </t>
    </r>
    <r>
      <rPr>
        <sz val="11"/>
        <color rgb="FF009632"/>
        <rFont val="Arial"/>
        <family val="2"/>
      </rPr>
      <t>Productivity Ratio</t>
    </r>
    <r>
      <rPr>
        <sz val="11"/>
        <color theme="1"/>
        <rFont val="Arial"/>
        <family val="2"/>
      </rPr>
      <t xml:space="preserve">, </t>
    </r>
    <r>
      <rPr>
        <sz val="11"/>
        <color rgb="FF009632"/>
        <rFont val="Arial"/>
        <family val="2"/>
      </rPr>
      <t>Energy Efficiency</t>
    </r>
    <r>
      <rPr>
        <sz val="11"/>
        <color theme="1"/>
        <rFont val="Arial"/>
        <family val="2"/>
      </rPr>
      <t xml:space="preserve">, </t>
    </r>
    <r>
      <rPr>
        <sz val="11"/>
        <color rgb="FF009632"/>
        <rFont val="Arial"/>
        <family val="2"/>
      </rPr>
      <t>Implementation of ICT Master Plan</t>
    </r>
    <r>
      <rPr>
        <sz val="11"/>
        <color theme="1"/>
        <rFont val="Arial"/>
        <family val="2"/>
      </rPr>
      <t xml:space="preserve">, </t>
    </r>
    <r>
      <rPr>
        <sz val="11"/>
        <color rgb="FF009632"/>
        <rFont val="Arial"/>
        <family val="2"/>
      </rPr>
      <t>Monitoring of critical facility availability</t>
    </r>
    <r>
      <rPr>
        <sz val="11"/>
        <color theme="1"/>
        <rFont val="Arial"/>
        <family val="2"/>
      </rPr>
      <t xml:space="preserve">
*   </t>
    </r>
    <r>
      <rPr>
        <sz val="11"/>
        <color rgb="FF009632"/>
        <rFont val="Arial"/>
        <family val="2"/>
      </rPr>
      <t>Compliance with appropriate standards, regulations and legislation</t>
    </r>
    <r>
      <rPr>
        <sz val="11"/>
        <color theme="1"/>
        <rFont val="Arial"/>
        <family val="2"/>
      </rPr>
      <t xml:space="preserve">, </t>
    </r>
    <r>
      <rPr>
        <sz val="11"/>
        <color rgb="FF009632"/>
        <rFont val="Arial"/>
        <family val="2"/>
      </rPr>
      <t>Internal Audits conducted</t>
    </r>
    <r>
      <rPr>
        <sz val="11"/>
        <color theme="1"/>
        <rFont val="Arial"/>
        <family val="2"/>
      </rPr>
      <t>,</t>
    </r>
    <r>
      <rPr>
        <sz val="11"/>
        <color rgb="FF009632"/>
        <rFont val="Arial"/>
        <family val="2"/>
      </rPr>
      <t xml:space="preserve"> Review of the Audit Committee Charter</t>
    </r>
    <r>
      <rPr>
        <sz val="11"/>
        <color theme="1"/>
        <rFont val="Arial"/>
        <family val="2"/>
      </rPr>
      <t xml:space="preserve">, </t>
    </r>
    <r>
      <rPr>
        <sz val="11"/>
        <color rgb="FF009632"/>
        <rFont val="Arial"/>
        <family val="2"/>
      </rPr>
      <t>Fraud Awareness Campaigns</t>
    </r>
    <r>
      <rPr>
        <sz val="11"/>
        <color theme="1"/>
        <rFont val="Arial"/>
        <family val="2"/>
      </rPr>
      <t xml:space="preserve">
*  </t>
    </r>
    <r>
      <rPr>
        <sz val="11"/>
        <color rgb="FF009632"/>
        <rFont val="Arial"/>
        <family val="2"/>
      </rPr>
      <t xml:space="preserve"> SHEQ standards maintained and enhanced</t>
    </r>
    <r>
      <rPr>
        <sz val="11"/>
        <color theme="1"/>
        <rFont val="Arial"/>
        <family val="2"/>
      </rPr>
      <t xml:space="preserve">
*   </t>
    </r>
  </si>
  <si>
    <t>*   Training and skills development
*   Organisational development
*   Employee health and wellness
*   Effective human resource systems</t>
  </si>
  <si>
    <r>
      <t xml:space="preserve">*   </t>
    </r>
    <r>
      <rPr>
        <sz val="11"/>
        <color rgb="FF009632"/>
        <rFont val="Arial"/>
        <family val="2"/>
      </rPr>
      <t>Enhanced Skills Development</t>
    </r>
    <r>
      <rPr>
        <sz val="11"/>
        <color theme="1"/>
        <rFont val="Arial"/>
        <family val="2"/>
      </rPr>
      <t xml:space="preserve">, </t>
    </r>
    <r>
      <rPr>
        <sz val="11"/>
        <color rgb="FF009632"/>
        <rFont val="Arial"/>
        <family val="2"/>
      </rPr>
      <t>Enhanced relationships with Institutions of Higher Education and other similar organisations</t>
    </r>
    <r>
      <rPr>
        <sz val="11"/>
        <color theme="1"/>
        <rFont val="Arial"/>
        <family val="2"/>
      </rPr>
      <t xml:space="preserve">, </t>
    </r>
    <r>
      <rPr>
        <sz val="11"/>
        <color rgb="FF009632"/>
        <rFont val="Arial"/>
        <family val="2"/>
      </rPr>
      <t>Science, Technology, Engineering and Maths (STEM) Promotion</t>
    </r>
    <r>
      <rPr>
        <sz val="11"/>
        <color theme="1"/>
        <rFont val="Arial"/>
        <family val="2"/>
      </rPr>
      <t xml:space="preserve">, </t>
    </r>
    <r>
      <rPr>
        <sz val="11"/>
        <color rgb="FF009632"/>
        <rFont val="Arial"/>
        <family val="2"/>
      </rPr>
      <t>Effective Full-time Bursary Programme</t>
    </r>
    <r>
      <rPr>
        <sz val="11"/>
        <color theme="1"/>
        <rFont val="Arial"/>
        <family val="2"/>
      </rPr>
      <t xml:space="preserve">, </t>
    </r>
    <r>
      <rPr>
        <sz val="11"/>
        <color rgb="FF009632"/>
        <rFont val="Arial"/>
        <family val="2"/>
      </rPr>
      <t>Effective Part–time 
Bursary Programme</t>
    </r>
    <r>
      <rPr>
        <sz val="11"/>
        <color theme="1"/>
        <rFont val="Arial"/>
        <family val="2"/>
      </rPr>
      <t xml:space="preserve">, </t>
    </r>
    <r>
      <rPr>
        <sz val="11"/>
        <color rgb="FF009632"/>
        <rFont val="Arial"/>
        <family val="2"/>
      </rPr>
      <t>Work-Integrated Learning, Studentships and Internship Programmes</t>
    </r>
    <r>
      <rPr>
        <sz val="11"/>
        <color theme="1"/>
        <rFont val="Arial"/>
        <family val="2"/>
      </rPr>
      <t xml:space="preserve">, </t>
    </r>
    <r>
      <rPr>
        <sz val="11"/>
        <color rgb="FF009632"/>
        <rFont val="Arial"/>
        <family val="2"/>
      </rPr>
      <t>Artisan Learnership Programme</t>
    </r>
    <r>
      <rPr>
        <sz val="11"/>
        <color theme="1"/>
        <rFont val="Arial"/>
        <family val="2"/>
      </rPr>
      <t xml:space="preserve">, </t>
    </r>
    <r>
      <rPr>
        <sz val="11"/>
        <color rgb="FF009632"/>
        <rFont val="Arial"/>
        <family val="2"/>
      </rPr>
      <t>Development Programmes for recent graduate scientists &amp; engineers</t>
    </r>
    <r>
      <rPr>
        <sz val="11"/>
        <color theme="1"/>
        <rFont val="Arial"/>
        <family val="2"/>
      </rPr>
      <t xml:space="preserve">, </t>
    </r>
    <r>
      <rPr>
        <sz val="11"/>
        <color rgb="FF009632"/>
        <rFont val="Arial"/>
        <family val="2"/>
      </rPr>
      <t>Development Programme for mid-level professionals, including researchers, scientists, engineers and technicians</t>
    </r>
    <r>
      <rPr>
        <sz val="11"/>
        <color theme="1"/>
        <rFont val="Arial"/>
        <family val="2"/>
      </rPr>
      <t xml:space="preserve">
*   </t>
    </r>
    <r>
      <rPr>
        <sz val="11"/>
        <color rgb="FFFFC000"/>
        <rFont val="Arial"/>
        <family val="2"/>
      </rPr>
      <t>Transformation of the Mintek Organisation</t>
    </r>
    <r>
      <rPr>
        <sz val="11"/>
        <color theme="1"/>
        <rFont val="Arial"/>
        <family val="2"/>
      </rPr>
      <t xml:space="preserve">, </t>
    </r>
    <r>
      <rPr>
        <sz val="11"/>
        <color rgb="FF009632"/>
        <rFont val="Arial"/>
        <family val="2"/>
      </rPr>
      <t>Structured mentorship programme to transfer skills and knowledge from specialists to mid-level professionals</t>
    </r>
    <r>
      <rPr>
        <sz val="11"/>
        <color theme="1"/>
        <rFont val="Arial"/>
        <family val="2"/>
      </rPr>
      <t xml:space="preserve">, </t>
    </r>
    <r>
      <rPr>
        <sz val="11"/>
        <color rgb="FF009632"/>
        <rFont val="Arial"/>
        <family val="2"/>
      </rPr>
      <t>Compliance with Performance Management  Policy</t>
    </r>
    <r>
      <rPr>
        <sz val="11"/>
        <color theme="1"/>
        <rFont val="Arial"/>
        <family val="2"/>
      </rPr>
      <t xml:space="preserve">, </t>
    </r>
    <r>
      <rPr>
        <sz val="11"/>
        <color rgb="FF009632"/>
        <rFont val="Arial"/>
        <family val="2"/>
      </rPr>
      <t>Enhanced Experience Profile of Researchers</t>
    </r>
    <r>
      <rPr>
        <sz val="11"/>
        <color theme="1"/>
        <rFont val="Arial"/>
        <family val="2"/>
      </rPr>
      <t xml:space="preserve">, </t>
    </r>
    <r>
      <rPr>
        <sz val="11"/>
        <color rgb="FFFF0000"/>
        <rFont val="Arial"/>
        <family val="2"/>
      </rPr>
      <t>Proportion of Researchers to Total Staff</t>
    </r>
    <r>
      <rPr>
        <sz val="11"/>
        <color theme="1"/>
        <rFont val="Arial"/>
        <family val="2"/>
      </rPr>
      <t xml:space="preserve">, </t>
    </r>
    <r>
      <rPr>
        <sz val="11"/>
        <color rgb="FF009632"/>
        <rFont val="Arial"/>
        <family val="2"/>
      </rPr>
      <t>Proportion of staff with Masters degree</t>
    </r>
    <r>
      <rPr>
        <sz val="11"/>
        <color theme="1"/>
        <rFont val="Arial"/>
        <family val="2"/>
      </rPr>
      <t xml:space="preserve">, </t>
    </r>
    <r>
      <rPr>
        <sz val="11"/>
        <color rgb="FF009632"/>
        <rFont val="Arial"/>
        <family val="2"/>
      </rPr>
      <t>Proportion of staff with Doctoral degree</t>
    </r>
    <r>
      <rPr>
        <sz val="11"/>
        <color theme="1"/>
        <rFont val="Arial"/>
        <family val="2"/>
      </rPr>
      <t xml:space="preserve">, </t>
    </r>
    <r>
      <rPr>
        <sz val="11"/>
        <color rgb="FF009632"/>
        <rFont val="Arial"/>
        <family val="2"/>
      </rPr>
      <t>Enhanced staff Retention &amp; Succession</t>
    </r>
    <r>
      <rPr>
        <sz val="11"/>
        <color theme="1"/>
        <rFont val="Arial"/>
        <family val="2"/>
      </rPr>
      <t xml:space="preserve">, </t>
    </r>
    <r>
      <rPr>
        <sz val="11"/>
        <color rgb="FFFFC000"/>
        <rFont val="Arial"/>
        <family val="2"/>
      </rPr>
      <t>Effective Leadership Development Programme</t>
    </r>
    <r>
      <rPr>
        <sz val="11"/>
        <color theme="1"/>
        <rFont val="Arial"/>
        <family val="2"/>
      </rPr>
      <t xml:space="preserve">, </t>
    </r>
    <r>
      <rPr>
        <sz val="11"/>
        <color rgb="FF009632"/>
        <rFont val="Arial"/>
        <family val="2"/>
      </rPr>
      <t>Conduct skills audit</t>
    </r>
    <r>
      <rPr>
        <sz val="11"/>
        <color theme="1"/>
        <rFont val="Arial"/>
        <family val="2"/>
      </rPr>
      <t xml:space="preserve">, </t>
    </r>
    <r>
      <rPr>
        <sz val="11"/>
        <color rgb="FF009632"/>
        <rFont val="Arial"/>
        <family val="2"/>
      </rPr>
      <t>Succession planning</t>
    </r>
    <r>
      <rPr>
        <sz val="11"/>
        <color theme="1"/>
        <rFont val="Arial"/>
        <family val="2"/>
      </rPr>
      <t xml:space="preserve">
*  </t>
    </r>
    <r>
      <rPr>
        <sz val="11"/>
        <color rgb="FF009632"/>
        <rFont val="Arial"/>
        <family val="2"/>
      </rPr>
      <t xml:space="preserve"> Enhanced Employee Health and Wellness Programme</t>
    </r>
    <r>
      <rPr>
        <sz val="11"/>
        <color theme="1"/>
        <rFont val="Arial"/>
        <family val="2"/>
      </rPr>
      <t xml:space="preserve">
*   </t>
    </r>
    <r>
      <rPr>
        <sz val="11"/>
        <color rgb="FF009632"/>
        <rFont val="Arial"/>
        <family val="2"/>
      </rPr>
      <t>Data verification and cleaning</t>
    </r>
  </si>
  <si>
    <t>*   There were several technical highlights during the course of the year including the successful completion of a new pilot plant smelting campaign for the recovery of gold from waste material. In total, 2500 tons of waste material was processed over a 6 month period with more than 90% recovery of gold from difficult-to-treat materials.
*   The XRT coal sorting project, conducted as part of the Medium Term Expenditure Framework (MTEF) program, was introduced to demonstrate the successful application of the XRT ore sorting technology. XRT technology is widely used in the coal industry, but in de-stoning (waste rejection) applications. Successful production of high grade coal using XRT technology will benefit the South African coal industry as well as the Mining industry in several areas.
*   Mintek’s BOFLUX project aims to demonstrate potential energy and recovery benefits through small additions of boron-containing minerals to ferrochromium smelting processes. The provisional laboratory tests completed during the year will be followed by larger pilot-scale tests to confirm the bulk behaviour of this proposed process.
*   Interestingly, there has been a significant increase in gold enquiries from smaller gold mines relating to the small scale Minfurn which has a throughput of 3kg/h. Mintek is currently working on finalising a commercial design at this scale.
*   Over the last year, the Mine Effluent Treatment projects focussed on two main objectives namely securing a suitably polluted site and identifying relevant Mintek technologies to be used in the remediation of the identified site. Robinson Lake in Randfontein was selected as a suitable site to demonstrate Mintek technologies.</t>
  </si>
  <si>
    <t>*   Clear vision statement
*   Governance structures to provide oversight and management
*   Building capabilities
*   Management of value for stakeholders
*   Effective strategy execution - focused on value for shareholder</t>
  </si>
  <si>
    <t>*   Clear vision statement
*   Governance structures to provide oversight and management
*   Communication with stakeholders
*   Use of performance management system
*   Building capabilities
*   Management of value for stakeholders
*   Effective strategy execution - focused on value for shareholder</t>
  </si>
  <si>
    <r>
      <t xml:space="preserve">*  </t>
    </r>
    <r>
      <rPr>
        <sz val="11"/>
        <color rgb="FF009632"/>
        <rFont val="Arial"/>
        <family val="2"/>
      </rPr>
      <t xml:space="preserve"> Updating and implementing the marketing and communications plan</t>
    </r>
    <r>
      <rPr>
        <sz val="11"/>
        <color theme="1"/>
        <rFont val="Arial"/>
        <family val="2"/>
      </rPr>
      <t xml:space="preserve">
*   </t>
    </r>
    <r>
      <rPr>
        <sz val="11"/>
        <color rgb="FF009632"/>
        <rFont val="Arial"/>
        <family val="2"/>
      </rPr>
      <t>Mintek promotion</t>
    </r>
    <r>
      <rPr>
        <sz val="11"/>
        <color theme="1"/>
        <rFont val="Arial"/>
        <family val="2"/>
      </rPr>
      <t xml:space="preserve">, </t>
    </r>
    <r>
      <rPr>
        <sz val="11"/>
        <color rgb="FF009632"/>
        <rFont val="Arial"/>
        <family val="2"/>
      </rPr>
      <t>IP creation and transfer</t>
    </r>
    <r>
      <rPr>
        <sz val="11"/>
        <color theme="1"/>
        <rFont val="Arial"/>
        <family val="2"/>
      </rPr>
      <t xml:space="preserve">, </t>
    </r>
    <r>
      <rPr>
        <sz val="11"/>
        <color rgb="FF009632"/>
        <rFont val="Arial"/>
        <family val="2"/>
      </rPr>
      <t>Attained annual customer satisfaction targe</t>
    </r>
    <r>
      <rPr>
        <sz val="11"/>
        <color theme="1"/>
        <rFont val="Arial"/>
        <family val="2"/>
      </rPr>
      <t xml:space="preserve">, </t>
    </r>
    <r>
      <rPr>
        <sz val="11"/>
        <color rgb="FF009632"/>
        <rFont val="Arial"/>
        <family val="2"/>
      </rPr>
      <t>Enhanced media exposure</t>
    </r>
    <r>
      <rPr>
        <sz val="11"/>
        <color theme="1"/>
        <rFont val="Arial"/>
        <family val="2"/>
      </rPr>
      <t xml:space="preserve">, </t>
    </r>
    <r>
      <rPr>
        <sz val="11"/>
        <color rgb="FF009632"/>
        <rFont val="Arial"/>
        <family val="2"/>
      </rPr>
      <t>Enhanced relations with oversight bodies</t>
    </r>
    <r>
      <rPr>
        <sz val="11"/>
        <color theme="1"/>
        <rFont val="Arial"/>
        <family val="2"/>
      </rPr>
      <t xml:space="preserve">, </t>
    </r>
    <r>
      <rPr>
        <sz val="11"/>
        <color rgb="FF009632"/>
        <rFont val="Arial"/>
        <family val="2"/>
      </rPr>
      <t>Regional integration of staff exchange</t>
    </r>
  </si>
  <si>
    <r>
      <t xml:space="preserve">*  </t>
    </r>
    <r>
      <rPr>
        <sz val="11"/>
        <color rgb="FF009632"/>
        <rFont val="Arial"/>
        <family val="2"/>
      </rPr>
      <t xml:space="preserve"> Updating and implementing the marketing and communications plan</t>
    </r>
    <r>
      <rPr>
        <sz val="11"/>
        <color theme="1"/>
        <rFont val="Arial"/>
        <family val="2"/>
      </rPr>
      <t xml:space="preserve">
*   </t>
    </r>
    <r>
      <rPr>
        <sz val="11"/>
        <color rgb="FF009632"/>
        <rFont val="Arial"/>
        <family val="2"/>
      </rPr>
      <t>Mintek promotion</t>
    </r>
    <r>
      <rPr>
        <sz val="11"/>
        <color theme="1"/>
        <rFont val="Arial"/>
        <family val="2"/>
      </rPr>
      <t xml:space="preserve">, </t>
    </r>
    <r>
      <rPr>
        <sz val="11"/>
        <color rgb="FF009632"/>
        <rFont val="Arial"/>
        <family val="2"/>
      </rPr>
      <t>IP creation and transfer</t>
    </r>
    <r>
      <rPr>
        <sz val="11"/>
        <color theme="1"/>
        <rFont val="Arial"/>
        <family val="2"/>
      </rPr>
      <t xml:space="preserve">, </t>
    </r>
    <r>
      <rPr>
        <sz val="11"/>
        <color rgb="FF009632"/>
        <rFont val="Arial"/>
        <family val="2"/>
      </rPr>
      <t>Attained annual customer satisfaction target</t>
    </r>
    <r>
      <rPr>
        <sz val="11"/>
        <color theme="1"/>
        <rFont val="Arial"/>
        <family val="2"/>
      </rPr>
      <t xml:space="preserve">, </t>
    </r>
    <r>
      <rPr>
        <sz val="11"/>
        <color rgb="FFFF0000"/>
        <rFont val="Arial"/>
        <family val="2"/>
      </rPr>
      <t>Enhanced media exposure</t>
    </r>
    <r>
      <rPr>
        <sz val="11"/>
        <color theme="1"/>
        <rFont val="Arial"/>
        <family val="2"/>
      </rPr>
      <t xml:space="preserve">, </t>
    </r>
    <r>
      <rPr>
        <sz val="11"/>
        <color rgb="FF009632"/>
        <rFont val="Arial"/>
        <family val="2"/>
      </rPr>
      <t>Enhanced relations with oversight bodies</t>
    </r>
    <r>
      <rPr>
        <sz val="11"/>
        <color theme="1"/>
        <rFont val="Arial"/>
        <family val="2"/>
      </rPr>
      <t xml:space="preserve">, </t>
    </r>
    <r>
      <rPr>
        <sz val="11"/>
        <color rgb="FF009632"/>
        <rFont val="Arial"/>
        <family val="2"/>
      </rPr>
      <t>Regional integration of staff exchange</t>
    </r>
  </si>
  <si>
    <r>
      <t xml:space="preserve">*   </t>
    </r>
    <r>
      <rPr>
        <sz val="11"/>
        <color rgb="FFFFC000"/>
        <rFont val="Arial"/>
        <family val="2"/>
      </rPr>
      <t>Develop analytical and mineralogical methods and supply of services</t>
    </r>
    <r>
      <rPr>
        <sz val="11"/>
        <color theme="1"/>
        <rFont val="Arial"/>
        <family val="2"/>
      </rPr>
      <t xml:space="preserve">, </t>
    </r>
    <r>
      <rPr>
        <sz val="11"/>
        <color rgb="FFFFC000"/>
        <rFont val="Arial"/>
        <family val="2"/>
      </rPr>
      <t>Develop new technologies under State grant</t>
    </r>
    <r>
      <rPr>
        <sz val="11"/>
        <color theme="1"/>
        <rFont val="Arial"/>
        <family val="2"/>
      </rPr>
      <t xml:space="preserve">, </t>
    </r>
    <r>
      <rPr>
        <sz val="11"/>
        <color rgb="FFFFC000"/>
        <rFont val="Arial"/>
        <family val="2"/>
      </rPr>
      <t>Sales of products, plant and equipment</t>
    </r>
    <r>
      <rPr>
        <sz val="11"/>
        <color theme="1"/>
        <rFont val="Arial"/>
        <family val="2"/>
      </rPr>
      <t xml:space="preserve">, </t>
    </r>
    <r>
      <rPr>
        <sz val="11"/>
        <color rgb="FF009632"/>
        <rFont val="Arial"/>
        <family val="2"/>
      </rPr>
      <t>Commercial investigations and feasibility studies</t>
    </r>
    <r>
      <rPr>
        <sz val="11"/>
        <color theme="1"/>
        <rFont val="Arial"/>
        <family val="2"/>
      </rPr>
      <t xml:space="preserve">, </t>
    </r>
    <r>
      <rPr>
        <sz val="11"/>
        <color rgb="FF009632"/>
        <rFont val="Arial"/>
        <family val="2"/>
      </rPr>
      <t>Provision of Mineral Economics and Strategy advice</t>
    </r>
    <r>
      <rPr>
        <sz val="11"/>
        <color theme="1"/>
        <rFont val="Arial"/>
        <family val="2"/>
      </rPr>
      <t xml:space="preserve">
*   </t>
    </r>
    <r>
      <rPr>
        <sz val="11"/>
        <color rgb="FF009632"/>
        <rFont val="Arial"/>
        <family val="2"/>
      </rPr>
      <t>Develop applications for precious-, ferrous- and base metals in the areas</t>
    </r>
    <r>
      <rPr>
        <sz val="11"/>
        <color theme="1"/>
        <rFont val="Arial"/>
        <family val="2"/>
      </rPr>
      <t xml:space="preserve">, </t>
    </r>
    <r>
      <rPr>
        <sz val="11"/>
        <color rgb="FF009632"/>
        <rFont val="Arial"/>
        <family val="2"/>
      </rPr>
      <t>Develop metallurgical processes and products for base-, light- (titanium, magnesium) and ferrous metals</t>
    </r>
    <r>
      <rPr>
        <sz val="11"/>
        <color theme="1"/>
        <rFont val="Arial"/>
        <family val="2"/>
      </rPr>
      <t xml:space="preserve">
*   </t>
    </r>
    <r>
      <rPr>
        <sz val="11"/>
        <color rgb="FF009632"/>
        <rFont val="Arial"/>
        <family val="2"/>
      </rPr>
      <t>Develop water efficient processes and flow sheets to optimise water consumption and enable processing of ore bodies in water stricken areas</t>
    </r>
    <r>
      <rPr>
        <sz val="11"/>
        <color theme="1"/>
        <rFont val="Arial"/>
        <family val="2"/>
      </rPr>
      <t xml:space="preserve">, </t>
    </r>
    <r>
      <rPr>
        <sz val="11"/>
        <color rgb="FF009632"/>
        <rFont val="Arial"/>
        <family val="2"/>
      </rPr>
      <t>Develop energy efficient processes, flow sheets and control technologies that minimise energy consumption and carbon emissions</t>
    </r>
    <r>
      <rPr>
        <sz val="11"/>
        <color theme="1"/>
        <rFont val="Arial"/>
        <family val="2"/>
      </rPr>
      <t xml:space="preserve">, </t>
    </r>
    <r>
      <rPr>
        <sz val="11"/>
        <color rgb="FF009632"/>
        <rFont val="Arial"/>
        <family val="2"/>
      </rPr>
      <t>Develop waste management 
and recycling technologies for 
treating and recycling waste 
in order to extend mineral 
resources</t>
    </r>
    <r>
      <rPr>
        <sz val="11"/>
        <rFont val="Arial"/>
        <family val="2"/>
      </rPr>
      <t xml:space="preserve">, </t>
    </r>
    <r>
      <rPr>
        <sz val="11"/>
        <color rgb="FF009632"/>
        <rFont val="Arial"/>
        <family val="2"/>
      </rPr>
      <t>Rehabilitate derelict &amp; ownerless mine sites</t>
    </r>
  </si>
  <si>
    <r>
      <t xml:space="preserve">*   </t>
    </r>
    <r>
      <rPr>
        <sz val="11"/>
        <color rgb="FF009632"/>
        <rFont val="Arial"/>
        <family val="2"/>
      </rPr>
      <t>Establish technologies and strategies relevant to small scale operators, for transfer to rural and marginalised communities</t>
    </r>
    <r>
      <rPr>
        <sz val="11"/>
        <color theme="1"/>
        <rFont val="Arial"/>
        <family val="2"/>
      </rPr>
      <t xml:space="preserve"> .
*   </t>
    </r>
    <r>
      <rPr>
        <sz val="11"/>
        <color rgb="FF009632"/>
        <rFont val="Arial"/>
        <family val="2"/>
      </rPr>
      <t>Develop and support economically sustainable rural and marginalised communities.</t>
    </r>
    <r>
      <rPr>
        <sz val="11"/>
        <color theme="1"/>
        <rFont val="Arial"/>
        <family val="2"/>
      </rPr>
      <t xml:space="preserve">
*   </t>
    </r>
    <r>
      <rPr>
        <sz val="11"/>
        <color rgb="FF009632"/>
        <rFont val="Arial"/>
        <family val="2"/>
      </rPr>
      <t>Provide value-added beneficiation training relevant to rural and marginalised communities</t>
    </r>
    <r>
      <rPr>
        <sz val="11"/>
        <color theme="1"/>
        <rFont val="Arial"/>
        <family val="2"/>
      </rPr>
      <t>.</t>
    </r>
  </si>
  <si>
    <r>
      <t xml:space="preserve">*   </t>
    </r>
    <r>
      <rPr>
        <sz val="11"/>
        <color rgb="FF009632"/>
        <rFont val="Arial"/>
        <family val="2"/>
      </rPr>
      <t>BEE procurement as a % of total discretionary spend</t>
    </r>
    <r>
      <rPr>
        <sz val="11"/>
        <color theme="1"/>
        <rFont val="Arial"/>
        <family val="2"/>
      </rPr>
      <t xml:space="preserve">, </t>
    </r>
    <r>
      <rPr>
        <sz val="11"/>
        <color rgb="FF009632"/>
        <rFont val="Arial"/>
        <family val="2"/>
      </rPr>
      <t>Strengthened Internal Financial Controls</t>
    </r>
    <r>
      <rPr>
        <sz val="11"/>
        <color theme="1"/>
        <rFont val="Arial"/>
        <family val="2"/>
      </rPr>
      <t xml:space="preserve">, </t>
    </r>
    <r>
      <rPr>
        <sz val="11"/>
        <color rgb="FF009632"/>
        <rFont val="Arial"/>
        <family val="2"/>
      </rPr>
      <t>Sound Debtor Management</t>
    </r>
    <r>
      <rPr>
        <sz val="11"/>
        <color theme="1"/>
        <rFont val="Arial"/>
        <family val="2"/>
      </rPr>
      <t xml:space="preserve">, </t>
    </r>
    <r>
      <rPr>
        <sz val="11"/>
        <color rgb="FFFF0000"/>
        <rFont val="Arial"/>
        <family val="2"/>
      </rPr>
      <t>Total Income, Net Result (surplus)</t>
    </r>
    <r>
      <rPr>
        <sz val="11"/>
        <color theme="1"/>
        <rFont val="Arial"/>
        <family val="2"/>
      </rPr>
      <t xml:space="preserve">, </t>
    </r>
    <r>
      <rPr>
        <sz val="11"/>
        <color rgb="FF009632"/>
        <rFont val="Arial"/>
        <family val="2"/>
      </rPr>
      <t>Optimal Yield on Investment</t>
    </r>
    <r>
      <rPr>
        <sz val="11"/>
        <color theme="1"/>
        <rFont val="Arial"/>
        <family val="2"/>
      </rPr>
      <t xml:space="preserve">, </t>
    </r>
    <r>
      <rPr>
        <sz val="11"/>
        <color rgb="FF009632"/>
        <rFont val="Arial"/>
        <family val="2"/>
      </rPr>
      <t>Total Capital Expenditure</t>
    </r>
    <r>
      <rPr>
        <sz val="11"/>
        <color theme="1"/>
        <rFont val="Arial"/>
        <family val="2"/>
      </rPr>
      <t xml:space="preserve">, </t>
    </r>
    <r>
      <rPr>
        <sz val="11"/>
        <color rgb="FFFF0000"/>
        <rFont val="Arial"/>
        <family val="2"/>
      </rPr>
      <t>Maintained balance between R&amp;D and Commercial Revenue streams</t>
    </r>
    <r>
      <rPr>
        <sz val="11"/>
        <color theme="1"/>
        <rFont val="Arial"/>
        <family val="2"/>
      </rPr>
      <t xml:space="preserve">, </t>
    </r>
    <r>
      <rPr>
        <sz val="11"/>
        <color rgb="FF009632"/>
        <rFont val="Arial"/>
        <family val="2"/>
      </rPr>
      <t>Maintained balance between TCTC Salary Bill/Total Expenditure</t>
    </r>
    <r>
      <rPr>
        <sz val="11"/>
        <color theme="1"/>
        <rFont val="Arial"/>
        <family val="2"/>
      </rPr>
      <t xml:space="preserve">, </t>
    </r>
    <r>
      <rPr>
        <sz val="11"/>
        <color rgb="FF009632"/>
        <rFont val="Arial"/>
        <family val="2"/>
      </rPr>
      <t>Enhanced Liquidity Ratio</t>
    </r>
    <r>
      <rPr>
        <sz val="11"/>
        <color theme="1"/>
        <rFont val="Arial"/>
        <family val="2"/>
      </rPr>
      <t xml:space="preserve">, </t>
    </r>
    <r>
      <rPr>
        <sz val="11"/>
        <color rgb="FF009632"/>
        <rFont val="Arial"/>
        <family val="2"/>
      </rPr>
      <t>Improved cash flows from operations</t>
    </r>
    <r>
      <rPr>
        <sz val="11"/>
        <color theme="1"/>
        <rFont val="Arial"/>
        <family val="2"/>
      </rPr>
      <t xml:space="preserve">
*   </t>
    </r>
    <r>
      <rPr>
        <sz val="11"/>
        <color rgb="FFFF0000"/>
        <rFont val="Arial"/>
        <family val="2"/>
      </rPr>
      <t>Productivity Ratio</t>
    </r>
    <r>
      <rPr>
        <sz val="11"/>
        <color theme="1"/>
        <rFont val="Arial"/>
        <family val="2"/>
      </rPr>
      <t xml:space="preserve">, </t>
    </r>
    <r>
      <rPr>
        <sz val="11"/>
        <color rgb="FF009632"/>
        <rFont val="Arial"/>
        <family val="2"/>
      </rPr>
      <t>Energy Efficiency</t>
    </r>
    <r>
      <rPr>
        <sz val="11"/>
        <color theme="1"/>
        <rFont val="Arial"/>
        <family val="2"/>
      </rPr>
      <t xml:space="preserve">, </t>
    </r>
    <r>
      <rPr>
        <sz val="11"/>
        <color rgb="FF009632"/>
        <rFont val="Arial"/>
        <family val="2"/>
      </rPr>
      <t>ICT security</t>
    </r>
    <r>
      <rPr>
        <sz val="11"/>
        <color theme="1"/>
        <rFont val="Arial"/>
        <family val="2"/>
      </rPr>
      <t xml:space="preserve">, </t>
    </r>
    <r>
      <rPr>
        <sz val="11"/>
        <color rgb="FF009632"/>
        <rFont val="Arial"/>
        <family val="2"/>
      </rPr>
      <t>Monitoring of critical facility availability</t>
    </r>
    <r>
      <rPr>
        <sz val="11"/>
        <color theme="1"/>
        <rFont val="Arial"/>
        <family val="2"/>
      </rPr>
      <t xml:space="preserve">
*   </t>
    </r>
    <r>
      <rPr>
        <sz val="11"/>
        <color rgb="FF009632"/>
        <rFont val="Arial"/>
        <family val="2"/>
      </rPr>
      <t>Compliance with appropriate standards, regulations and legislation</t>
    </r>
    <r>
      <rPr>
        <sz val="11"/>
        <color theme="1"/>
        <rFont val="Arial"/>
        <family val="2"/>
      </rPr>
      <t xml:space="preserve">, </t>
    </r>
    <r>
      <rPr>
        <sz val="11"/>
        <color rgb="FF009632"/>
        <rFont val="Arial"/>
        <family val="2"/>
      </rPr>
      <t>Internal Audits conducted</t>
    </r>
    <r>
      <rPr>
        <sz val="11"/>
        <color theme="1"/>
        <rFont val="Arial"/>
        <family val="2"/>
      </rPr>
      <t>,</t>
    </r>
    <r>
      <rPr>
        <sz val="11"/>
        <color rgb="FF009632"/>
        <rFont val="Arial"/>
        <family val="2"/>
      </rPr>
      <t xml:space="preserve"> Review of the Audit Committee Charter</t>
    </r>
    <r>
      <rPr>
        <sz val="11"/>
        <color theme="1"/>
        <rFont val="Arial"/>
        <family val="2"/>
      </rPr>
      <t xml:space="preserve">, </t>
    </r>
    <r>
      <rPr>
        <sz val="11"/>
        <color rgb="FF009632"/>
        <rFont val="Arial"/>
        <family val="2"/>
      </rPr>
      <t>Fraud Awareness Campaigns</t>
    </r>
    <r>
      <rPr>
        <sz val="11"/>
        <color theme="1"/>
        <rFont val="Arial"/>
        <family val="2"/>
      </rPr>
      <t xml:space="preserve">
*  </t>
    </r>
    <r>
      <rPr>
        <sz val="11"/>
        <color rgb="FF009632"/>
        <rFont val="Arial"/>
        <family val="2"/>
      </rPr>
      <t xml:space="preserve"> SHEQ standards maintained and enhanceds</t>
    </r>
  </si>
  <si>
    <r>
      <t xml:space="preserve">*   </t>
    </r>
    <r>
      <rPr>
        <sz val="11"/>
        <color rgb="FF009632"/>
        <rFont val="Arial"/>
        <family val="2"/>
      </rPr>
      <t>Enhanced Skills Development</t>
    </r>
    <r>
      <rPr>
        <sz val="11"/>
        <color theme="1"/>
        <rFont val="Arial"/>
        <family val="2"/>
      </rPr>
      <t xml:space="preserve">, </t>
    </r>
    <r>
      <rPr>
        <sz val="11"/>
        <color rgb="FF009632"/>
        <rFont val="Arial"/>
        <family val="2"/>
      </rPr>
      <t>Enhanced relationships with Institutions of Higher Education and other similar organisations</t>
    </r>
    <r>
      <rPr>
        <sz val="11"/>
        <color theme="1"/>
        <rFont val="Arial"/>
        <family val="2"/>
      </rPr>
      <t xml:space="preserve">, </t>
    </r>
    <r>
      <rPr>
        <sz val="11"/>
        <color rgb="FF009632"/>
        <rFont val="Arial"/>
        <family val="2"/>
      </rPr>
      <t>Science, Technology, Engineering and Maths (STEM) Promotion</t>
    </r>
    <r>
      <rPr>
        <sz val="11"/>
        <color theme="1"/>
        <rFont val="Arial"/>
        <family val="2"/>
      </rPr>
      <t xml:space="preserve">, </t>
    </r>
    <r>
      <rPr>
        <sz val="11"/>
        <color rgb="FF009632"/>
        <rFont val="Arial"/>
        <family val="2"/>
      </rPr>
      <t>Effective Full-time Bursary Programme</t>
    </r>
    <r>
      <rPr>
        <sz val="11"/>
        <color theme="1"/>
        <rFont val="Arial"/>
        <family val="2"/>
      </rPr>
      <t xml:space="preserve">, </t>
    </r>
    <r>
      <rPr>
        <sz val="11"/>
        <color rgb="FF009632"/>
        <rFont val="Arial"/>
        <family val="2"/>
      </rPr>
      <t>Effective Part–time 
Bursary Programme</t>
    </r>
    <r>
      <rPr>
        <sz val="11"/>
        <color theme="1"/>
        <rFont val="Arial"/>
        <family val="2"/>
      </rPr>
      <t xml:space="preserve">, </t>
    </r>
    <r>
      <rPr>
        <sz val="11"/>
        <color rgb="FF009632"/>
        <rFont val="Arial"/>
        <family val="2"/>
      </rPr>
      <t>Work-Integrated Learning, Studentships and Internship Programmes</t>
    </r>
    <r>
      <rPr>
        <sz val="11"/>
        <color theme="1"/>
        <rFont val="Arial"/>
        <family val="2"/>
      </rPr>
      <t xml:space="preserve">, </t>
    </r>
    <r>
      <rPr>
        <sz val="11"/>
        <color rgb="FF009632"/>
        <rFont val="Arial"/>
        <family val="2"/>
      </rPr>
      <t>Artisan Learnership Programme</t>
    </r>
    <r>
      <rPr>
        <sz val="11"/>
        <color theme="1"/>
        <rFont val="Arial"/>
        <family val="2"/>
      </rPr>
      <t xml:space="preserve">, </t>
    </r>
    <r>
      <rPr>
        <sz val="11"/>
        <color rgb="FF009632"/>
        <rFont val="Arial"/>
        <family val="2"/>
      </rPr>
      <t>Development Programmes for recent graduate scientists &amp; engineers</t>
    </r>
    <r>
      <rPr>
        <sz val="11"/>
        <color theme="1"/>
        <rFont val="Arial"/>
        <family val="2"/>
      </rPr>
      <t xml:space="preserve">, </t>
    </r>
    <r>
      <rPr>
        <sz val="11"/>
        <color rgb="FF009632"/>
        <rFont val="Arial"/>
        <family val="2"/>
      </rPr>
      <t xml:space="preserve">Development Programme for researchers, scientists, engineers and technicians, </t>
    </r>
    <r>
      <rPr>
        <sz val="11"/>
        <color rgb="FFFFC000"/>
        <rFont val="Arial"/>
        <family val="2"/>
      </rPr>
      <t>Transformation of the Mintek Organisation</t>
    </r>
    <r>
      <rPr>
        <sz val="11"/>
        <color theme="1"/>
        <rFont val="Arial"/>
        <family val="2"/>
      </rPr>
      <t xml:space="preserve">, </t>
    </r>
    <r>
      <rPr>
        <sz val="11"/>
        <color rgb="FF009632"/>
        <rFont val="Arial"/>
        <family val="2"/>
      </rPr>
      <t>Structured mentorship programme to transfer skills and knowledge from specialists to mid-level professionals</t>
    </r>
    <r>
      <rPr>
        <sz val="11"/>
        <color theme="1"/>
        <rFont val="Arial"/>
        <family val="2"/>
      </rPr>
      <t xml:space="preserve">, </t>
    </r>
    <r>
      <rPr>
        <sz val="11"/>
        <color rgb="FF009632"/>
        <rFont val="Arial"/>
        <family val="2"/>
      </rPr>
      <t>Compliance with Performance Management  Policy
*   Enhanced Experience Profile of Researchers</t>
    </r>
    <r>
      <rPr>
        <sz val="11"/>
        <color theme="1"/>
        <rFont val="Arial"/>
        <family val="2"/>
      </rPr>
      <t xml:space="preserve">, </t>
    </r>
    <r>
      <rPr>
        <sz val="11"/>
        <color rgb="FF009632"/>
        <rFont val="Arial"/>
        <family val="2"/>
      </rPr>
      <t>Proportion of Researchers to Total Staff</t>
    </r>
    <r>
      <rPr>
        <sz val="11"/>
        <color theme="1"/>
        <rFont val="Arial"/>
        <family val="2"/>
      </rPr>
      <t xml:space="preserve">, </t>
    </r>
    <r>
      <rPr>
        <sz val="11"/>
        <color rgb="FF009632"/>
        <rFont val="Arial"/>
        <family val="2"/>
      </rPr>
      <t>Proportion of staff with Masters degree</t>
    </r>
    <r>
      <rPr>
        <sz val="11"/>
        <color theme="1"/>
        <rFont val="Arial"/>
        <family val="2"/>
      </rPr>
      <t xml:space="preserve">, </t>
    </r>
    <r>
      <rPr>
        <sz val="11"/>
        <color rgb="FF009632"/>
        <rFont val="Arial"/>
        <family val="2"/>
      </rPr>
      <t>Proportion of staff with Doctoral degree</t>
    </r>
    <r>
      <rPr>
        <sz val="11"/>
        <color theme="1"/>
        <rFont val="Arial"/>
        <family val="2"/>
      </rPr>
      <t xml:space="preserve">, </t>
    </r>
    <r>
      <rPr>
        <sz val="11"/>
        <color rgb="FFFFC000"/>
        <rFont val="Arial"/>
        <family val="2"/>
      </rPr>
      <t>Enhanced staff Retention &amp; Succession</t>
    </r>
    <r>
      <rPr>
        <sz val="11"/>
        <color theme="1"/>
        <rFont val="Arial"/>
        <family val="2"/>
      </rPr>
      <t xml:space="preserve">, </t>
    </r>
    <r>
      <rPr>
        <sz val="11"/>
        <color rgb="FFFFC000"/>
        <rFont val="Arial"/>
        <family val="2"/>
      </rPr>
      <t>Effective Leadership Development Programme</t>
    </r>
    <r>
      <rPr>
        <sz val="11"/>
        <color theme="1"/>
        <rFont val="Arial"/>
        <family val="2"/>
      </rPr>
      <t xml:space="preserve">
*  </t>
    </r>
    <r>
      <rPr>
        <sz val="11"/>
        <color rgb="FF009632"/>
        <rFont val="Arial"/>
        <family val="2"/>
      </rPr>
      <t xml:space="preserve"> Enhanced Employee Health and Wellness Programme</t>
    </r>
    <r>
      <rPr>
        <sz val="11"/>
        <color theme="1"/>
        <rFont val="Arial"/>
        <family val="2"/>
      </rPr>
      <t xml:space="preserve">
*   </t>
    </r>
    <r>
      <rPr>
        <sz val="11"/>
        <color rgb="FF009632"/>
        <rFont val="Arial"/>
        <family val="2"/>
      </rPr>
      <t>Enhanced administrative efficiency</t>
    </r>
  </si>
  <si>
    <r>
      <t>*    We evaluated an X-Ray Transmission (XRT) sorting technology to improve the quality of coal by improving the Calorific Value of the products at the Vlakfontein Mine, a mine belonging to African Exploration Mining and Finance Corporation. While XRT technology is widely used in the coal industry in destoning applications, there is no cost effective, energy efficient method in South Africa for producing high quality coal from coarse ore other than the traditional wet dense medium separation (DMS) process.
*   The Reflaut</t>
    </r>
    <r>
      <rPr>
        <vertAlign val="superscript"/>
        <sz val="11"/>
        <color theme="1"/>
        <rFont val="Arial"/>
        <family val="2"/>
      </rPr>
      <t>TM</t>
    </r>
    <r>
      <rPr>
        <sz val="11"/>
        <color theme="1"/>
        <rFont val="Arial"/>
        <family val="2"/>
      </rPr>
      <t xml:space="preserve"> (Retreatment Flowsheet for Gold and Uranium Tailings) Demonstration plant at South Deep Mine that showcased a novel method to remove gold, harmful sulphides and radioactive uranium from tailings, thereby significantly reducing the mineral content responsible for generating acid mine drainage.
*    Mintek’s Cynoprobe</t>
    </r>
    <r>
      <rPr>
        <vertAlign val="superscript"/>
        <sz val="11"/>
        <color theme="1"/>
        <rFont val="Arial"/>
        <family val="2"/>
      </rPr>
      <t>TM</t>
    </r>
    <r>
      <rPr>
        <sz val="11"/>
        <color theme="1"/>
        <rFont val="Arial"/>
        <family val="2"/>
      </rPr>
      <t xml:space="preserve"> Cyanide analyser reached its own milestone when one of Mintek’s clients purchased the product for its plant in Kyrgyzstan. The transaction meant that Mintek’s Cynoprobe’s footprint reached its thirtieth (30) country since its launch. The milestone endorses Mintek’s effort in its quest to be a global leader in mineral and metallurgical innovation.
*    Mintek’s Carbon Activity Analyser (CAA) reached market-ready status. The CAA is a new automated carbon activity analyser that utilises cheap iodine instead of expensive and toxic aurocyanide as the reagent. The approach results in lower operating costs, and it eliminates the complicated preparation steps and inconsistent results typical of the manual iodine-based measurement technique. The final packaging of the technology has been concluded and Mintek has already received two orders for this new version of the instrument.</t>
    </r>
  </si>
  <si>
    <t>*    The lower than anticipated revenue generated from products and services had a significant impact on Mintek’s comprehensive income for the year. Total revenues for the 2016/17 financial year came 11% short of projection, primarily as a result of products and services that has dropped a further 23.5% compared to last year.
*   As a consequence, while Mintek’s annual surplus decreased for the second consecutive year, to R6.0 million, the decline did not have an adverse effect on our operations and we are hopeful that this trend will not persist.
*   Our balance sheet remains at a healthy 756-million worth of assets and we have maintained a liquidity ratio of 2. 
*    In total in three years, Mintek’s commercial activity has dropped by 35.9%.</t>
  </si>
  <si>
    <t>Mintek's Business Model</t>
  </si>
  <si>
    <t xml:space="preserve">Mintek is an autonomous research and development organisation specialising and thus generates revenue from research and the provision of professional services in aspects of mineral processing, extractive metallurgy and related technology. </t>
  </si>
  <si>
    <t>Mintek</t>
  </si>
  <si>
    <t>1.   Loss of commercial revenue
2.   Operational incident causes injuiries, destruction of building and equipment or loss of licence to operatt scheduled processes.
3.   Failure to attract and retain skillsed personnel.
4.   Changing Government policies and priorities.
5.   Surge in operational costs.</t>
  </si>
  <si>
    <t>Top business and strategic risks</t>
  </si>
  <si>
    <t>Traditional Ratio Analysis</t>
  </si>
  <si>
    <t>Capital Expenditure</t>
  </si>
  <si>
    <r>
      <t xml:space="preserve">*   </t>
    </r>
    <r>
      <rPr>
        <sz val="11"/>
        <color rgb="FFFF0000"/>
        <rFont val="Arial"/>
        <family val="2"/>
      </rPr>
      <t>Challenges with maintaining profitability due to the global economic crisis.
*   Managed to achieve 2% saving in costs due to the difficult economic position.</t>
    </r>
    <r>
      <rPr>
        <sz val="11"/>
        <color theme="1"/>
        <rFont val="Arial"/>
        <family val="2"/>
      </rPr>
      <t xml:space="preserve">
*   The facility was recertified for ISO 9001:2008, ISO 14001:2004 and OHSAS 18001:2007.</t>
    </r>
  </si>
  <si>
    <r>
      <rPr>
        <sz val="11"/>
        <color rgb="FFFF0000"/>
        <rFont val="Arial"/>
        <family val="2"/>
      </rPr>
      <t>*   Implementation of the Mining, mineral processing and benficiation objective of the New Growth Path (NGP).</t>
    </r>
    <r>
      <rPr>
        <sz val="11"/>
        <color theme="1"/>
        <rFont val="Arial"/>
        <family val="2"/>
      </rPr>
      <t xml:space="preserve">
*   Application of the National Research Fund to develop and improve technology.
*   The upturn in the mining and mineral processing industry, although delayed due to Mintek being in the downstream of the value chain.
</t>
    </r>
    <r>
      <rPr>
        <sz val="11"/>
        <color rgb="FFFF0000"/>
        <rFont val="Arial"/>
        <family val="2"/>
      </rPr>
      <t>*   The need to develop new technology to handle issues such as Acid Mine Drainage (AMD).</t>
    </r>
  </si>
  <si>
    <r>
      <t xml:space="preserve">*   Revenue generation from a 3 year contract with DMR on the rehabilitation of derelict and ownerless mines
</t>
    </r>
    <r>
      <rPr>
        <sz val="11"/>
        <color rgb="FFFF0000"/>
        <rFont val="Arial"/>
        <family val="2"/>
      </rPr>
      <t>*   Global economic uncertainty still affecting the business but it recorded better than budget revenues with a surplus of R43m.</t>
    </r>
    <r>
      <rPr>
        <sz val="11"/>
        <color theme="1"/>
        <rFont val="Arial"/>
        <family val="2"/>
      </rPr>
      <t xml:space="preserve">
</t>
    </r>
    <r>
      <rPr>
        <sz val="11"/>
        <color rgb="FFFF0000"/>
        <rFont val="Arial"/>
        <family val="2"/>
      </rPr>
      <t>*   Growing pipeline of commercial projects and request for proposals.</t>
    </r>
    <r>
      <rPr>
        <sz val="11"/>
        <color theme="1"/>
        <rFont val="Arial"/>
        <family val="2"/>
      </rPr>
      <t xml:space="preserve">
</t>
    </r>
    <r>
      <rPr>
        <sz val="11"/>
        <color rgb="FFFF0000"/>
        <rFont val="Arial"/>
        <family val="2"/>
      </rPr>
      <t>*   Business gained from cost saving initiatives given the tough economic conditions.</t>
    </r>
    <r>
      <rPr>
        <sz val="11"/>
        <color theme="1"/>
        <rFont val="Arial"/>
        <family val="2"/>
      </rPr>
      <t xml:space="preserve">
*   Collecting strategies boosted net working capital inflow by R43m which were placed in short-term deposit account to maximise investment income.</t>
    </r>
  </si>
  <si>
    <r>
      <t xml:space="preserve">*   Surplus of R16m was achieved which was 35% lower than the target and also lower than the previous year.
</t>
    </r>
    <r>
      <rPr>
        <sz val="11"/>
        <color rgb="FFFF0000"/>
        <rFont val="Arial"/>
        <family val="2"/>
      </rPr>
      <t xml:space="preserve">*   Water and energy constraints in South Africa have necessitated Mintek to look into ways of improving processing efficiencies as these continue to be important industry drivers. </t>
    </r>
    <r>
      <rPr>
        <sz val="11"/>
        <color theme="1"/>
        <rFont val="Arial"/>
        <family val="2"/>
      </rPr>
      <t xml:space="preserve">
*   Mintek concluded the programme to rehabilitate derelict and ownerless mines, which had been going on as part of a three year contract, worth R90-million, with the Department of Mineral Resources.
*   The Mining Qualifications Authority (MQA) has awarded Mintek a contract worth R1.3 million to train 125 people in the Western Cape, Mpumalanga, Limpopo, Free State and KwaZuluNatal on the legal aspects, extraction methods and technologies for small scale mining. While some of the participants are already mining, most will be assisted on set up their own businesses and obtain mining permits.</t>
    </r>
  </si>
  <si>
    <r>
      <t>*</t>
    </r>
    <r>
      <rPr>
        <sz val="11"/>
        <color rgb="FFFF0000"/>
        <rFont val="Arial"/>
        <family val="2"/>
      </rPr>
      <t xml:space="preserve">   Incrased research work, entrenched culture of cost saving and improvement on collection strategies.</t>
    </r>
    <r>
      <rPr>
        <sz val="11"/>
        <color theme="1"/>
        <rFont val="Arial"/>
        <family val="2"/>
      </rPr>
      <t xml:space="preserve">
*   Innovate, research and develop novel technologies.</t>
    </r>
  </si>
  <si>
    <r>
      <rPr>
        <sz val="11"/>
        <color rgb="FFFF0000"/>
        <rFont val="Arial"/>
        <family val="2"/>
      </rPr>
      <t xml:space="preserve">*   The global mining industry is poised to enter a period of distinct structural change as the rest of the continent is becoming the new exploration destination due to its untapped and largely unexplored resources. </t>
    </r>
    <r>
      <rPr>
        <sz val="11"/>
        <color theme="1"/>
        <rFont val="Arial"/>
        <family val="2"/>
      </rPr>
      <t xml:space="preserve">
*   Exploration and development spend no longer comes to South Africa as before, owing to limited “downstream” beneficiation, we are concerned but as a recognised leader in the minerals technology field, we will continue to call upon our scientists and engineers to provide innovative solutions for the future that will benefit the industry as a whole.
*   This year’s financial achievement was made possible due to the execution of several pilot plants, finalisation of several MTEF projects and the generation of higher than expected income through rentals and investments.
*   Our Nicksyn™ synergistic nickel extraction reagent was piloted successfully for an international nickel producer. Sales of the reagent are likely to provide significant income to Mintek as well as potential new implementation and test work due to commercial exposure of the reagent. </t>
    </r>
  </si>
  <si>
    <r>
      <rPr>
        <sz val="11"/>
        <color rgb="FFFF0000"/>
        <rFont val="Arial"/>
        <family val="2"/>
      </rPr>
      <t>*   The current state of the world economy has shown a decline in commodity demand and prices in recent years, with a concomitant drop in project activity, and this is expected to continue into 2015.</t>
    </r>
    <r>
      <rPr>
        <sz val="11"/>
        <color theme="1"/>
        <rFont val="Arial"/>
        <family val="2"/>
      </rPr>
      <t xml:space="preserve"> 
*   The agreement between Mintek and Anglo Platinum to demonstrate a novel smelting process to recover nickel from slag and atomise the resulting iron nickel alloy was concluded with all the technical objectives of the project being met. 
*   This year’s financial achievement was made possible due to the execution of several pilot plants, technology licence fee payments and the increased MTEF allocation. 
</t>
    </r>
  </si>
  <si>
    <r>
      <rPr>
        <sz val="11"/>
        <color rgb="FFFF0000"/>
        <rFont val="Arial"/>
        <family val="2"/>
      </rPr>
      <t xml:space="preserve">*   The decline in commodity demand and prices with a concurrent drop in project activity continued into 2016. </t>
    </r>
    <r>
      <rPr>
        <sz val="11"/>
        <color theme="1"/>
        <rFont val="Arial"/>
        <family val="2"/>
      </rPr>
      <t xml:space="preserve">This has led to a further 18% drop in Mintek’s commercial revenues. The R13.8 million surplus achieved by Mintek this year is slightly lower than the R17.6 million surplus achieved during the previous financial cycle. 
*   However, due to the entrenched culture of cost saving, an overall surplus of R13.8 million was achieved for the financial year, which is slightly higher than the budgeted surplus of R12.7 million.
*   While the decline in commercially funded mineral technology work is recognisable by the 18% decrease in income generated through products and services, the cost containment culture ensures a strong balance sheet.
*   Mintek maintains a balance sheet with more than R750-milllion worth of assets and a liquidity ratio of 2.2. </t>
    </r>
  </si>
  <si>
    <r>
      <rPr>
        <sz val="11"/>
        <color rgb="FFFF0000"/>
        <rFont val="Arial"/>
        <family val="2"/>
      </rPr>
      <t>*   The downward spiral in mining activity is expected to ease somewhat during the latter part of the next financial year.</t>
    </r>
    <r>
      <rPr>
        <sz val="11"/>
        <color theme="1"/>
        <rFont val="Arial"/>
        <family val="2"/>
      </rPr>
      <t xml:space="preserve">
*   Increased state funding, short term deposits and technology licence fees are other important contributions towards the overall financial achievement. </t>
    </r>
  </si>
  <si>
    <r>
      <rPr>
        <sz val="11"/>
        <color rgb="FFFF0000"/>
        <rFont val="Arial"/>
        <family val="2"/>
      </rPr>
      <t>*    As the resilience of the mining industry continued to get tested by low commodity prices during the course of 2016, our commercial activities were placed under severe strain.</t>
    </r>
    <r>
      <rPr>
        <sz val="11"/>
        <color theme="1"/>
        <rFont val="Arial"/>
        <family val="2"/>
      </rPr>
      <t xml:space="preserve">
</t>
    </r>
    <r>
      <rPr>
        <sz val="11"/>
        <color rgb="FFFF0000"/>
        <rFont val="Arial"/>
        <family val="2"/>
      </rPr>
      <t xml:space="preserve">*   Industry analysts suggest that the downward spiral has bottomed out, and the outlook going forward suggests an improvement from the beginning of 2017. </t>
    </r>
    <r>
      <rPr>
        <sz val="11"/>
        <color theme="1"/>
        <rFont val="Arial"/>
        <family val="2"/>
      </rPr>
      <t xml:space="preserve">
*   Despite this challenge, our financial position still showed a surplus, in part due to contract research performing exceptionally well against budget as well as income generated from investment activities. This is as a result of more research work being undertaken compared to prior years.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</si>
</sst>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quot;R&quot;#,##0"/>
  </numFmts>
  <fonts count="36" x14ac:knownFonts="1">
    <font>
      <sz val="10"/>
      <color theme="1"/>
      <name val="Arial"/>
      <family val="2"/>
      <scheme val="minor"/>
    </font>
    <font>
      <sz val="11"/>
      <color theme="1"/>
      <name val="Arial"/>
      <family val="2"/>
      <scheme val="minor"/>
    </font>
    <font>
      <sz val="10"/>
      <color rgb="FF9C0006"/>
      <name val="Arial"/>
      <family val="2"/>
      <scheme val="minor"/>
    </font>
    <font>
      <sz val="10"/>
      <color rgb="FF006100"/>
      <name val="Arial"/>
      <family val="2"/>
      <scheme val="minor"/>
    </font>
    <font>
      <sz val="10"/>
      <color rgb="FF9C6500"/>
      <name val="Arial"/>
      <family val="2"/>
      <scheme val="minor"/>
    </font>
    <font>
      <b/>
      <sz val="10"/>
      <color rgb="FFFA7D00"/>
      <name val="Arial"/>
      <family val="2"/>
      <scheme val="minor"/>
    </font>
    <font>
      <b/>
      <sz val="10"/>
      <color theme="0"/>
      <name val="Arial"/>
      <family val="2"/>
      <scheme val="minor"/>
    </font>
    <font>
      <i/>
      <sz val="10"/>
      <color rgb="FF7F7F7F"/>
      <name val="Arial"/>
      <family val="2"/>
      <scheme val="minor"/>
    </font>
    <font>
      <sz val="10"/>
      <color rgb="FF3F3F76"/>
      <name val="Arial"/>
      <family val="2"/>
      <scheme val="minor"/>
    </font>
    <font>
      <sz val="10"/>
      <color rgb="FFFA7D00"/>
      <name val="Arial"/>
      <family val="2"/>
      <scheme val="minor"/>
    </font>
    <font>
      <b/>
      <sz val="10"/>
      <color rgb="FF3F3F3F"/>
      <name val="Arial"/>
      <family val="2"/>
      <scheme val="minor"/>
    </font>
    <font>
      <sz val="10"/>
      <color rgb="FFFF0000"/>
      <name val="Arial"/>
      <family val="2"/>
      <scheme val="minor"/>
    </font>
    <font>
      <b/>
      <sz val="15"/>
      <color theme="3"/>
      <name val="Arial"/>
      <family val="2"/>
      <scheme val="minor"/>
    </font>
    <font>
      <b/>
      <sz val="13"/>
      <color theme="3"/>
      <name val="Arial"/>
      <family val="2"/>
      <scheme val="minor"/>
    </font>
    <font>
      <sz val="10"/>
      <color theme="1"/>
      <name val="Arial"/>
      <family val="2"/>
      <scheme val="minor"/>
    </font>
    <font>
      <b/>
      <sz val="11"/>
      <color theme="3"/>
      <name val="Arial"/>
      <family val="2"/>
      <scheme val="minor"/>
    </font>
    <font>
      <b/>
      <sz val="10"/>
      <color theme="1"/>
      <name val="Arial"/>
      <family val="2"/>
      <scheme val="minor"/>
    </font>
    <font>
      <sz val="10"/>
      <color theme="0"/>
      <name val="Arial"/>
      <family val="2"/>
      <scheme val="minor"/>
    </font>
    <font>
      <sz val="10"/>
      <color theme="1"/>
      <name val="Lucida Bright"/>
      <family val="1"/>
    </font>
    <font>
      <b/>
      <sz val="10"/>
      <color theme="1"/>
      <name val="Lucida Bright"/>
      <family val="1"/>
    </font>
    <font>
      <b/>
      <sz val="10"/>
      <color theme="0"/>
      <name val="Lucida Bright"/>
      <family val="1"/>
    </font>
    <font>
      <b/>
      <u/>
      <sz val="12"/>
      <color theme="1"/>
      <name val="Lucida Bright"/>
      <family val="1"/>
    </font>
    <font>
      <sz val="10"/>
      <name val="Lucida Bright"/>
      <family val="1"/>
    </font>
    <font>
      <sz val="10"/>
      <color theme="0"/>
      <name val="Lucida Bright"/>
      <family val="1"/>
    </font>
    <font>
      <u/>
      <sz val="10"/>
      <color theme="10"/>
      <name val="Arial"/>
      <family val="2"/>
      <scheme val="minor"/>
    </font>
    <font>
      <u/>
      <sz val="10"/>
      <color theme="0" tint="-4.9989318521683403E-2"/>
      <name val="Arial"/>
      <family val="2"/>
      <scheme val="minor"/>
    </font>
    <font>
      <sz val="11"/>
      <color theme="1"/>
      <name val="Arial"/>
      <family val="2"/>
    </font>
    <font>
      <b/>
      <sz val="11"/>
      <color theme="1"/>
      <name val="Arial"/>
      <family val="2"/>
    </font>
    <font>
      <b/>
      <sz val="11"/>
      <color theme="1"/>
      <name val="Arial"/>
      <family val="2"/>
      <scheme val="minor"/>
    </font>
    <font>
      <sz val="9"/>
      <color indexed="81"/>
      <name val="Tahoma"/>
      <family val="2"/>
    </font>
    <font>
      <b/>
      <sz val="9"/>
      <color indexed="81"/>
      <name val="Tahoma"/>
      <family val="2"/>
    </font>
    <font>
      <sz val="11"/>
      <color rgb="FF009632"/>
      <name val="Arial"/>
      <family val="2"/>
    </font>
    <font>
      <sz val="11"/>
      <color rgb="FFFFC000"/>
      <name val="Arial"/>
      <family val="2"/>
    </font>
    <font>
      <sz val="11"/>
      <name val="Arial"/>
      <family val="2"/>
    </font>
    <font>
      <sz val="11"/>
      <color rgb="FFFF0000"/>
      <name val="Arial"/>
      <family val="2"/>
    </font>
    <font>
      <vertAlign val="superscript"/>
      <sz val="11"/>
      <color theme="1"/>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2" tint="-4.9989318521683403E-2"/>
        <bgColor indexed="64"/>
      </patternFill>
    </fill>
    <fill>
      <patternFill patternType="solid">
        <fgColor theme="0" tint="-0.1499984740745262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5">
    <xf numFmtId="0" fontId="0" fillId="0" borderId="0"/>
    <xf numFmtId="0" fontId="12" fillId="0" borderId="1" applyNumberFormat="0" applyFill="0" applyAlignment="0" applyProtection="0"/>
    <xf numFmtId="0" fontId="13" fillId="0" borderId="2" applyNumberFormat="0" applyFill="0" applyAlignment="0" applyProtection="0"/>
    <xf numFmtId="0" fontId="3" fillId="2" borderId="0" applyNumberFormat="0" applyBorder="0" applyAlignment="0" applyProtection="0"/>
    <xf numFmtId="0" fontId="2" fillId="3" borderId="0" applyNumberFormat="0" applyBorder="0" applyAlignment="0" applyProtection="0"/>
    <xf numFmtId="0" fontId="4" fillId="4" borderId="0" applyNumberFormat="0" applyBorder="0" applyAlignment="0" applyProtection="0"/>
    <xf numFmtId="0" fontId="8" fillId="5" borderId="3" applyNumberFormat="0" applyAlignment="0" applyProtection="0"/>
    <xf numFmtId="0" fontId="10" fillId="6" borderId="4" applyNumberFormat="0" applyAlignment="0" applyProtection="0"/>
    <xf numFmtId="0" fontId="5" fillId="6" borderId="3" applyNumberFormat="0" applyAlignment="0" applyProtection="0"/>
    <xf numFmtId="0" fontId="9" fillId="0" borderId="5" applyNumberFormat="0" applyFill="0" applyAlignment="0" applyProtection="0"/>
    <xf numFmtId="0" fontId="6" fillId="7" borderId="6" applyNumberFormat="0" applyAlignment="0" applyProtection="0"/>
    <xf numFmtId="0" fontId="11" fillId="0" borderId="0" applyNumberFormat="0" applyFill="0" applyBorder="0" applyAlignment="0" applyProtection="0"/>
    <xf numFmtId="0" fontId="7" fillId="0" borderId="0" applyNumberFormat="0" applyFill="0" applyBorder="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7" fillId="31" borderId="0" applyNumberFormat="0" applyBorder="0" applyAlignment="0" applyProtection="0"/>
    <xf numFmtId="9" fontId="14" fillId="0" borderId="0" applyFont="0" applyFill="0" applyBorder="0" applyAlignment="0" applyProtection="0"/>
    <xf numFmtId="0" fontId="24" fillId="0" borderId="0" applyNumberFormat="0" applyFill="0" applyBorder="0" applyAlignment="0" applyProtection="0"/>
    <xf numFmtId="0" fontId="1" fillId="0" borderId="0"/>
    <xf numFmtId="9" fontId="1" fillId="0" borderId="0" applyFont="0" applyFill="0" applyBorder="0" applyAlignment="0" applyProtection="0"/>
    <xf numFmtId="43" fontId="14" fillId="0" borderId="0" applyFont="0" applyFill="0" applyBorder="0" applyAlignment="0" applyProtection="0"/>
  </cellStyleXfs>
  <cellXfs count="126">
    <xf numFmtId="0" fontId="0" fillId="0" borderId="0" xfId="0"/>
    <xf numFmtId="0" fontId="18" fillId="0" borderId="0" xfId="0" applyFont="1"/>
    <xf numFmtId="0" fontId="19" fillId="0" borderId="0" xfId="0" applyFont="1"/>
    <xf numFmtId="0" fontId="21" fillId="0" borderId="0" xfId="0" applyFont="1"/>
    <xf numFmtId="0" fontId="22" fillId="32" borderId="0" xfId="0" applyFont="1" applyFill="1"/>
    <xf numFmtId="2" fontId="18" fillId="0" borderId="0" xfId="0" applyNumberFormat="1" applyFont="1"/>
    <xf numFmtId="0" fontId="22" fillId="0" borderId="0" xfId="0" applyFont="1" applyAlignment="1">
      <alignment horizontal="center"/>
    </xf>
    <xf numFmtId="1" fontId="18" fillId="0" borderId="0" xfId="0" applyNumberFormat="1" applyFont="1"/>
    <xf numFmtId="9" fontId="18" fillId="0" borderId="0" xfId="40" applyFont="1"/>
    <xf numFmtId="0" fontId="22" fillId="0" borderId="0" xfId="0" applyFont="1"/>
    <xf numFmtId="9" fontId="19" fillId="0" borderId="0" xfId="40" applyFont="1"/>
    <xf numFmtId="0" fontId="23" fillId="35" borderId="0" xfId="0" applyFont="1" applyFill="1"/>
    <xf numFmtId="0" fontId="25" fillId="0" borderId="0" xfId="41" applyFont="1" applyAlignment="1">
      <alignment vertical="top" wrapText="1"/>
    </xf>
    <xf numFmtId="3" fontId="23" fillId="35" borderId="0" xfId="0" applyNumberFormat="1" applyFont="1" applyFill="1"/>
    <xf numFmtId="164" fontId="23" fillId="35" borderId="0" xfId="40" applyNumberFormat="1" applyFont="1" applyFill="1"/>
    <xf numFmtId="4" fontId="23" fillId="35" borderId="0" xfId="0" applyNumberFormat="1" applyFont="1" applyFill="1"/>
    <xf numFmtId="0" fontId="20" fillId="33" borderId="0" xfId="0" applyFont="1" applyFill="1"/>
    <xf numFmtId="164" fontId="19" fillId="0" borderId="0" xfId="40" applyNumberFormat="1" applyFont="1"/>
    <xf numFmtId="0" fontId="19" fillId="0" borderId="0" xfId="0" applyFont="1" applyAlignment="1">
      <alignment horizontal="right"/>
    </xf>
    <xf numFmtId="0" fontId="26" fillId="0" borderId="0" xfId="42" applyFont="1" applyAlignment="1">
      <alignment vertical="top"/>
    </xf>
    <xf numFmtId="0" fontId="27" fillId="0" borderId="0" xfId="42" applyFont="1" applyAlignment="1">
      <alignment vertical="top"/>
    </xf>
    <xf numFmtId="0" fontId="26" fillId="0" borderId="12" xfId="42" applyFont="1" applyBorder="1" applyAlignment="1">
      <alignment vertical="top"/>
    </xf>
    <xf numFmtId="0" fontId="26" fillId="0" borderId="0" xfId="42" applyFont="1" applyBorder="1" applyAlignment="1">
      <alignment vertical="top"/>
    </xf>
    <xf numFmtId="0" fontId="26" fillId="0" borderId="13" xfId="42" applyFont="1" applyBorder="1" applyAlignment="1">
      <alignment vertical="top"/>
    </xf>
    <xf numFmtId="9" fontId="26" fillId="0" borderId="12" xfId="43" applyFont="1" applyBorder="1" applyAlignment="1">
      <alignment vertical="top"/>
    </xf>
    <xf numFmtId="0" fontId="26" fillId="0" borderId="14" xfId="42" applyFont="1" applyBorder="1" applyAlignment="1">
      <alignment vertical="top"/>
    </xf>
    <xf numFmtId="0" fontId="26" fillId="0" borderId="15" xfId="42" applyFont="1" applyBorder="1" applyAlignment="1">
      <alignment vertical="top"/>
    </xf>
    <xf numFmtId="0" fontId="26" fillId="0" borderId="16" xfId="42" applyFont="1" applyBorder="1" applyAlignment="1">
      <alignment vertical="top"/>
    </xf>
    <xf numFmtId="0" fontId="27" fillId="0" borderId="9" xfId="42" applyFont="1" applyBorder="1" applyAlignment="1">
      <alignment vertical="top"/>
    </xf>
    <xf numFmtId="0" fontId="27" fillId="0" borderId="11" xfId="42" applyFont="1" applyBorder="1" applyAlignment="1">
      <alignment vertical="top"/>
    </xf>
    <xf numFmtId="0" fontId="27" fillId="0" borderId="12" xfId="42" applyFont="1" applyBorder="1" applyAlignment="1">
      <alignment vertical="top"/>
    </xf>
    <xf numFmtId="0" fontId="27" fillId="0" borderId="13" xfId="42" applyFont="1" applyBorder="1" applyAlignment="1">
      <alignment vertical="top"/>
    </xf>
    <xf numFmtId="0" fontId="27" fillId="0" borderId="14" xfId="42" applyFont="1" applyBorder="1" applyAlignment="1">
      <alignment vertical="top"/>
    </xf>
    <xf numFmtId="0" fontId="27" fillId="0" borderId="16" xfId="42" applyFont="1" applyBorder="1" applyAlignment="1">
      <alignment vertical="top"/>
    </xf>
    <xf numFmtId="0" fontId="26" fillId="0" borderId="9" xfId="42" applyFont="1" applyBorder="1" applyAlignment="1">
      <alignment vertical="top"/>
    </xf>
    <xf numFmtId="0" fontId="26" fillId="0" borderId="10" xfId="42" applyFont="1" applyBorder="1" applyAlignment="1">
      <alignment vertical="top"/>
    </xf>
    <xf numFmtId="0" fontId="26" fillId="0" borderId="11" xfId="42" applyFont="1" applyBorder="1" applyAlignment="1">
      <alignment vertical="top"/>
    </xf>
    <xf numFmtId="0" fontId="27" fillId="36" borderId="14" xfId="42" applyFont="1" applyFill="1" applyBorder="1" applyAlignment="1">
      <alignment vertical="top"/>
    </xf>
    <xf numFmtId="0" fontId="27" fillId="36" borderId="16" xfId="42" applyFont="1" applyFill="1" applyBorder="1" applyAlignment="1">
      <alignment vertical="top"/>
    </xf>
    <xf numFmtId="0" fontId="26" fillId="36" borderId="14" xfId="42" applyFont="1" applyFill="1" applyBorder="1" applyAlignment="1">
      <alignment vertical="top"/>
    </xf>
    <xf numFmtId="0" fontId="26" fillId="36" borderId="15" xfId="42" applyFont="1" applyFill="1" applyBorder="1" applyAlignment="1">
      <alignment vertical="top"/>
    </xf>
    <xf numFmtId="0" fontId="26" fillId="36" borderId="16" xfId="42" applyFont="1" applyFill="1" applyBorder="1" applyAlignment="1">
      <alignment vertical="top"/>
    </xf>
    <xf numFmtId="0" fontId="27" fillId="37" borderId="9" xfId="42" applyFont="1" applyFill="1" applyBorder="1" applyAlignment="1">
      <alignment vertical="top"/>
    </xf>
    <xf numFmtId="0" fontId="27" fillId="37" borderId="11" xfId="42" applyFont="1" applyFill="1" applyBorder="1" applyAlignment="1">
      <alignment vertical="top"/>
    </xf>
    <xf numFmtId="0" fontId="26" fillId="37" borderId="9" xfId="42" applyFont="1" applyFill="1" applyBorder="1" applyAlignment="1">
      <alignment vertical="top"/>
    </xf>
    <xf numFmtId="0" fontId="26" fillId="37" borderId="10" xfId="42" applyFont="1" applyFill="1" applyBorder="1" applyAlignment="1">
      <alignment vertical="top"/>
    </xf>
    <xf numFmtId="0" fontId="26" fillId="37" borderId="11" xfId="42" applyFont="1" applyFill="1" applyBorder="1" applyAlignment="1">
      <alignment vertical="top"/>
    </xf>
    <xf numFmtId="0" fontId="27" fillId="34" borderId="14" xfId="42" applyFont="1" applyFill="1" applyBorder="1" applyAlignment="1">
      <alignment vertical="top"/>
    </xf>
    <xf numFmtId="0" fontId="27" fillId="34" borderId="16" xfId="42" applyFont="1" applyFill="1" applyBorder="1" applyAlignment="1">
      <alignment vertical="top"/>
    </xf>
    <xf numFmtId="0" fontId="26" fillId="34" borderId="14" xfId="42" applyFont="1" applyFill="1" applyBorder="1" applyAlignment="1">
      <alignment vertical="top"/>
    </xf>
    <xf numFmtId="0" fontId="26" fillId="34" borderId="15" xfId="42" applyFont="1" applyFill="1" applyBorder="1" applyAlignment="1">
      <alignment vertical="top"/>
    </xf>
    <xf numFmtId="0" fontId="26" fillId="34" borderId="16" xfId="42" applyFont="1" applyFill="1" applyBorder="1" applyAlignment="1">
      <alignment vertical="top"/>
    </xf>
    <xf numFmtId="0" fontId="28" fillId="0" borderId="0" xfId="0" applyFont="1" applyFill="1" applyAlignment="1">
      <alignment horizontal="center" wrapText="1"/>
    </xf>
    <xf numFmtId="0" fontId="16" fillId="34" borderId="0" xfId="0" applyFont="1" applyFill="1" applyAlignment="1">
      <alignment wrapText="1"/>
    </xf>
    <xf numFmtId="0" fontId="0" fillId="0" borderId="0" xfId="0" applyAlignment="1">
      <alignment wrapText="1"/>
    </xf>
    <xf numFmtId="165" fontId="18" fillId="0" borderId="0" xfId="44" applyNumberFormat="1" applyFont="1"/>
    <xf numFmtId="165" fontId="19" fillId="0" borderId="0" xfId="44" applyNumberFormat="1" applyFont="1"/>
    <xf numFmtId="0" fontId="18" fillId="0" borderId="0" xfId="0" applyFont="1" applyAlignment="1">
      <alignment wrapText="1"/>
    </xf>
    <xf numFmtId="0" fontId="19" fillId="0" borderId="0" xfId="0" applyFont="1" applyAlignment="1">
      <alignment wrapText="1"/>
    </xf>
    <xf numFmtId="164" fontId="18" fillId="0" borderId="0" xfId="40" applyNumberFormat="1" applyFont="1"/>
    <xf numFmtId="0" fontId="23" fillId="0" borderId="0" xfId="0" applyFont="1"/>
    <xf numFmtId="1" fontId="23" fillId="0" borderId="0" xfId="0" applyNumberFormat="1" applyFont="1"/>
    <xf numFmtId="2" fontId="23" fillId="0" borderId="0" xfId="0" applyNumberFormat="1" applyFont="1"/>
    <xf numFmtId="164" fontId="18" fillId="0" borderId="0" xfId="0" applyNumberFormat="1" applyFont="1"/>
    <xf numFmtId="0" fontId="26" fillId="0" borderId="0" xfId="42" applyFont="1" applyBorder="1" applyAlignment="1">
      <alignment vertical="top" wrapText="1"/>
    </xf>
    <xf numFmtId="0" fontId="26" fillId="0" borderId="12" xfId="42" applyFont="1" applyBorder="1" applyAlignment="1">
      <alignment vertical="top" wrapText="1"/>
    </xf>
    <xf numFmtId="0" fontId="26" fillId="0" borderId="13" xfId="42" applyFont="1" applyBorder="1" applyAlignment="1">
      <alignment vertical="top" wrapText="1"/>
    </xf>
    <xf numFmtId="0" fontId="27" fillId="0" borderId="12" xfId="42" applyFont="1" applyBorder="1" applyAlignment="1">
      <alignment vertical="top" wrapText="1"/>
    </xf>
    <xf numFmtId="0" fontId="27" fillId="0" borderId="13" xfId="42" applyFont="1" applyBorder="1" applyAlignment="1">
      <alignment vertical="top" wrapText="1"/>
    </xf>
    <xf numFmtId="0" fontId="26" fillId="0" borderId="0" xfId="42" applyFont="1" applyAlignment="1">
      <alignment vertical="top" wrapText="1"/>
    </xf>
    <xf numFmtId="0" fontId="27" fillId="34" borderId="9" xfId="42" applyFont="1" applyFill="1" applyBorder="1" applyAlignment="1">
      <alignment vertical="top"/>
    </xf>
    <xf numFmtId="0" fontId="27" fillId="34" borderId="11" xfId="42" applyFont="1" applyFill="1" applyBorder="1" applyAlignment="1">
      <alignment vertical="top"/>
    </xf>
    <xf numFmtId="0" fontId="26" fillId="34" borderId="9" xfId="42" applyFont="1" applyFill="1" applyBorder="1" applyAlignment="1">
      <alignment vertical="top" wrapText="1"/>
    </xf>
    <xf numFmtId="0" fontId="26" fillId="34" borderId="10" xfId="42" applyFont="1" applyFill="1" applyBorder="1" applyAlignment="1">
      <alignment vertical="top" wrapText="1"/>
    </xf>
    <xf numFmtId="0" fontId="26" fillId="34" borderId="11" xfId="42" applyFont="1" applyFill="1" applyBorder="1" applyAlignment="1">
      <alignment vertical="top" wrapText="1"/>
    </xf>
    <xf numFmtId="0" fontId="26" fillId="34" borderId="10" xfId="42" applyFont="1" applyFill="1" applyBorder="1" applyAlignment="1">
      <alignment horizontal="left" vertical="top" wrapText="1"/>
    </xf>
    <xf numFmtId="0" fontId="26" fillId="34" borderId="9" xfId="42" applyFont="1" applyFill="1" applyBorder="1" applyAlignment="1">
      <alignment horizontal="left" vertical="top" wrapText="1"/>
    </xf>
    <xf numFmtId="0" fontId="26" fillId="34" borderId="11" xfId="42" applyFont="1" applyFill="1" applyBorder="1" applyAlignment="1">
      <alignment horizontal="left" vertical="top" wrapText="1"/>
    </xf>
    <xf numFmtId="0" fontId="26" fillId="34" borderId="10" xfId="42" applyFont="1" applyFill="1" applyBorder="1" applyAlignment="1">
      <alignment vertical="top"/>
    </xf>
    <xf numFmtId="0" fontId="26" fillId="34" borderId="9" xfId="42" applyFont="1" applyFill="1" applyBorder="1" applyAlignment="1">
      <alignment vertical="top"/>
    </xf>
    <xf numFmtId="0" fontId="26" fillId="34" borderId="11" xfId="42" applyFont="1" applyFill="1" applyBorder="1" applyAlignment="1">
      <alignment vertical="top"/>
    </xf>
    <xf numFmtId="0" fontId="27" fillId="0" borderId="14" xfId="42" applyFont="1" applyBorder="1" applyAlignment="1">
      <alignment vertical="top" wrapText="1"/>
    </xf>
    <xf numFmtId="0" fontId="27" fillId="0" borderId="16" xfId="42" applyFont="1" applyBorder="1" applyAlignment="1">
      <alignment vertical="top" wrapText="1"/>
    </xf>
    <xf numFmtId="0" fontId="26" fillId="0" borderId="14" xfId="42" applyFont="1" applyBorder="1" applyAlignment="1">
      <alignment vertical="top" wrapText="1"/>
    </xf>
    <xf numFmtId="0" fontId="26" fillId="0" borderId="15" xfId="42" applyFont="1" applyBorder="1" applyAlignment="1">
      <alignment vertical="top" wrapText="1"/>
    </xf>
    <xf numFmtId="0" fontId="26" fillId="0" borderId="16" xfId="42" applyFont="1" applyBorder="1" applyAlignment="1">
      <alignment vertical="top" wrapText="1"/>
    </xf>
    <xf numFmtId="0" fontId="16" fillId="34" borderId="0" xfId="0" applyFont="1" applyFill="1" applyAlignment="1">
      <alignment vertical="top" wrapText="1"/>
    </xf>
    <xf numFmtId="0" fontId="0" fillId="0" borderId="0" xfId="0" applyAlignment="1">
      <alignment vertical="top" wrapText="1"/>
    </xf>
    <xf numFmtId="165" fontId="18" fillId="0" borderId="0" xfId="0" applyNumberFormat="1" applyFont="1"/>
    <xf numFmtId="166" fontId="18" fillId="0" borderId="0" xfId="0" applyNumberFormat="1" applyFont="1"/>
    <xf numFmtId="0" fontId="26" fillId="0" borderId="12" xfId="42" applyFont="1" applyBorder="1" applyAlignment="1">
      <alignment horizontal="left" vertical="top" wrapText="1"/>
    </xf>
    <xf numFmtId="0" fontId="26" fillId="0" borderId="0" xfId="42" applyFont="1" applyBorder="1" applyAlignment="1">
      <alignment horizontal="left" vertical="top" wrapText="1"/>
    </xf>
    <xf numFmtId="0" fontId="26" fillId="0" borderId="13" xfId="42" applyFont="1" applyBorder="1" applyAlignment="1">
      <alignment horizontal="left" vertical="top" wrapText="1"/>
    </xf>
    <xf numFmtId="0" fontId="27" fillId="0" borderId="12" xfId="42" applyFont="1" applyBorder="1" applyAlignment="1">
      <alignment horizontal="left" vertical="top"/>
    </xf>
    <xf numFmtId="0" fontId="27" fillId="0" borderId="13" xfId="42" applyFont="1" applyBorder="1" applyAlignment="1">
      <alignment horizontal="left" vertical="top"/>
    </xf>
    <xf numFmtId="0" fontId="26" fillId="0" borderId="12" xfId="42" applyFont="1" applyBorder="1" applyAlignment="1">
      <alignment horizontal="center" vertical="top"/>
    </xf>
    <xf numFmtId="0" fontId="26" fillId="0" borderId="0" xfId="42" applyFont="1" applyBorder="1" applyAlignment="1">
      <alignment horizontal="center" vertical="top"/>
    </xf>
    <xf numFmtId="0" fontId="26" fillId="0" borderId="13" xfId="42" applyFont="1" applyBorder="1" applyAlignment="1">
      <alignment horizontal="center" vertical="top"/>
    </xf>
    <xf numFmtId="0" fontId="27" fillId="34" borderId="14" xfId="42" applyFont="1" applyFill="1" applyBorder="1" applyAlignment="1">
      <alignment horizontal="left" vertical="top"/>
    </xf>
    <xf numFmtId="0" fontId="27" fillId="34" borderId="16" xfId="42" applyFont="1" applyFill="1" applyBorder="1" applyAlignment="1">
      <alignment horizontal="left" vertical="top"/>
    </xf>
    <xf numFmtId="0" fontId="27" fillId="0" borderId="9" xfId="42" applyFont="1" applyBorder="1" applyAlignment="1">
      <alignment horizontal="center" vertical="top"/>
    </xf>
    <xf numFmtId="0" fontId="27" fillId="0" borderId="10" xfId="42" applyFont="1" applyBorder="1" applyAlignment="1">
      <alignment horizontal="center" vertical="top"/>
    </xf>
    <xf numFmtId="0" fontId="27" fillId="0" borderId="11" xfId="42" applyFont="1" applyBorder="1" applyAlignment="1">
      <alignment horizontal="center" vertical="top"/>
    </xf>
    <xf numFmtId="0" fontId="26" fillId="0" borderId="0" xfId="42" applyFont="1" applyBorder="1" applyAlignment="1">
      <alignment horizontal="left" vertical="top"/>
    </xf>
    <xf numFmtId="0" fontId="26" fillId="0" borderId="9" xfId="42" applyFont="1" applyBorder="1" applyAlignment="1">
      <alignment horizontal="left" vertical="top"/>
    </xf>
    <xf numFmtId="0" fontId="26" fillId="0" borderId="10" xfId="42" applyFont="1" applyBorder="1" applyAlignment="1">
      <alignment horizontal="left" vertical="top"/>
    </xf>
    <xf numFmtId="0" fontId="26" fillId="0" borderId="11" xfId="42" applyFont="1" applyBorder="1" applyAlignment="1">
      <alignment horizontal="left" vertical="top"/>
    </xf>
    <xf numFmtId="0" fontId="26" fillId="0" borderId="12" xfId="42" applyFont="1" applyBorder="1" applyAlignment="1">
      <alignment horizontal="left" vertical="top"/>
    </xf>
    <xf numFmtId="0" fontId="26" fillId="0" borderId="13" xfId="42" applyFont="1" applyBorder="1" applyAlignment="1">
      <alignment horizontal="left" vertical="top"/>
    </xf>
    <xf numFmtId="0" fontId="26" fillId="0" borderId="14" xfId="42" applyFont="1" applyBorder="1" applyAlignment="1">
      <alignment horizontal="center" vertical="top"/>
    </xf>
    <xf numFmtId="0" fontId="26" fillId="0" borderId="15" xfId="42" applyFont="1" applyBorder="1" applyAlignment="1">
      <alignment horizontal="center" vertical="top"/>
    </xf>
    <xf numFmtId="0" fontId="26" fillId="0" borderId="16" xfId="42" applyFont="1" applyBorder="1" applyAlignment="1">
      <alignment horizontal="center" vertical="top"/>
    </xf>
    <xf numFmtId="0" fontId="26" fillId="0" borderId="9" xfId="42" applyFont="1" applyBorder="1" applyAlignment="1">
      <alignment horizontal="center" vertical="top"/>
    </xf>
    <xf numFmtId="0" fontId="26" fillId="0" borderId="10" xfId="42" applyFont="1" applyBorder="1" applyAlignment="1">
      <alignment horizontal="center" vertical="top"/>
    </xf>
    <xf numFmtId="0" fontId="26" fillId="0" borderId="11" xfId="42" applyFont="1" applyBorder="1" applyAlignment="1">
      <alignment horizontal="center" vertical="top"/>
    </xf>
    <xf numFmtId="0" fontId="26" fillId="0" borderId="9" xfId="42" applyFont="1" applyBorder="1" applyAlignment="1">
      <alignment horizontal="left" vertical="top" wrapText="1"/>
    </xf>
    <xf numFmtId="0" fontId="26" fillId="0" borderId="10" xfId="42" applyFont="1" applyBorder="1" applyAlignment="1">
      <alignment horizontal="left" vertical="top" wrapText="1"/>
    </xf>
    <xf numFmtId="0" fontId="26" fillId="0" borderId="11" xfId="42" applyFont="1" applyBorder="1" applyAlignment="1">
      <alignment horizontal="left" vertical="top" wrapText="1"/>
    </xf>
    <xf numFmtId="0" fontId="26" fillId="0" borderId="14" xfId="42" applyFont="1" applyBorder="1" applyAlignment="1">
      <alignment horizontal="left" vertical="top"/>
    </xf>
    <xf numFmtId="0" fontId="26" fillId="0" borderId="15" xfId="42" applyFont="1" applyBorder="1" applyAlignment="1">
      <alignment horizontal="left" vertical="top"/>
    </xf>
    <xf numFmtId="0" fontId="26" fillId="0" borderId="16" xfId="42" applyFont="1" applyBorder="1" applyAlignment="1">
      <alignment horizontal="left" vertical="top"/>
    </xf>
    <xf numFmtId="0" fontId="27" fillId="0" borderId="17" xfId="42" applyFont="1" applyBorder="1" applyAlignment="1">
      <alignment horizontal="center" vertical="top"/>
    </xf>
    <xf numFmtId="0" fontId="27" fillId="0" borderId="18" xfId="42" applyFont="1" applyBorder="1" applyAlignment="1">
      <alignment horizontal="center" vertical="top"/>
    </xf>
    <xf numFmtId="0" fontId="27" fillId="0" borderId="19" xfId="42" applyFont="1" applyBorder="1" applyAlignment="1">
      <alignment horizontal="center" vertical="top"/>
    </xf>
    <xf numFmtId="0" fontId="21" fillId="0" borderId="0" xfId="0" applyFont="1" applyAlignment="1">
      <alignment horizontal="center"/>
    </xf>
    <xf numFmtId="0" fontId="22" fillId="32" borderId="0" xfId="0" applyFont="1" applyFill="1" applyAlignment="1">
      <alignment horizontal="center" wrapText="1"/>
    </xf>
  </cellXfs>
  <cellStyles count="45">
    <cellStyle name="20% - Accent1" xfId="17" builtinId="30" customBuiltin="1"/>
    <cellStyle name="20% - Accent2" xfId="21" builtinId="34" customBuiltin="1"/>
    <cellStyle name="20% - Accent3" xfId="25" builtinId="38" customBuiltin="1"/>
    <cellStyle name="20% - Accent4" xfId="29" builtinId="42" customBuiltin="1"/>
    <cellStyle name="20% - Accent5" xfId="33" builtinId="46" customBuiltin="1"/>
    <cellStyle name="20% - Accent6" xfId="37" builtinId="50" customBuiltin="1"/>
    <cellStyle name="40% - Accent1" xfId="18" builtinId="31" customBuiltin="1"/>
    <cellStyle name="40% - Accent2" xfId="22" builtinId="35" customBuiltin="1"/>
    <cellStyle name="40% - Accent3" xfId="26" builtinId="39" customBuiltin="1"/>
    <cellStyle name="40% - Accent4" xfId="30" builtinId="43" customBuiltin="1"/>
    <cellStyle name="40% - Accent5" xfId="34" builtinId="47" customBuiltin="1"/>
    <cellStyle name="40% - Accent6" xfId="38" builtinId="51" customBuiltin="1"/>
    <cellStyle name="60% - Accent1" xfId="19" builtinId="32" customBuiltin="1"/>
    <cellStyle name="60% - Accent2" xfId="23" builtinId="36" customBuiltin="1"/>
    <cellStyle name="60% - Accent3" xfId="27" builtinId="40" customBuiltin="1"/>
    <cellStyle name="60% - Accent4" xfId="31" builtinId="44" customBuiltin="1"/>
    <cellStyle name="60% - Accent5" xfId="35" builtinId="48" customBuiltin="1"/>
    <cellStyle name="60% - Accent6" xfId="39" builtinId="52" customBuiltin="1"/>
    <cellStyle name="Accent1" xfId="16" builtinId="29" customBuiltin="1"/>
    <cellStyle name="Accent2" xfId="20" builtinId="33" customBuiltin="1"/>
    <cellStyle name="Accent3" xfId="24" builtinId="37" customBuiltin="1"/>
    <cellStyle name="Accent4" xfId="28" builtinId="41" customBuiltin="1"/>
    <cellStyle name="Accent5" xfId="32" builtinId="45" customBuiltin="1"/>
    <cellStyle name="Accent6" xfId="36" builtinId="49" customBuiltin="1"/>
    <cellStyle name="Bad" xfId="4" builtinId="27" customBuiltin="1"/>
    <cellStyle name="Calculation" xfId="8" builtinId="22" customBuiltin="1"/>
    <cellStyle name="Check Cell" xfId="10" builtinId="23" customBuiltin="1"/>
    <cellStyle name="Comma" xfId="44" builtinId="3"/>
    <cellStyle name="Explanatory Text" xfId="12" builtinId="53" customBuiltin="1"/>
    <cellStyle name="Good" xfId="3" builtinId="26" customBuiltin="1"/>
    <cellStyle name="Heading 1" xfId="1" builtinId="16" customBuiltin="1"/>
    <cellStyle name="Heading 2" xfId="2" builtinId="17" customBuiltin="1"/>
    <cellStyle name="Heading 3" xfId="13" builtinId="18" customBuiltin="1"/>
    <cellStyle name="Heading 4" xfId="14" builtinId="19" customBuiltin="1"/>
    <cellStyle name="Hyperlink" xfId="41" builtinId="8"/>
    <cellStyle name="Input" xfId="6" builtinId="20" customBuiltin="1"/>
    <cellStyle name="Linked Cell" xfId="9" builtinId="24" customBuiltin="1"/>
    <cellStyle name="Neutral" xfId="5" builtinId="28" customBuiltin="1"/>
    <cellStyle name="Normal" xfId="0" builtinId="0" customBuiltin="1"/>
    <cellStyle name="Normal 2" xfId="42"/>
    <cellStyle name="Output" xfId="7" builtinId="21" customBuiltin="1"/>
    <cellStyle name="Percent" xfId="40" builtinId="5"/>
    <cellStyle name="Percent 2" xfId="43"/>
    <cellStyle name="Total" xfId="15" builtinId="25" customBuiltin="1"/>
    <cellStyle name="Warning Text" xfId="11" builtinId="11" customBuiltin="1"/>
  </cellStyles>
  <dxfs count="0"/>
  <tableStyles count="0" defaultTableStyle="TableStyleMedium9" defaultPivotStyle="PivotStyleLight16"/>
  <colors>
    <mruColors>
      <color rgb="FF009632"/>
      <color rgb="FF99CC00"/>
      <color rgb="FFA0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ZA"/>
              <a:t>Revenue vs GM%</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'Income Statement Analysis'!$A$37</c:f>
              <c:strCache>
                <c:ptCount val="1"/>
                <c:pt idx="0">
                  <c:v>Revenue</c:v>
                </c:pt>
              </c:strCache>
            </c:strRef>
          </c:tx>
          <c:spPr>
            <a:solidFill>
              <a:schemeClr val="accent1"/>
            </a:solidFill>
            <a:ln>
              <a:noFill/>
            </a:ln>
            <a:effectLst/>
          </c:spPr>
          <c:invertIfNegative val="0"/>
          <c:cat>
            <c:numRef>
              <c:f>'Income Statement Analysis'!$B$36:$L$36</c:f>
              <c:numCache>
                <c:formatCode>General</c:formatCode>
                <c:ptCount val="8"/>
                <c:pt idx="0">
                  <c:v>2010</c:v>
                </c:pt>
                <c:pt idx="1">
                  <c:v>2011</c:v>
                </c:pt>
                <c:pt idx="2">
                  <c:v>2012</c:v>
                </c:pt>
                <c:pt idx="3">
                  <c:v>2013</c:v>
                </c:pt>
                <c:pt idx="4">
                  <c:v>2014</c:v>
                </c:pt>
                <c:pt idx="5">
                  <c:v>2015</c:v>
                </c:pt>
                <c:pt idx="6">
                  <c:v>2016</c:v>
                </c:pt>
                <c:pt idx="7">
                  <c:v>2017</c:v>
                </c:pt>
              </c:numCache>
            </c:numRef>
          </c:cat>
          <c:val>
            <c:numRef>
              <c:f>'Income Statement Analysis'!$B$37:$L$37</c:f>
              <c:numCache>
                <c:formatCode>General</c:formatCode>
                <c:ptCount val="8"/>
                <c:pt idx="0">
                  <c:v>346795197</c:v>
                </c:pt>
                <c:pt idx="1">
                  <c:v>337160039</c:v>
                </c:pt>
                <c:pt idx="2">
                  <c:v>398970138</c:v>
                </c:pt>
                <c:pt idx="3">
                  <c:v>451853632</c:v>
                </c:pt>
                <c:pt idx="4">
                  <c:v>441055541</c:v>
                </c:pt>
                <c:pt idx="5">
                  <c:v>466653371</c:v>
                </c:pt>
                <c:pt idx="6">
                  <c:v>487203247</c:v>
                </c:pt>
                <c:pt idx="7">
                  <c:v>441222016</c:v>
                </c:pt>
              </c:numCache>
            </c:numRef>
          </c:val>
        </c:ser>
        <c:dLbls>
          <c:showLegendKey val="0"/>
          <c:showVal val="0"/>
          <c:showCatName val="0"/>
          <c:showSerName val="0"/>
          <c:showPercent val="0"/>
          <c:showBubbleSize val="0"/>
        </c:dLbls>
        <c:gapWidth val="219"/>
        <c:overlap val="-27"/>
        <c:axId val="498892480"/>
        <c:axId val="498884248"/>
      </c:barChart>
      <c:lineChart>
        <c:grouping val="standard"/>
        <c:varyColors val="0"/>
        <c:ser>
          <c:idx val="1"/>
          <c:order val="1"/>
          <c:tx>
            <c:strRef>
              <c:f>'Income Statement Analysis'!$A$38</c:f>
              <c:strCache>
                <c:ptCount val="1"/>
                <c:pt idx="0">
                  <c:v>Gross profit</c:v>
                </c:pt>
              </c:strCache>
            </c:strRef>
          </c:tx>
          <c:spPr>
            <a:ln w="28575" cap="rnd">
              <a:solidFill>
                <a:schemeClr val="accent2"/>
              </a:solidFill>
              <a:round/>
            </a:ln>
            <a:effectLst/>
          </c:spPr>
          <c:marker>
            <c:symbol val="none"/>
          </c:marker>
          <c:cat>
            <c:numRef>
              <c:f>'Income Statement Analysis'!$B$36:$L$36</c:f>
              <c:numCache>
                <c:formatCode>General</c:formatCode>
                <c:ptCount val="8"/>
                <c:pt idx="0">
                  <c:v>2010</c:v>
                </c:pt>
                <c:pt idx="1">
                  <c:v>2011</c:v>
                </c:pt>
                <c:pt idx="2">
                  <c:v>2012</c:v>
                </c:pt>
                <c:pt idx="3">
                  <c:v>2013</c:v>
                </c:pt>
                <c:pt idx="4">
                  <c:v>2014</c:v>
                </c:pt>
                <c:pt idx="5">
                  <c:v>2015</c:v>
                </c:pt>
                <c:pt idx="6">
                  <c:v>2016</c:v>
                </c:pt>
                <c:pt idx="7">
                  <c:v>2017</c:v>
                </c:pt>
              </c:numCache>
            </c:numRef>
          </c:cat>
          <c:val>
            <c:numRef>
              <c:f>'Income Statement Analysis'!$B$38:$L$38</c:f>
              <c:numCache>
                <c:formatCode>0%</c:formatCode>
                <c:ptCount val="8"/>
                <c:pt idx="0">
                  <c:v>0.42108868076393802</c:v>
                </c:pt>
                <c:pt idx="1">
                  <c:v>0.39348834575262343</c:v>
                </c:pt>
                <c:pt idx="2">
                  <c:v>0.43269882268732601</c:v>
                </c:pt>
                <c:pt idx="3">
                  <c:v>0.49750124172953425</c:v>
                </c:pt>
                <c:pt idx="4">
                  <c:v>0.4029716520441583</c:v>
                </c:pt>
                <c:pt idx="5">
                  <c:v>0.39576990862453237</c:v>
                </c:pt>
                <c:pt idx="6">
                  <c:v>0.44042185129361422</c:v>
                </c:pt>
                <c:pt idx="7">
                  <c:v>0.38721416158889044</c:v>
                </c:pt>
              </c:numCache>
            </c:numRef>
          </c:val>
          <c:smooth val="0"/>
        </c:ser>
        <c:dLbls>
          <c:showLegendKey val="0"/>
          <c:showVal val="0"/>
          <c:showCatName val="0"/>
          <c:showSerName val="0"/>
          <c:showPercent val="0"/>
          <c:showBubbleSize val="0"/>
        </c:dLbls>
        <c:marker val="1"/>
        <c:smooth val="0"/>
        <c:axId val="498898752"/>
        <c:axId val="498887384"/>
      </c:lineChart>
      <c:catAx>
        <c:axId val="498892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8884248"/>
        <c:crosses val="autoZero"/>
        <c:auto val="1"/>
        <c:lblAlgn val="ctr"/>
        <c:lblOffset val="100"/>
        <c:noMultiLvlLbl val="0"/>
      </c:catAx>
      <c:valAx>
        <c:axId val="498884248"/>
        <c:scaling>
          <c:orientation val="minMax"/>
        </c:scaling>
        <c:delete val="0"/>
        <c:axPos val="l"/>
        <c:majorGridlines>
          <c:spPr>
            <a:ln w="9525" cap="flat" cmpd="sng" algn="ctr">
              <a:solidFill>
                <a:schemeClr val="tx1">
                  <a:lumMod val="15000"/>
                  <a:lumOff val="85000"/>
                </a:schemeClr>
              </a:solidFill>
              <a:round/>
            </a:ln>
            <a:effectLst/>
          </c:spPr>
        </c:majorGridlines>
        <c:numFmt formatCode="&quot;R&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8892480"/>
        <c:crosses val="autoZero"/>
        <c:crossBetween val="between"/>
      </c:valAx>
      <c:valAx>
        <c:axId val="498887384"/>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8898752"/>
        <c:crosses val="max"/>
        <c:crossBetween val="between"/>
      </c:valAx>
      <c:catAx>
        <c:axId val="498898752"/>
        <c:scaling>
          <c:orientation val="minMax"/>
        </c:scaling>
        <c:delete val="1"/>
        <c:axPos val="b"/>
        <c:numFmt formatCode="General" sourceLinked="1"/>
        <c:majorTickMark val="none"/>
        <c:minorTickMark val="none"/>
        <c:tickLblPos val="nextTo"/>
        <c:crossAx val="498887384"/>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ZA"/>
              <a:t>EBIT vs %PAT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'Income Statement Analysis'!$A$39</c:f>
              <c:strCache>
                <c:ptCount val="1"/>
                <c:pt idx="0">
                  <c:v>Operating profit (EBIT)</c:v>
                </c:pt>
              </c:strCache>
            </c:strRef>
          </c:tx>
          <c:spPr>
            <a:solidFill>
              <a:schemeClr val="accent1"/>
            </a:solidFill>
            <a:ln>
              <a:noFill/>
            </a:ln>
            <a:effectLst/>
          </c:spPr>
          <c:invertIfNegative val="0"/>
          <c:cat>
            <c:numRef>
              <c:f>'Income Statement Analysis'!$B$36:$L$36</c:f>
              <c:numCache>
                <c:formatCode>General</c:formatCode>
                <c:ptCount val="8"/>
                <c:pt idx="0">
                  <c:v>2010</c:v>
                </c:pt>
                <c:pt idx="1">
                  <c:v>2011</c:v>
                </c:pt>
                <c:pt idx="2">
                  <c:v>2012</c:v>
                </c:pt>
                <c:pt idx="3">
                  <c:v>2013</c:v>
                </c:pt>
                <c:pt idx="4">
                  <c:v>2014</c:v>
                </c:pt>
                <c:pt idx="5">
                  <c:v>2015</c:v>
                </c:pt>
                <c:pt idx="6">
                  <c:v>2016</c:v>
                </c:pt>
                <c:pt idx="7">
                  <c:v>2017</c:v>
                </c:pt>
              </c:numCache>
            </c:numRef>
          </c:cat>
          <c:val>
            <c:numRef>
              <c:f>'Income Statement Analysis'!$B$39:$L$39</c:f>
              <c:numCache>
                <c:formatCode>General</c:formatCode>
                <c:ptCount val="8"/>
                <c:pt idx="0">
                  <c:v>19356456</c:v>
                </c:pt>
                <c:pt idx="1">
                  <c:v>12971980</c:v>
                </c:pt>
                <c:pt idx="2">
                  <c:v>46170888</c:v>
                </c:pt>
                <c:pt idx="3">
                  <c:v>31405035</c:v>
                </c:pt>
                <c:pt idx="4">
                  <c:v>32716841</c:v>
                </c:pt>
                <c:pt idx="5">
                  <c:v>32570808</c:v>
                </c:pt>
                <c:pt idx="6">
                  <c:v>30671614</c:v>
                </c:pt>
                <c:pt idx="7">
                  <c:v>19071649</c:v>
                </c:pt>
              </c:numCache>
            </c:numRef>
          </c:val>
        </c:ser>
        <c:dLbls>
          <c:showLegendKey val="0"/>
          <c:showVal val="0"/>
          <c:showCatName val="0"/>
          <c:showSerName val="0"/>
          <c:showPercent val="0"/>
          <c:showBubbleSize val="0"/>
        </c:dLbls>
        <c:gapWidth val="219"/>
        <c:overlap val="-27"/>
        <c:axId val="498904632"/>
        <c:axId val="498893656"/>
      </c:barChart>
      <c:lineChart>
        <c:grouping val="standard"/>
        <c:varyColors val="0"/>
        <c:ser>
          <c:idx val="1"/>
          <c:order val="1"/>
          <c:tx>
            <c:strRef>
              <c:f>'Income Statement Analysis'!$A$40</c:f>
              <c:strCache>
                <c:ptCount val="1"/>
                <c:pt idx="0">
                  <c:v>Profit for the year</c:v>
                </c:pt>
              </c:strCache>
            </c:strRef>
          </c:tx>
          <c:spPr>
            <a:ln w="28575" cap="rnd">
              <a:solidFill>
                <a:schemeClr val="accent2"/>
              </a:solidFill>
              <a:round/>
            </a:ln>
            <a:effectLst/>
          </c:spPr>
          <c:marker>
            <c:symbol val="none"/>
          </c:marker>
          <c:cat>
            <c:numRef>
              <c:f>'Income Statement Analysis'!$B$36:$L$36</c:f>
              <c:numCache>
                <c:formatCode>General</c:formatCode>
                <c:ptCount val="8"/>
                <c:pt idx="0">
                  <c:v>2010</c:v>
                </c:pt>
                <c:pt idx="1">
                  <c:v>2011</c:v>
                </c:pt>
                <c:pt idx="2">
                  <c:v>2012</c:v>
                </c:pt>
                <c:pt idx="3">
                  <c:v>2013</c:v>
                </c:pt>
                <c:pt idx="4">
                  <c:v>2014</c:v>
                </c:pt>
                <c:pt idx="5">
                  <c:v>2015</c:v>
                </c:pt>
                <c:pt idx="6">
                  <c:v>2016</c:v>
                </c:pt>
                <c:pt idx="7">
                  <c:v>2017</c:v>
                </c:pt>
              </c:numCache>
            </c:numRef>
          </c:cat>
          <c:val>
            <c:numRef>
              <c:f>'Income Statement Analysis'!$B$40:$L$40</c:f>
              <c:numCache>
                <c:formatCode>0%</c:formatCode>
                <c:ptCount val="8"/>
                <c:pt idx="0">
                  <c:v>4.8821552739094021E-3</c:v>
                </c:pt>
                <c:pt idx="1">
                  <c:v>-6.1079628716023491E-3</c:v>
                </c:pt>
                <c:pt idx="2">
                  <c:v>0.10887355684750522</c:v>
                </c:pt>
                <c:pt idx="3">
                  <c:v>3.5573745260943264E-2</c:v>
                </c:pt>
                <c:pt idx="4">
                  <c:v>2.8529499870856401E-2</c:v>
                </c:pt>
                <c:pt idx="5">
                  <c:v>3.773616155876864E-2</c:v>
                </c:pt>
                <c:pt idx="6">
                  <c:v>7.6886349240607582E-2</c:v>
                </c:pt>
                <c:pt idx="7">
                  <c:v>1.3639049688762584E-2</c:v>
                </c:pt>
              </c:numCache>
            </c:numRef>
          </c:val>
          <c:smooth val="0"/>
        </c:ser>
        <c:dLbls>
          <c:showLegendKey val="0"/>
          <c:showVal val="0"/>
          <c:showCatName val="0"/>
          <c:showSerName val="0"/>
          <c:showPercent val="0"/>
          <c:showBubbleSize val="0"/>
        </c:dLbls>
        <c:marker val="1"/>
        <c:smooth val="0"/>
        <c:axId val="498901104"/>
        <c:axId val="498900712"/>
      </c:lineChart>
      <c:catAx>
        <c:axId val="498904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8893656"/>
        <c:crosses val="autoZero"/>
        <c:auto val="1"/>
        <c:lblAlgn val="ctr"/>
        <c:lblOffset val="100"/>
        <c:noMultiLvlLbl val="0"/>
      </c:catAx>
      <c:valAx>
        <c:axId val="498893656"/>
        <c:scaling>
          <c:orientation val="minMax"/>
        </c:scaling>
        <c:delete val="0"/>
        <c:axPos val="l"/>
        <c:majorGridlines>
          <c:spPr>
            <a:ln w="9525" cap="flat" cmpd="sng" algn="ctr">
              <a:solidFill>
                <a:schemeClr val="tx1">
                  <a:lumMod val="15000"/>
                  <a:lumOff val="85000"/>
                </a:schemeClr>
              </a:solidFill>
              <a:round/>
            </a:ln>
            <a:effectLst/>
          </c:spPr>
        </c:majorGridlines>
        <c:numFmt formatCode="&quot;R&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8904632"/>
        <c:crosses val="autoZero"/>
        <c:crossBetween val="between"/>
      </c:valAx>
      <c:valAx>
        <c:axId val="498900712"/>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8901104"/>
        <c:crosses val="max"/>
        <c:crossBetween val="between"/>
      </c:valAx>
      <c:catAx>
        <c:axId val="498901104"/>
        <c:scaling>
          <c:orientation val="minMax"/>
        </c:scaling>
        <c:delete val="1"/>
        <c:axPos val="b"/>
        <c:numFmt formatCode="General" sourceLinked="1"/>
        <c:majorTickMark val="none"/>
        <c:minorTickMark val="none"/>
        <c:tickLblPos val="nextTo"/>
        <c:crossAx val="498900712"/>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ZA"/>
              <a:t>Balance Sheet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'Balance Sheet Analysis'!$A$59</c:f>
              <c:strCache>
                <c:ptCount val="1"/>
                <c:pt idx="0">
                  <c:v>TOTAL ASSETS</c:v>
                </c:pt>
              </c:strCache>
            </c:strRef>
          </c:tx>
          <c:spPr>
            <a:solidFill>
              <a:schemeClr val="accent1"/>
            </a:solidFill>
            <a:ln>
              <a:noFill/>
            </a:ln>
            <a:effectLst/>
          </c:spPr>
          <c:invertIfNegative val="0"/>
          <c:cat>
            <c:numRef>
              <c:f>'Balance Sheet Analysis'!$B$58:$L$58</c:f>
              <c:numCache>
                <c:formatCode>General</c:formatCode>
                <c:ptCount val="8"/>
                <c:pt idx="0">
                  <c:v>2010</c:v>
                </c:pt>
                <c:pt idx="1">
                  <c:v>2011</c:v>
                </c:pt>
                <c:pt idx="2">
                  <c:v>2012</c:v>
                </c:pt>
                <c:pt idx="3">
                  <c:v>2013</c:v>
                </c:pt>
                <c:pt idx="4">
                  <c:v>2014</c:v>
                </c:pt>
                <c:pt idx="5">
                  <c:v>2015</c:v>
                </c:pt>
                <c:pt idx="6">
                  <c:v>2016</c:v>
                </c:pt>
                <c:pt idx="7">
                  <c:v>2017</c:v>
                </c:pt>
              </c:numCache>
            </c:numRef>
          </c:cat>
          <c:val>
            <c:numRef>
              <c:f>'Balance Sheet Analysis'!$B$59:$L$59</c:f>
              <c:numCache>
                <c:formatCode>General</c:formatCode>
                <c:ptCount val="8"/>
                <c:pt idx="0">
                  <c:v>488742855</c:v>
                </c:pt>
                <c:pt idx="1">
                  <c:v>529215465</c:v>
                </c:pt>
                <c:pt idx="2">
                  <c:v>617419725</c:v>
                </c:pt>
                <c:pt idx="3">
                  <c:v>568239806</c:v>
                </c:pt>
                <c:pt idx="4">
                  <c:v>646781740</c:v>
                </c:pt>
                <c:pt idx="5">
                  <c:v>712867210</c:v>
                </c:pt>
                <c:pt idx="6">
                  <c:v>755453563</c:v>
                </c:pt>
                <c:pt idx="7">
                  <c:v>755770106</c:v>
                </c:pt>
              </c:numCache>
            </c:numRef>
          </c:val>
        </c:ser>
        <c:ser>
          <c:idx val="1"/>
          <c:order val="1"/>
          <c:tx>
            <c:strRef>
              <c:f>'Balance Sheet Analysis'!$A$60</c:f>
              <c:strCache>
                <c:ptCount val="1"/>
                <c:pt idx="0">
                  <c:v>Total equity</c:v>
                </c:pt>
              </c:strCache>
            </c:strRef>
          </c:tx>
          <c:spPr>
            <a:solidFill>
              <a:schemeClr val="accent2"/>
            </a:solidFill>
            <a:ln>
              <a:noFill/>
            </a:ln>
            <a:effectLst/>
          </c:spPr>
          <c:invertIfNegative val="0"/>
          <c:cat>
            <c:numRef>
              <c:f>'Balance Sheet Analysis'!$B$58:$L$58</c:f>
              <c:numCache>
                <c:formatCode>General</c:formatCode>
                <c:ptCount val="8"/>
                <c:pt idx="0">
                  <c:v>2010</c:v>
                </c:pt>
                <c:pt idx="1">
                  <c:v>2011</c:v>
                </c:pt>
                <c:pt idx="2">
                  <c:v>2012</c:v>
                </c:pt>
                <c:pt idx="3">
                  <c:v>2013</c:v>
                </c:pt>
                <c:pt idx="4">
                  <c:v>2014</c:v>
                </c:pt>
                <c:pt idx="5">
                  <c:v>2015</c:v>
                </c:pt>
                <c:pt idx="6">
                  <c:v>2016</c:v>
                </c:pt>
                <c:pt idx="7">
                  <c:v>2017</c:v>
                </c:pt>
              </c:numCache>
            </c:numRef>
          </c:cat>
          <c:val>
            <c:numRef>
              <c:f>'Balance Sheet Analysis'!$B$60:$L$60</c:f>
              <c:numCache>
                <c:formatCode>General</c:formatCode>
                <c:ptCount val="8"/>
                <c:pt idx="0">
                  <c:v>342056354</c:v>
                </c:pt>
                <c:pt idx="1">
                  <c:v>364482151</c:v>
                </c:pt>
                <c:pt idx="2">
                  <c:v>407919449</c:v>
                </c:pt>
                <c:pt idx="3">
                  <c:v>423993539</c:v>
                </c:pt>
                <c:pt idx="4">
                  <c:v>436576633</c:v>
                </c:pt>
                <c:pt idx="5">
                  <c:v>454186340</c:v>
                </c:pt>
                <c:pt idx="6">
                  <c:v>491645619</c:v>
                </c:pt>
                <c:pt idx="7">
                  <c:v>497663468</c:v>
                </c:pt>
              </c:numCache>
            </c:numRef>
          </c:val>
        </c:ser>
        <c:ser>
          <c:idx val="2"/>
          <c:order val="2"/>
          <c:tx>
            <c:strRef>
              <c:f>'Balance Sheet Analysis'!$A$61</c:f>
              <c:strCache>
                <c:ptCount val="1"/>
                <c:pt idx="0">
                  <c:v>TOTAL LIABILITIES</c:v>
                </c:pt>
              </c:strCache>
            </c:strRef>
          </c:tx>
          <c:spPr>
            <a:solidFill>
              <a:schemeClr val="accent3"/>
            </a:solidFill>
            <a:ln>
              <a:noFill/>
            </a:ln>
            <a:effectLst/>
          </c:spPr>
          <c:invertIfNegative val="0"/>
          <c:cat>
            <c:numRef>
              <c:f>'Balance Sheet Analysis'!$B$58:$L$58</c:f>
              <c:numCache>
                <c:formatCode>General</c:formatCode>
                <c:ptCount val="8"/>
                <c:pt idx="0">
                  <c:v>2010</c:v>
                </c:pt>
                <c:pt idx="1">
                  <c:v>2011</c:v>
                </c:pt>
                <c:pt idx="2">
                  <c:v>2012</c:v>
                </c:pt>
                <c:pt idx="3">
                  <c:v>2013</c:v>
                </c:pt>
                <c:pt idx="4">
                  <c:v>2014</c:v>
                </c:pt>
                <c:pt idx="5">
                  <c:v>2015</c:v>
                </c:pt>
                <c:pt idx="6">
                  <c:v>2016</c:v>
                </c:pt>
                <c:pt idx="7">
                  <c:v>2017</c:v>
                </c:pt>
              </c:numCache>
            </c:numRef>
          </c:cat>
          <c:val>
            <c:numRef>
              <c:f>'Balance Sheet Analysis'!$B$61:$L$61</c:f>
              <c:numCache>
                <c:formatCode>General</c:formatCode>
                <c:ptCount val="8"/>
                <c:pt idx="0">
                  <c:v>146686501</c:v>
                </c:pt>
                <c:pt idx="1">
                  <c:v>164733314</c:v>
                </c:pt>
                <c:pt idx="2">
                  <c:v>209500276</c:v>
                </c:pt>
                <c:pt idx="3">
                  <c:v>144246267</c:v>
                </c:pt>
                <c:pt idx="4">
                  <c:v>210205107</c:v>
                </c:pt>
                <c:pt idx="5">
                  <c:v>258677870</c:v>
                </c:pt>
                <c:pt idx="6">
                  <c:v>263807944</c:v>
                </c:pt>
                <c:pt idx="7">
                  <c:v>258106638</c:v>
                </c:pt>
              </c:numCache>
            </c:numRef>
          </c:val>
        </c:ser>
        <c:dLbls>
          <c:showLegendKey val="0"/>
          <c:showVal val="0"/>
          <c:showCatName val="0"/>
          <c:showSerName val="0"/>
          <c:showPercent val="0"/>
          <c:showBubbleSize val="0"/>
        </c:dLbls>
        <c:gapWidth val="219"/>
        <c:overlap val="-27"/>
        <c:axId val="498902280"/>
        <c:axId val="498909728"/>
      </c:barChart>
      <c:catAx>
        <c:axId val="498902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8909728"/>
        <c:crosses val="autoZero"/>
        <c:auto val="1"/>
        <c:lblAlgn val="ctr"/>
        <c:lblOffset val="100"/>
        <c:noMultiLvlLbl val="0"/>
      </c:catAx>
      <c:valAx>
        <c:axId val="498909728"/>
        <c:scaling>
          <c:orientation val="minMax"/>
        </c:scaling>
        <c:delete val="0"/>
        <c:axPos val="l"/>
        <c:majorGridlines>
          <c:spPr>
            <a:ln w="9525" cap="flat" cmpd="sng" algn="ctr">
              <a:solidFill>
                <a:schemeClr val="tx1">
                  <a:lumMod val="15000"/>
                  <a:lumOff val="85000"/>
                </a:schemeClr>
              </a:solidFill>
              <a:round/>
            </a:ln>
            <a:effectLst/>
          </c:spPr>
        </c:majorGridlines>
        <c:numFmt formatCode="&quot;R&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8902280"/>
        <c:crosses val="autoZero"/>
        <c:crossBetween val="between"/>
        <c:dispUnits>
          <c:builtInUnit val="millions"/>
          <c:dispUnitsLbl>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'Balance Sheet Analysis'!$A$63</c:f>
              <c:strCache>
                <c:ptCount val="1"/>
                <c:pt idx="0">
                  <c:v>Capital Expenditure</c:v>
                </c:pt>
              </c:strCache>
            </c:strRef>
          </c:tx>
          <c:spPr>
            <a:solidFill>
              <a:schemeClr val="accent1"/>
            </a:solidFill>
            <a:ln>
              <a:noFill/>
            </a:ln>
            <a:effectLst/>
          </c:spPr>
          <c:invertIfNegative val="0"/>
          <c:cat>
            <c:numRef>
              <c:f>'Balance Sheet Analysis'!$B$58:$L$58</c:f>
              <c:numCache>
                <c:formatCode>General</c:formatCode>
                <c:ptCount val="8"/>
                <c:pt idx="0">
                  <c:v>2010</c:v>
                </c:pt>
                <c:pt idx="1">
                  <c:v>2011</c:v>
                </c:pt>
                <c:pt idx="2">
                  <c:v>2012</c:v>
                </c:pt>
                <c:pt idx="3">
                  <c:v>2013</c:v>
                </c:pt>
                <c:pt idx="4">
                  <c:v>2014</c:v>
                </c:pt>
                <c:pt idx="5">
                  <c:v>2015</c:v>
                </c:pt>
                <c:pt idx="6">
                  <c:v>2016</c:v>
                </c:pt>
                <c:pt idx="7">
                  <c:v>2017</c:v>
                </c:pt>
              </c:numCache>
            </c:numRef>
          </c:cat>
          <c:val>
            <c:numRef>
              <c:f>'Balance Sheet Analysis'!$B$63:$L$63</c:f>
              <c:numCache>
                <c:formatCode>General</c:formatCode>
                <c:ptCount val="8"/>
                <c:pt idx="0">
                  <c:v>91907522</c:v>
                </c:pt>
                <c:pt idx="1">
                  <c:v>27882387</c:v>
                </c:pt>
                <c:pt idx="2">
                  <c:v>77143941</c:v>
                </c:pt>
                <c:pt idx="3">
                  <c:v>-18943000</c:v>
                </c:pt>
                <c:pt idx="4">
                  <c:v>61503043</c:v>
                </c:pt>
                <c:pt idx="5">
                  <c:v>108925750</c:v>
                </c:pt>
                <c:pt idx="6">
                  <c:v>32478033</c:v>
                </c:pt>
                <c:pt idx="7">
                  <c:v>-15963239</c:v>
                </c:pt>
              </c:numCache>
            </c:numRef>
          </c:val>
        </c:ser>
        <c:dLbls>
          <c:showLegendKey val="0"/>
          <c:showVal val="0"/>
          <c:showCatName val="0"/>
          <c:showSerName val="0"/>
          <c:showPercent val="0"/>
          <c:showBubbleSize val="0"/>
        </c:dLbls>
        <c:gapWidth val="219"/>
        <c:overlap val="-27"/>
        <c:axId val="498912472"/>
        <c:axId val="498906592"/>
      </c:barChart>
      <c:catAx>
        <c:axId val="498912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8906592"/>
        <c:crosses val="autoZero"/>
        <c:auto val="1"/>
        <c:lblAlgn val="ctr"/>
        <c:lblOffset val="100"/>
        <c:noMultiLvlLbl val="0"/>
      </c:catAx>
      <c:valAx>
        <c:axId val="498906592"/>
        <c:scaling>
          <c:orientation val="minMax"/>
        </c:scaling>
        <c:delete val="0"/>
        <c:axPos val="l"/>
        <c:majorGridlines>
          <c:spPr>
            <a:ln w="9525" cap="flat" cmpd="sng" algn="ctr">
              <a:solidFill>
                <a:schemeClr val="tx1">
                  <a:lumMod val="15000"/>
                  <a:lumOff val="85000"/>
                </a:schemeClr>
              </a:solidFill>
              <a:round/>
            </a:ln>
            <a:effectLst/>
          </c:spPr>
        </c:majorGridlines>
        <c:numFmt formatCode="&quot;R&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8912472"/>
        <c:crosses val="autoZero"/>
        <c:crossBetween val="between"/>
        <c:dispUnits>
          <c:builtInUnit val="millions"/>
          <c:dispUnitsLbl>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'Financial Analsysis'!$A$18</c:f>
              <c:strCache>
                <c:ptCount val="1"/>
                <c:pt idx="0">
                  <c:v>Debt ratio</c:v>
                </c:pt>
              </c:strCache>
            </c:strRef>
          </c:tx>
          <c:spPr>
            <a:solidFill>
              <a:schemeClr val="accent1"/>
            </a:solidFill>
            <a:ln>
              <a:noFill/>
            </a:ln>
            <a:effectLst/>
          </c:spPr>
          <c:invertIfNegative val="0"/>
          <c:cat>
            <c:numRef>
              <c:f>'Financial Analsysis'!$B$5:$L$5</c:f>
              <c:numCache>
                <c:formatCode>General</c:formatCode>
                <c:ptCount val="8"/>
                <c:pt idx="0">
                  <c:v>2010</c:v>
                </c:pt>
                <c:pt idx="1">
                  <c:v>2011</c:v>
                </c:pt>
                <c:pt idx="2">
                  <c:v>2012</c:v>
                </c:pt>
                <c:pt idx="3">
                  <c:v>2013</c:v>
                </c:pt>
                <c:pt idx="4">
                  <c:v>2014</c:v>
                </c:pt>
                <c:pt idx="5">
                  <c:v>2015</c:v>
                </c:pt>
                <c:pt idx="6">
                  <c:v>2016</c:v>
                </c:pt>
                <c:pt idx="7">
                  <c:v>2017</c:v>
                </c:pt>
              </c:numCache>
            </c:numRef>
          </c:cat>
          <c:val>
            <c:numRef>
              <c:f>'Financial Analsysis'!$B$18:$L$18</c:f>
              <c:numCache>
                <c:formatCode>0%</c:formatCode>
                <c:ptCount val="8"/>
                <c:pt idx="0">
                  <c:v>0.30013022082951984</c:v>
                </c:pt>
                <c:pt idx="1">
                  <c:v>0.31127834482312416</c:v>
                </c:pt>
                <c:pt idx="2">
                  <c:v>0.33931581307999192</c:v>
                </c:pt>
                <c:pt idx="3">
                  <c:v>0.25384752260738314</c:v>
                </c:pt>
                <c:pt idx="4">
                  <c:v>0.32500161028046337</c:v>
                </c:pt>
                <c:pt idx="5">
                  <c:v>0.36286964300125407</c:v>
                </c:pt>
                <c:pt idx="6">
                  <c:v>0.34920471213662141</c:v>
                </c:pt>
                <c:pt idx="7">
                  <c:v>0.3415147489308078</c:v>
                </c:pt>
              </c:numCache>
            </c:numRef>
          </c:val>
        </c:ser>
        <c:dLbls>
          <c:showLegendKey val="0"/>
          <c:showVal val="0"/>
          <c:showCatName val="0"/>
          <c:showSerName val="0"/>
          <c:showPercent val="0"/>
          <c:showBubbleSize val="0"/>
        </c:dLbls>
        <c:gapWidth val="219"/>
        <c:overlap val="-27"/>
        <c:axId val="498908944"/>
        <c:axId val="498907768"/>
      </c:barChart>
      <c:catAx>
        <c:axId val="498908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8907768"/>
        <c:crosses val="autoZero"/>
        <c:auto val="1"/>
        <c:lblAlgn val="ctr"/>
        <c:lblOffset val="100"/>
        <c:noMultiLvlLbl val="0"/>
      </c:catAx>
      <c:valAx>
        <c:axId val="4989077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8908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14287</xdr:rowOff>
    </xdr:from>
    <xdr:to>
      <xdr:col>6</xdr:col>
      <xdr:colOff>800100</xdr:colOff>
      <xdr:row>58</xdr:row>
      <xdr:rowOff>4762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809625</xdr:colOff>
      <xdr:row>41</xdr:row>
      <xdr:rowOff>14287</xdr:rowOff>
    </xdr:from>
    <xdr:to>
      <xdr:col>11</xdr:col>
      <xdr:colOff>142875</xdr:colOff>
      <xdr:row>58</xdr:row>
      <xdr:rowOff>4762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63</xdr:row>
      <xdr:rowOff>157162</xdr:rowOff>
    </xdr:from>
    <xdr:to>
      <xdr:col>6</xdr:col>
      <xdr:colOff>66675</xdr:colOff>
      <xdr:row>80</xdr:row>
      <xdr:rowOff>147637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76200</xdr:colOff>
      <xdr:row>64</xdr:row>
      <xdr:rowOff>4762</xdr:rowOff>
    </xdr:from>
    <xdr:to>
      <xdr:col>10</xdr:col>
      <xdr:colOff>838200</xdr:colOff>
      <xdr:row>80</xdr:row>
      <xdr:rowOff>157162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857250</xdr:colOff>
      <xdr:row>64</xdr:row>
      <xdr:rowOff>0</xdr:rowOff>
    </xdr:from>
    <xdr:to>
      <xdr:col>19</xdr:col>
      <xdr:colOff>95249</xdr:colOff>
      <xdr:row>80</xdr:row>
      <xdr:rowOff>152400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PwC">
  <a:themeElements>
    <a:clrScheme name="PwC Orange">
      <a:dk1>
        <a:srgbClr val="000000"/>
      </a:dk1>
      <a:lt1>
        <a:srgbClr val="FFFFFF"/>
      </a:lt1>
      <a:dk2>
        <a:srgbClr val="DC6900"/>
      </a:dk2>
      <a:lt2>
        <a:srgbClr val="FFFFFF"/>
      </a:lt2>
      <a:accent1>
        <a:srgbClr val="DC6900"/>
      </a:accent1>
      <a:accent2>
        <a:srgbClr val="FFB600"/>
      </a:accent2>
      <a:accent3>
        <a:srgbClr val="602320"/>
      </a:accent3>
      <a:accent4>
        <a:srgbClr val="E27588"/>
      </a:accent4>
      <a:accent5>
        <a:srgbClr val="A32020"/>
      </a:accent5>
      <a:accent6>
        <a:srgbClr val="E0301E"/>
      </a:accent6>
      <a:hlink>
        <a:srgbClr val="0000FF"/>
      </a:hlink>
      <a:folHlink>
        <a:srgbClr val="0000FF"/>
      </a:folHlink>
    </a:clrScheme>
    <a:fontScheme name="PwC">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ltGray">
        <a:solidFill>
          <a:schemeClr val="tx2"/>
        </a:solidFill>
        <a:ln w="3175"/>
      </a:spPr>
      <a:bodyPr rtlCol="0" anchor="ctr"/>
      <a:lstStyle>
        <a:defPPr algn="ctr">
          <a:defRPr dirty="0" err="1" smtClean="0">
            <a:solidFill>
              <a:schemeClr val="bg1"/>
            </a:solidFill>
            <a:latin typeface="Georgia" pitchFamily="18" charset="0"/>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lIns="0" tIns="0" rIns="0" bIns="0" rtlCol="0">
        <a:noAutofit/>
      </a:bodyPr>
      <a:lstStyle>
        <a:defPPr indent="-274320">
          <a:spcAft>
            <a:spcPts val="900"/>
          </a:spcAft>
          <a:defRPr sz="2000" dirty="0" err="1" smtClean="0">
            <a:latin typeface="Georgia" pitchFamily="18" charset="0"/>
          </a:defRPr>
        </a:defPPr>
      </a:lstStyle>
    </a:tx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E7" sqref="E7"/>
    </sheetView>
  </sheetViews>
  <sheetFormatPr defaultRowHeight="12.75" x14ac:dyDescent="0.2"/>
  <cols>
    <col min="1" max="1" width="9.140625" style="1"/>
    <col min="2" max="2" width="14.85546875" style="1" customWidth="1"/>
    <col min="3" max="16384" width="9.140625" style="1"/>
  </cols>
  <sheetData>
    <row r="1" spans="1:2" x14ac:dyDescent="0.2">
      <c r="A1" s="2" t="s">
        <v>83</v>
      </c>
    </row>
    <row r="3" spans="1:2" x14ac:dyDescent="0.2">
      <c r="A3" s="2" t="s">
        <v>84</v>
      </c>
      <c r="B3" s="2" t="s">
        <v>85</v>
      </c>
    </row>
    <row r="4" spans="1:2" x14ac:dyDescent="0.2">
      <c r="A4" s="1">
        <v>1</v>
      </c>
      <c r="B4" s="1" t="s">
        <v>88</v>
      </c>
    </row>
    <row r="5" spans="1:2" x14ac:dyDescent="0.2">
      <c r="A5" s="1">
        <v>2</v>
      </c>
      <c r="B5" s="1" t="s">
        <v>89</v>
      </c>
    </row>
    <row r="6" spans="1:2" x14ac:dyDescent="0.2">
      <c r="A6" s="1">
        <v>3</v>
      </c>
      <c r="B6" s="1" t="s">
        <v>87</v>
      </c>
    </row>
    <row r="7" spans="1:2" x14ac:dyDescent="0.2">
      <c r="A7" s="1">
        <v>4</v>
      </c>
      <c r="B7" s="1" t="s">
        <v>90</v>
      </c>
    </row>
    <row r="8" spans="1:2" x14ac:dyDescent="0.2">
      <c r="A8" s="1">
        <v>5</v>
      </c>
      <c r="B8" s="1" t="s">
        <v>86</v>
      </c>
    </row>
  </sheetData>
  <sortState ref="A4:B8">
    <sortCondition ref="A4"/>
  </sortState>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L55"/>
  <sheetViews>
    <sheetView showGridLines="0" workbookViewId="0">
      <selection sqref="A1:L1"/>
    </sheetView>
  </sheetViews>
  <sheetFormatPr defaultRowHeight="12.75" x14ac:dyDescent="0.2"/>
  <cols>
    <col min="1" max="1" width="33" style="1" bestFit="1" customWidth="1"/>
    <col min="2" max="4" width="10.140625" style="1" hidden="1" customWidth="1"/>
    <col min="5" max="12" width="14.7109375" style="1" customWidth="1"/>
    <col min="13" max="16384" width="9.140625" style="1"/>
  </cols>
  <sheetData>
    <row r="1" spans="1:12" ht="15" x14ac:dyDescent="0.2">
      <c r="A1" s="124" t="s">
        <v>1</v>
      </c>
      <c r="B1" s="124"/>
      <c r="C1" s="124"/>
      <c r="D1" s="124"/>
      <c r="E1" s="124"/>
      <c r="F1" s="124"/>
      <c r="G1" s="124"/>
      <c r="H1" s="124"/>
      <c r="I1" s="124"/>
      <c r="J1" s="124"/>
      <c r="K1" s="124"/>
      <c r="L1" s="124"/>
    </row>
    <row r="3" spans="1:12" x14ac:dyDescent="0.2">
      <c r="A3" s="2" t="s">
        <v>163</v>
      </c>
      <c r="B3" s="2">
        <f>'Income Statement'!B3</f>
        <v>2007</v>
      </c>
      <c r="C3" s="2">
        <f>'Income Statement'!C3</f>
        <v>2008</v>
      </c>
      <c r="D3" s="2">
        <f>'Income Statement'!D3</f>
        <v>2009</v>
      </c>
      <c r="E3" s="2">
        <f>'Income Statement'!E3</f>
        <v>2010</v>
      </c>
      <c r="F3" s="2">
        <f>'Income Statement'!F3</f>
        <v>2011</v>
      </c>
      <c r="G3" s="2">
        <f>'Income Statement'!G3</f>
        <v>2012</v>
      </c>
      <c r="H3" s="2">
        <f>'Income Statement'!H3</f>
        <v>2013</v>
      </c>
      <c r="I3" s="2">
        <f>'Income Statement'!I3</f>
        <v>2014</v>
      </c>
      <c r="J3" s="2">
        <f>'Income Statement'!J3</f>
        <v>2015</v>
      </c>
      <c r="K3" s="2">
        <f>'Income Statement'!K3</f>
        <v>2016</v>
      </c>
      <c r="L3" s="2">
        <f>'Income Statement'!L3</f>
        <v>2017</v>
      </c>
    </row>
    <row r="4" spans="1:12" x14ac:dyDescent="0.2">
      <c r="A4" s="2" t="s">
        <v>12</v>
      </c>
      <c r="B4" s="55"/>
      <c r="C4" s="55"/>
      <c r="D4" s="55"/>
      <c r="E4" s="55"/>
      <c r="F4" s="55"/>
      <c r="G4" s="55"/>
      <c r="H4" s="55"/>
      <c r="I4" s="55"/>
      <c r="J4" s="55"/>
      <c r="K4" s="55"/>
      <c r="L4" s="55"/>
    </row>
    <row r="5" spans="1:12" x14ac:dyDescent="0.2">
      <c r="A5" s="2" t="s">
        <v>11</v>
      </c>
      <c r="B5" s="55"/>
      <c r="C5" s="55"/>
      <c r="D5" s="55"/>
      <c r="E5" s="55"/>
      <c r="F5" s="55"/>
      <c r="G5" s="55"/>
      <c r="H5" s="55"/>
      <c r="I5" s="55"/>
      <c r="J5" s="55"/>
      <c r="K5" s="55"/>
      <c r="L5" s="55"/>
    </row>
    <row r="6" spans="1:12" x14ac:dyDescent="0.2">
      <c r="A6" s="1" t="s">
        <v>129</v>
      </c>
      <c r="B6" s="55"/>
      <c r="C6" s="55"/>
      <c r="D6" s="55"/>
      <c r="E6" s="55">
        <v>191850928</v>
      </c>
      <c r="F6" s="55">
        <v>208615438</v>
      </c>
      <c r="G6" s="55">
        <v>257264383</v>
      </c>
      <c r="H6" s="55">
        <v>245531259</v>
      </c>
      <c r="I6" s="55">
        <v>213073348</v>
      </c>
      <c r="J6" s="55">
        <v>207560236</v>
      </c>
      <c r="K6" s="55">
        <v>230175371</v>
      </c>
      <c r="L6" s="55">
        <v>248478101</v>
      </c>
    </row>
    <row r="7" spans="1:12" x14ac:dyDescent="0.2">
      <c r="A7" s="1" t="s">
        <v>130</v>
      </c>
      <c r="B7" s="55"/>
      <c r="C7" s="55"/>
      <c r="D7" s="55"/>
      <c r="E7" s="55">
        <v>3457152</v>
      </c>
      <c r="F7" s="55">
        <v>2948386</v>
      </c>
      <c r="G7" s="55">
        <v>3147243</v>
      </c>
      <c r="H7" s="55">
        <v>2868814</v>
      </c>
      <c r="I7" s="55">
        <v>2390352</v>
      </c>
      <c r="J7" s="55">
        <v>1450482</v>
      </c>
      <c r="K7" s="55">
        <v>1720076</v>
      </c>
      <c r="L7" s="55">
        <v>1985443</v>
      </c>
    </row>
    <row r="8" spans="1:12" x14ac:dyDescent="0.2">
      <c r="A8" s="1" t="s">
        <v>162</v>
      </c>
      <c r="B8" s="55"/>
      <c r="C8" s="55"/>
      <c r="D8" s="55"/>
      <c r="E8" s="55">
        <v>4636</v>
      </c>
      <c r="F8" s="55"/>
      <c r="G8" s="55"/>
      <c r="H8" s="55"/>
      <c r="I8" s="55"/>
      <c r="J8" s="55"/>
      <c r="K8" s="55"/>
      <c r="L8" s="55"/>
    </row>
    <row r="9" spans="1:12" x14ac:dyDescent="0.2">
      <c r="A9" s="1" t="s">
        <v>161</v>
      </c>
      <c r="B9" s="55"/>
      <c r="C9" s="55"/>
      <c r="D9" s="55"/>
      <c r="E9" s="55"/>
      <c r="F9" s="55"/>
      <c r="G9" s="55"/>
      <c r="H9" s="55"/>
      <c r="I9" s="55"/>
      <c r="J9" s="55"/>
      <c r="K9" s="55"/>
      <c r="L9" s="55"/>
    </row>
    <row r="10" spans="1:12" x14ac:dyDescent="0.2">
      <c r="A10" s="1" t="s">
        <v>132</v>
      </c>
      <c r="B10" s="55"/>
      <c r="C10" s="55"/>
      <c r="D10" s="55"/>
      <c r="E10" s="55"/>
      <c r="F10" s="55"/>
      <c r="G10" s="55"/>
      <c r="H10" s="55"/>
      <c r="I10" s="55"/>
      <c r="J10" s="55"/>
      <c r="K10" s="55"/>
      <c r="L10" s="55"/>
    </row>
    <row r="11" spans="1:12" x14ac:dyDescent="0.2">
      <c r="A11" s="1" t="s">
        <v>133</v>
      </c>
      <c r="B11" s="55"/>
      <c r="C11" s="55"/>
      <c r="D11" s="55"/>
      <c r="E11" s="55"/>
      <c r="F11" s="55"/>
      <c r="G11" s="55"/>
      <c r="H11" s="55"/>
      <c r="I11" s="55"/>
      <c r="J11" s="55"/>
      <c r="K11" s="55"/>
      <c r="L11" s="55"/>
    </row>
    <row r="12" spans="1:12" x14ac:dyDescent="0.2">
      <c r="A12" s="1" t="s">
        <v>134</v>
      </c>
      <c r="B12" s="55"/>
      <c r="C12" s="55"/>
      <c r="D12" s="55"/>
      <c r="E12" s="55"/>
      <c r="F12" s="55"/>
      <c r="G12" s="55"/>
      <c r="H12" s="55"/>
      <c r="I12" s="55"/>
      <c r="J12" s="55"/>
      <c r="K12" s="55"/>
      <c r="L12" s="55"/>
    </row>
    <row r="13" spans="1:12" x14ac:dyDescent="0.2">
      <c r="A13" s="2" t="s">
        <v>13</v>
      </c>
      <c r="B13" s="56">
        <f t="shared" ref="B13:L13" si="0">SUM(B6:B12)</f>
        <v>0</v>
      </c>
      <c r="C13" s="56">
        <f t="shared" si="0"/>
        <v>0</v>
      </c>
      <c r="D13" s="56">
        <f t="shared" si="0"/>
        <v>0</v>
      </c>
      <c r="E13" s="56">
        <f t="shared" si="0"/>
        <v>195312716</v>
      </c>
      <c r="F13" s="56">
        <f t="shared" si="0"/>
        <v>211563824</v>
      </c>
      <c r="G13" s="56">
        <f t="shared" si="0"/>
        <v>260411626</v>
      </c>
      <c r="H13" s="56">
        <f t="shared" si="0"/>
        <v>248400073</v>
      </c>
      <c r="I13" s="56">
        <f t="shared" si="0"/>
        <v>215463700</v>
      </c>
      <c r="J13" s="56">
        <f t="shared" si="0"/>
        <v>209010718</v>
      </c>
      <c r="K13" s="56">
        <f t="shared" si="0"/>
        <v>231895447</v>
      </c>
      <c r="L13" s="56">
        <f t="shared" si="0"/>
        <v>250463544</v>
      </c>
    </row>
    <row r="14" spans="1:12" x14ac:dyDescent="0.2">
      <c r="B14" s="55"/>
      <c r="C14" s="55"/>
      <c r="D14" s="55"/>
      <c r="E14" s="55"/>
      <c r="F14" s="55"/>
      <c r="G14" s="55"/>
      <c r="H14" s="55"/>
      <c r="I14" s="55"/>
      <c r="J14" s="55"/>
      <c r="K14" s="55"/>
      <c r="L14" s="55"/>
    </row>
    <row r="15" spans="1:12" x14ac:dyDescent="0.2">
      <c r="A15" s="2" t="s">
        <v>14</v>
      </c>
      <c r="B15" s="55"/>
      <c r="C15" s="55"/>
      <c r="D15" s="55"/>
      <c r="E15" s="55"/>
      <c r="F15" s="55"/>
      <c r="G15" s="55"/>
      <c r="H15" s="55"/>
      <c r="I15" s="55"/>
      <c r="J15" s="55"/>
      <c r="K15" s="55"/>
      <c r="L15" s="55"/>
    </row>
    <row r="16" spans="1:12" x14ac:dyDescent="0.2">
      <c r="A16" s="1" t="s">
        <v>131</v>
      </c>
      <c r="B16" s="55"/>
      <c r="C16" s="55"/>
      <c r="D16" s="55"/>
      <c r="E16" s="55"/>
      <c r="F16" s="55"/>
      <c r="G16" s="55"/>
      <c r="H16" s="55"/>
      <c r="I16" s="55"/>
      <c r="J16" s="55"/>
      <c r="K16" s="55"/>
      <c r="L16" s="55"/>
    </row>
    <row r="17" spans="1:12" x14ac:dyDescent="0.2">
      <c r="A17" s="1" t="s">
        <v>135</v>
      </c>
      <c r="B17" s="55"/>
      <c r="C17" s="55"/>
      <c r="D17" s="55"/>
      <c r="E17" s="55">
        <v>6538871</v>
      </c>
      <c r="F17" s="55">
        <v>5722346</v>
      </c>
      <c r="G17" s="55">
        <v>5466901</v>
      </c>
      <c r="H17" s="55">
        <v>5550527</v>
      </c>
      <c r="I17" s="55">
        <v>4491490</v>
      </c>
      <c r="J17" s="55">
        <v>5516762</v>
      </c>
      <c r="K17" s="55">
        <v>7002424</v>
      </c>
      <c r="L17" s="55">
        <v>7970481</v>
      </c>
    </row>
    <row r="18" spans="1:12" x14ac:dyDescent="0.2">
      <c r="A18" s="1" t="s">
        <v>132</v>
      </c>
      <c r="B18" s="55"/>
      <c r="C18" s="55"/>
      <c r="D18" s="55"/>
      <c r="E18" s="55">
        <v>60242726</v>
      </c>
      <c r="F18" s="55">
        <v>43914841</v>
      </c>
      <c r="G18" s="55">
        <v>45739490</v>
      </c>
      <c r="H18" s="55">
        <v>45463717</v>
      </c>
      <c r="I18" s="55">
        <v>55005262</v>
      </c>
      <c r="J18" s="55">
        <v>52839249</v>
      </c>
      <c r="K18" s="55">
        <v>40307612</v>
      </c>
      <c r="L18" s="55">
        <v>35359248</v>
      </c>
    </row>
    <row r="19" spans="1:12" x14ac:dyDescent="0.2">
      <c r="A19" s="1" t="s">
        <v>164</v>
      </c>
      <c r="B19" s="55"/>
      <c r="C19" s="55"/>
      <c r="D19" s="55"/>
      <c r="E19" s="55">
        <v>222888020</v>
      </c>
      <c r="F19" s="55">
        <v>246809439</v>
      </c>
      <c r="G19" s="55">
        <v>274493109</v>
      </c>
      <c r="H19" s="55">
        <v>255293799</v>
      </c>
      <c r="I19" s="55">
        <v>333243663</v>
      </c>
      <c r="J19" s="55">
        <v>437848120</v>
      </c>
      <c r="K19" s="55">
        <v>457658378</v>
      </c>
      <c r="L19" s="55">
        <v>413675429</v>
      </c>
    </row>
    <row r="20" spans="1:12" x14ac:dyDescent="0.2">
      <c r="A20" s="1" t="s">
        <v>136</v>
      </c>
      <c r="B20" s="55"/>
      <c r="C20" s="55"/>
      <c r="D20" s="55"/>
      <c r="E20" s="55"/>
      <c r="F20" s="55"/>
      <c r="G20" s="55"/>
      <c r="H20" s="55"/>
      <c r="I20" s="55"/>
      <c r="J20" s="55"/>
      <c r="K20" s="55"/>
      <c r="L20" s="55"/>
    </row>
    <row r="21" spans="1:12" x14ac:dyDescent="0.2">
      <c r="A21" s="1" t="s">
        <v>137</v>
      </c>
      <c r="B21" s="55"/>
      <c r="C21" s="55"/>
      <c r="D21" s="55"/>
      <c r="E21" s="55"/>
      <c r="F21" s="55">
        <v>502469</v>
      </c>
      <c r="G21" s="55">
        <v>502469</v>
      </c>
      <c r="H21" s="55">
        <v>459822</v>
      </c>
      <c r="I21" s="55"/>
      <c r="J21" s="55"/>
      <c r="K21" s="55"/>
      <c r="L21" s="55"/>
    </row>
    <row r="22" spans="1:12" x14ac:dyDescent="0.2">
      <c r="A22" s="1" t="s">
        <v>165</v>
      </c>
      <c r="B22" s="55"/>
      <c r="C22" s="55"/>
      <c r="D22" s="55"/>
      <c r="E22" s="55">
        <v>3760522</v>
      </c>
      <c r="F22" s="55">
        <v>20702546</v>
      </c>
      <c r="G22" s="55">
        <v>30806130</v>
      </c>
      <c r="H22" s="55">
        <v>13071868</v>
      </c>
      <c r="I22" s="55">
        <v>38577625</v>
      </c>
      <c r="J22" s="55">
        <v>7652361</v>
      </c>
      <c r="K22" s="55">
        <v>18589702</v>
      </c>
      <c r="L22" s="55">
        <v>48301404</v>
      </c>
    </row>
    <row r="23" spans="1:12" x14ac:dyDescent="0.2">
      <c r="A23" s="2" t="s">
        <v>15</v>
      </c>
      <c r="B23" s="56">
        <f t="shared" ref="B23:F23" si="1">SUM(B16:B22)</f>
        <v>0</v>
      </c>
      <c r="C23" s="56">
        <f t="shared" si="1"/>
        <v>0</v>
      </c>
      <c r="D23" s="56">
        <f t="shared" si="1"/>
        <v>0</v>
      </c>
      <c r="E23" s="56">
        <f t="shared" si="1"/>
        <v>293430139</v>
      </c>
      <c r="F23" s="56">
        <f t="shared" si="1"/>
        <v>317651641</v>
      </c>
      <c r="G23" s="56">
        <f t="shared" ref="G23:L23" si="2">SUM(G16:G22)</f>
        <v>357008099</v>
      </c>
      <c r="H23" s="56">
        <f t="shared" si="2"/>
        <v>319839733</v>
      </c>
      <c r="I23" s="56">
        <f t="shared" si="2"/>
        <v>431318040</v>
      </c>
      <c r="J23" s="56">
        <f t="shared" si="2"/>
        <v>503856492</v>
      </c>
      <c r="K23" s="56">
        <f t="shared" si="2"/>
        <v>523558116</v>
      </c>
      <c r="L23" s="56">
        <f t="shared" si="2"/>
        <v>505306562</v>
      </c>
    </row>
    <row r="24" spans="1:12" x14ac:dyDescent="0.2">
      <c r="B24" s="55"/>
      <c r="C24" s="55"/>
      <c r="D24" s="55"/>
      <c r="E24" s="55"/>
      <c r="F24" s="55"/>
      <c r="G24" s="55"/>
      <c r="H24" s="55"/>
      <c r="I24" s="55"/>
      <c r="J24" s="55"/>
      <c r="K24" s="55"/>
      <c r="L24" s="55"/>
    </row>
    <row r="25" spans="1:12" x14ac:dyDescent="0.2">
      <c r="A25" s="2" t="s">
        <v>16</v>
      </c>
      <c r="B25" s="56">
        <f>B13+B23</f>
        <v>0</v>
      </c>
      <c r="C25" s="56">
        <f t="shared" ref="C25:G25" si="3">C13+C23</f>
        <v>0</v>
      </c>
      <c r="D25" s="56">
        <f t="shared" si="3"/>
        <v>0</v>
      </c>
      <c r="E25" s="56">
        <f t="shared" si="3"/>
        <v>488742855</v>
      </c>
      <c r="F25" s="56">
        <f t="shared" si="3"/>
        <v>529215465</v>
      </c>
      <c r="G25" s="56">
        <f t="shared" si="3"/>
        <v>617419725</v>
      </c>
      <c r="H25" s="56">
        <f t="shared" ref="H25:L25" si="4">H13+H23</f>
        <v>568239806</v>
      </c>
      <c r="I25" s="56">
        <f t="shared" si="4"/>
        <v>646781740</v>
      </c>
      <c r="J25" s="56">
        <f t="shared" si="4"/>
        <v>712867210</v>
      </c>
      <c r="K25" s="56">
        <f t="shared" si="4"/>
        <v>755453563</v>
      </c>
      <c r="L25" s="56">
        <f t="shared" si="4"/>
        <v>755770106</v>
      </c>
    </row>
    <row r="26" spans="1:12" x14ac:dyDescent="0.2">
      <c r="B26" s="55"/>
      <c r="C26" s="55"/>
      <c r="D26" s="55"/>
      <c r="E26" s="55"/>
      <c r="F26" s="55"/>
      <c r="G26" s="55"/>
      <c r="H26" s="55"/>
      <c r="I26" s="55"/>
      <c r="J26" s="55"/>
      <c r="K26" s="55"/>
      <c r="L26" s="55"/>
    </row>
    <row r="27" spans="1:12" x14ac:dyDescent="0.2">
      <c r="A27" s="2" t="s">
        <v>17</v>
      </c>
      <c r="B27" s="55"/>
      <c r="C27" s="55"/>
      <c r="D27" s="55"/>
      <c r="E27" s="55"/>
      <c r="F27" s="55"/>
      <c r="G27" s="55"/>
      <c r="H27" s="55"/>
      <c r="I27" s="55"/>
      <c r="J27" s="55"/>
      <c r="K27" s="55"/>
      <c r="L27" s="55"/>
    </row>
    <row r="28" spans="1:12" x14ac:dyDescent="0.2">
      <c r="B28" s="55"/>
      <c r="C28" s="55"/>
      <c r="D28" s="55"/>
      <c r="E28" s="55"/>
      <c r="F28" s="55"/>
      <c r="G28" s="55"/>
      <c r="H28" s="55"/>
      <c r="I28" s="55"/>
      <c r="J28" s="55"/>
      <c r="K28" s="55"/>
      <c r="L28" s="55"/>
    </row>
    <row r="29" spans="1:12" x14ac:dyDescent="0.2">
      <c r="A29" s="2" t="s">
        <v>18</v>
      </c>
      <c r="B29" s="55"/>
      <c r="C29" s="55"/>
      <c r="D29" s="55"/>
      <c r="E29" s="55"/>
      <c r="F29" s="55"/>
      <c r="G29" s="55"/>
      <c r="H29" s="55"/>
      <c r="I29" s="55"/>
      <c r="J29" s="55"/>
      <c r="K29" s="55"/>
      <c r="L29" s="55"/>
    </row>
    <row r="30" spans="1:12" x14ac:dyDescent="0.2">
      <c r="A30" s="1" t="s">
        <v>166</v>
      </c>
      <c r="B30" s="55"/>
      <c r="C30" s="55"/>
      <c r="D30" s="55"/>
      <c r="E30" s="55">
        <v>109358306</v>
      </c>
      <c r="F30" s="55">
        <v>132945675</v>
      </c>
      <c r="G30" s="55">
        <v>131591356</v>
      </c>
      <c r="H30" s="55">
        <v>130237037</v>
      </c>
      <c r="I30" s="55">
        <v>128882718</v>
      </c>
      <c r="J30" s="55">
        <v>127528399</v>
      </c>
      <c r="K30" s="55">
        <v>149836771</v>
      </c>
      <c r="L30" s="55">
        <v>148306174</v>
      </c>
    </row>
    <row r="31" spans="1:12" x14ac:dyDescent="0.2">
      <c r="A31" s="1" t="s">
        <v>138</v>
      </c>
      <c r="B31" s="55"/>
      <c r="C31" s="55"/>
      <c r="D31" s="55"/>
      <c r="E31" s="55"/>
      <c r="F31" s="55"/>
      <c r="G31" s="55"/>
      <c r="H31" s="55"/>
      <c r="I31" s="55"/>
      <c r="J31" s="55"/>
      <c r="K31" s="55"/>
      <c r="L31" s="55"/>
    </row>
    <row r="32" spans="1:12" x14ac:dyDescent="0.2">
      <c r="A32" s="1" t="s">
        <v>167</v>
      </c>
      <c r="B32" s="55"/>
      <c r="C32" s="55"/>
      <c r="D32" s="55"/>
      <c r="E32" s="55">
        <v>232698048</v>
      </c>
      <c r="F32" s="55">
        <v>231536476</v>
      </c>
      <c r="G32" s="55">
        <v>276328093</v>
      </c>
      <c r="H32" s="55">
        <v>293756502</v>
      </c>
      <c r="I32" s="55">
        <v>307693915</v>
      </c>
      <c r="J32" s="55">
        <v>326657941</v>
      </c>
      <c r="K32" s="55">
        <v>341808848</v>
      </c>
      <c r="L32" s="55">
        <v>349357294</v>
      </c>
    </row>
    <row r="33" spans="1:12" x14ac:dyDescent="0.2">
      <c r="A33" s="1" t="s">
        <v>139</v>
      </c>
      <c r="B33" s="55"/>
      <c r="C33" s="55"/>
      <c r="D33" s="55"/>
      <c r="E33" s="55"/>
      <c r="F33" s="55"/>
      <c r="G33" s="55"/>
      <c r="H33" s="55"/>
      <c r="I33" s="55"/>
      <c r="J33" s="55"/>
      <c r="K33" s="55"/>
      <c r="L33" s="55"/>
    </row>
    <row r="34" spans="1:12" x14ac:dyDescent="0.2">
      <c r="A34" s="1" t="s">
        <v>140</v>
      </c>
      <c r="B34" s="55"/>
      <c r="C34" s="55"/>
      <c r="D34" s="55"/>
      <c r="E34" s="55"/>
      <c r="F34" s="55"/>
      <c r="G34" s="55"/>
      <c r="H34" s="55"/>
      <c r="I34" s="55"/>
      <c r="J34" s="55"/>
      <c r="K34" s="55"/>
      <c r="L34" s="55"/>
    </row>
    <row r="35" spans="1:12" x14ac:dyDescent="0.2">
      <c r="A35" s="2" t="s">
        <v>19</v>
      </c>
      <c r="B35" s="56">
        <f t="shared" ref="B35:J35" si="5">SUM(B30:B33)</f>
        <v>0</v>
      </c>
      <c r="C35" s="56">
        <f t="shared" si="5"/>
        <v>0</v>
      </c>
      <c r="D35" s="56">
        <f t="shared" si="5"/>
        <v>0</v>
      </c>
      <c r="E35" s="56">
        <f t="shared" si="5"/>
        <v>342056354</v>
      </c>
      <c r="F35" s="56">
        <f t="shared" si="5"/>
        <v>364482151</v>
      </c>
      <c r="G35" s="56">
        <f t="shared" si="5"/>
        <v>407919449</v>
      </c>
      <c r="H35" s="56">
        <f t="shared" si="5"/>
        <v>423993539</v>
      </c>
      <c r="I35" s="56">
        <f t="shared" si="5"/>
        <v>436576633</v>
      </c>
      <c r="J35" s="56">
        <f t="shared" si="5"/>
        <v>454186340</v>
      </c>
      <c r="K35" s="56">
        <f>SUM(K30:K34)</f>
        <v>491645619</v>
      </c>
      <c r="L35" s="56">
        <f>SUM(L30:L34)</f>
        <v>497663468</v>
      </c>
    </row>
    <row r="36" spans="1:12" x14ac:dyDescent="0.2">
      <c r="B36" s="55"/>
      <c r="C36" s="55"/>
      <c r="D36" s="55"/>
      <c r="E36" s="55"/>
      <c r="F36" s="55"/>
      <c r="G36" s="55"/>
      <c r="H36" s="55"/>
      <c r="I36" s="55"/>
      <c r="J36" s="55"/>
      <c r="K36" s="55"/>
      <c r="L36" s="55"/>
    </row>
    <row r="37" spans="1:12" x14ac:dyDescent="0.2">
      <c r="A37" s="2" t="s">
        <v>20</v>
      </c>
      <c r="B37" s="55"/>
      <c r="C37" s="55"/>
      <c r="D37" s="55"/>
      <c r="E37" s="55"/>
      <c r="F37" s="55"/>
      <c r="G37" s="55"/>
      <c r="H37" s="55"/>
      <c r="I37" s="55"/>
      <c r="J37" s="55"/>
      <c r="K37" s="55"/>
      <c r="L37" s="55"/>
    </row>
    <row r="38" spans="1:12" x14ac:dyDescent="0.2">
      <c r="A38" s="1" t="s">
        <v>168</v>
      </c>
      <c r="B38" s="55"/>
      <c r="C38" s="55"/>
      <c r="D38" s="55"/>
      <c r="E38" s="55"/>
      <c r="F38" s="55"/>
      <c r="G38" s="55"/>
      <c r="H38" s="55"/>
      <c r="I38" s="55"/>
      <c r="J38" s="55"/>
      <c r="K38" s="55"/>
      <c r="L38" s="55"/>
    </row>
    <row r="39" spans="1:12" x14ac:dyDescent="0.2">
      <c r="A39" s="1" t="s">
        <v>24</v>
      </c>
      <c r="B39" s="55"/>
      <c r="C39" s="55"/>
      <c r="D39" s="55"/>
      <c r="E39" s="55">
        <v>422532</v>
      </c>
      <c r="F39" s="55"/>
      <c r="G39" s="55"/>
      <c r="H39" s="55"/>
      <c r="I39" s="55"/>
      <c r="J39" s="55"/>
      <c r="K39" s="55"/>
      <c r="L39" s="55"/>
    </row>
    <row r="40" spans="1:12" x14ac:dyDescent="0.2">
      <c r="A40" s="1" t="s">
        <v>169</v>
      </c>
      <c r="B40" s="55"/>
      <c r="C40" s="55"/>
      <c r="D40" s="55"/>
      <c r="E40" s="55">
        <v>30545000</v>
      </c>
      <c r="F40" s="55">
        <v>28287105</v>
      </c>
      <c r="G40" s="55">
        <v>28286244</v>
      </c>
      <c r="H40" s="55">
        <v>29400140</v>
      </c>
      <c r="I40" s="55">
        <v>29387260</v>
      </c>
      <c r="J40" s="55">
        <v>29405623</v>
      </c>
      <c r="K40" s="55">
        <v>26284506</v>
      </c>
      <c r="L40" s="55">
        <v>24114428</v>
      </c>
    </row>
    <row r="41" spans="1:12" x14ac:dyDescent="0.2">
      <c r="A41" s="1" t="s">
        <v>21</v>
      </c>
      <c r="B41" s="55"/>
      <c r="C41" s="55"/>
      <c r="D41" s="55"/>
      <c r="E41" s="55"/>
      <c r="F41" s="55"/>
      <c r="G41" s="55"/>
      <c r="H41" s="55"/>
      <c r="I41" s="55"/>
      <c r="J41" s="55"/>
      <c r="K41" s="55"/>
      <c r="L41" s="55"/>
    </row>
    <row r="42" spans="1:12" x14ac:dyDescent="0.2">
      <c r="A42" s="2" t="s">
        <v>22</v>
      </c>
      <c r="B42" s="56">
        <f t="shared" ref="B42:L42" si="6">SUM(B38:B41)</f>
        <v>0</v>
      </c>
      <c r="C42" s="56">
        <f t="shared" si="6"/>
        <v>0</v>
      </c>
      <c r="D42" s="56">
        <f t="shared" si="6"/>
        <v>0</v>
      </c>
      <c r="E42" s="56">
        <f t="shared" si="6"/>
        <v>30967532</v>
      </c>
      <c r="F42" s="56">
        <f t="shared" si="6"/>
        <v>28287105</v>
      </c>
      <c r="G42" s="56">
        <f t="shared" si="6"/>
        <v>28286244</v>
      </c>
      <c r="H42" s="56">
        <f t="shared" si="6"/>
        <v>29400140</v>
      </c>
      <c r="I42" s="56">
        <f t="shared" si="6"/>
        <v>29387260</v>
      </c>
      <c r="J42" s="56">
        <f t="shared" si="6"/>
        <v>29405623</v>
      </c>
      <c r="K42" s="56">
        <f t="shared" si="6"/>
        <v>26284506</v>
      </c>
      <c r="L42" s="56">
        <f t="shared" si="6"/>
        <v>24114428</v>
      </c>
    </row>
    <row r="43" spans="1:12" x14ac:dyDescent="0.2">
      <c r="B43" s="55"/>
      <c r="C43" s="55"/>
      <c r="D43" s="55"/>
      <c r="E43" s="55"/>
      <c r="F43" s="55"/>
      <c r="G43" s="55"/>
      <c r="H43" s="55"/>
      <c r="I43" s="55"/>
      <c r="J43" s="55"/>
      <c r="K43" s="55"/>
      <c r="L43" s="55"/>
    </row>
    <row r="44" spans="1:12" x14ac:dyDescent="0.2">
      <c r="A44" s="2" t="s">
        <v>23</v>
      </c>
      <c r="B44" s="55"/>
      <c r="C44" s="55"/>
      <c r="D44" s="55"/>
      <c r="E44" s="55"/>
      <c r="F44" s="55"/>
      <c r="G44" s="55"/>
      <c r="H44" s="55"/>
      <c r="I44" s="55"/>
      <c r="J44" s="55"/>
      <c r="K44" s="55"/>
      <c r="L44" s="55"/>
    </row>
    <row r="45" spans="1:12" x14ac:dyDescent="0.2">
      <c r="A45" s="1" t="s">
        <v>170</v>
      </c>
      <c r="B45" s="55"/>
      <c r="C45" s="55"/>
      <c r="D45" s="55"/>
      <c r="E45" s="55"/>
      <c r="F45" s="55"/>
      <c r="G45" s="55"/>
      <c r="H45" s="55"/>
      <c r="I45" s="55"/>
      <c r="J45" s="55"/>
      <c r="K45" s="55"/>
      <c r="L45" s="55"/>
    </row>
    <row r="46" spans="1:12" x14ac:dyDescent="0.2">
      <c r="A46" s="1" t="s">
        <v>24</v>
      </c>
      <c r="B46" s="55"/>
      <c r="C46" s="55"/>
      <c r="D46" s="55"/>
      <c r="E46" s="55">
        <v>38820531</v>
      </c>
      <c r="F46" s="55">
        <v>35007518</v>
      </c>
      <c r="G46" s="55">
        <v>64090001</v>
      </c>
      <c r="H46" s="55">
        <v>43953051</v>
      </c>
      <c r="I46" s="55">
        <v>56911213</v>
      </c>
      <c r="J46" s="55">
        <v>64350697</v>
      </c>
      <c r="K46" s="55">
        <v>67134810</v>
      </c>
      <c r="L46" s="55">
        <v>57488163</v>
      </c>
    </row>
    <row r="47" spans="1:12" x14ac:dyDescent="0.2">
      <c r="A47" s="1" t="s">
        <v>171</v>
      </c>
      <c r="B47" s="55"/>
      <c r="C47" s="55"/>
      <c r="D47" s="55"/>
      <c r="E47" s="55">
        <v>76373594</v>
      </c>
      <c r="F47" s="55">
        <v>100870259</v>
      </c>
      <c r="G47" s="55">
        <v>116811875</v>
      </c>
      <c r="H47" s="55">
        <v>70582211</v>
      </c>
      <c r="I47" s="55">
        <v>123288108</v>
      </c>
      <c r="J47" s="55">
        <v>164665210</v>
      </c>
      <c r="K47" s="55">
        <v>169869646</v>
      </c>
      <c r="L47" s="55">
        <v>175447940</v>
      </c>
    </row>
    <row r="48" spans="1:12" x14ac:dyDescent="0.2">
      <c r="A48" s="1" t="s">
        <v>142</v>
      </c>
      <c r="B48" s="55"/>
      <c r="C48" s="55"/>
      <c r="D48" s="55"/>
      <c r="E48" s="55">
        <v>160306</v>
      </c>
      <c r="F48" s="55"/>
      <c r="G48" s="55"/>
      <c r="H48" s="55"/>
      <c r="I48" s="55"/>
      <c r="J48" s="55"/>
      <c r="K48" s="55"/>
      <c r="L48" s="55"/>
    </row>
    <row r="49" spans="1:12" x14ac:dyDescent="0.2">
      <c r="A49" s="1" t="s">
        <v>141</v>
      </c>
      <c r="B49" s="55"/>
      <c r="C49" s="55"/>
      <c r="D49" s="55"/>
      <c r="E49" s="55">
        <v>364538</v>
      </c>
      <c r="F49" s="55">
        <v>568432</v>
      </c>
      <c r="G49" s="55">
        <v>312156</v>
      </c>
      <c r="H49" s="55">
        <v>310865</v>
      </c>
      <c r="I49" s="55">
        <v>618526</v>
      </c>
      <c r="J49" s="55">
        <v>256340</v>
      </c>
      <c r="K49" s="55">
        <v>518982</v>
      </c>
      <c r="L49" s="55">
        <v>1056107</v>
      </c>
    </row>
    <row r="50" spans="1:12" x14ac:dyDescent="0.2">
      <c r="A50" s="1" t="s">
        <v>143</v>
      </c>
      <c r="B50" s="55"/>
      <c r="C50" s="55"/>
      <c r="D50" s="55"/>
      <c r="E50" s="55"/>
      <c r="F50" s="55"/>
      <c r="G50" s="55"/>
      <c r="H50" s="55"/>
      <c r="I50" s="55"/>
      <c r="J50" s="55"/>
      <c r="K50" s="55"/>
      <c r="L50" s="55"/>
    </row>
    <row r="51" spans="1:12" x14ac:dyDescent="0.2">
      <c r="A51" s="2" t="s">
        <v>25</v>
      </c>
      <c r="B51" s="56">
        <f>SUM(B45:B50)</f>
        <v>0</v>
      </c>
      <c r="C51" s="56">
        <f t="shared" ref="C51:J51" si="7">SUM(C45:C50)</f>
        <v>0</v>
      </c>
      <c r="D51" s="56">
        <f t="shared" si="7"/>
        <v>0</v>
      </c>
      <c r="E51" s="56">
        <f t="shared" si="7"/>
        <v>115718969</v>
      </c>
      <c r="F51" s="56">
        <f t="shared" si="7"/>
        <v>136446209</v>
      </c>
      <c r="G51" s="56">
        <f t="shared" si="7"/>
        <v>181214032</v>
      </c>
      <c r="H51" s="56">
        <f t="shared" si="7"/>
        <v>114846127</v>
      </c>
      <c r="I51" s="56">
        <f t="shared" si="7"/>
        <v>180817847</v>
      </c>
      <c r="J51" s="56">
        <f t="shared" si="7"/>
        <v>229272247</v>
      </c>
      <c r="K51" s="56">
        <f t="shared" ref="K51" si="8">SUM(K45:K50)</f>
        <v>237523438</v>
      </c>
      <c r="L51" s="56">
        <f t="shared" ref="L51" si="9">SUM(L45:L50)</f>
        <v>233992210</v>
      </c>
    </row>
    <row r="52" spans="1:12" x14ac:dyDescent="0.2">
      <c r="B52" s="55"/>
      <c r="C52" s="55"/>
      <c r="D52" s="55"/>
      <c r="E52" s="55"/>
      <c r="F52" s="55"/>
      <c r="G52" s="55"/>
      <c r="H52" s="55"/>
      <c r="I52" s="55"/>
      <c r="J52" s="55"/>
      <c r="K52" s="55"/>
      <c r="L52" s="55"/>
    </row>
    <row r="53" spans="1:12" x14ac:dyDescent="0.2">
      <c r="A53" s="2" t="s">
        <v>26</v>
      </c>
      <c r="B53" s="56">
        <f t="shared" ref="B53:F53" si="10">B42+B51</f>
        <v>0</v>
      </c>
      <c r="C53" s="56">
        <f t="shared" si="10"/>
        <v>0</v>
      </c>
      <c r="D53" s="56">
        <f t="shared" si="10"/>
        <v>0</v>
      </c>
      <c r="E53" s="56">
        <f t="shared" si="10"/>
        <v>146686501</v>
      </c>
      <c r="F53" s="56">
        <f t="shared" si="10"/>
        <v>164733314</v>
      </c>
      <c r="G53" s="56">
        <f t="shared" ref="G53:I53" si="11">G42+G51</f>
        <v>209500276</v>
      </c>
      <c r="H53" s="56">
        <f t="shared" si="11"/>
        <v>144246267</v>
      </c>
      <c r="I53" s="56">
        <f t="shared" si="11"/>
        <v>210205107</v>
      </c>
      <c r="J53" s="56">
        <f t="shared" ref="J53:K53" si="12">J42+J51</f>
        <v>258677870</v>
      </c>
      <c r="K53" s="56">
        <f t="shared" si="12"/>
        <v>263807944</v>
      </c>
      <c r="L53" s="56">
        <f t="shared" ref="L53" si="13">L42+L51</f>
        <v>258106638</v>
      </c>
    </row>
    <row r="54" spans="1:12" x14ac:dyDescent="0.2">
      <c r="B54" s="55"/>
      <c r="C54" s="55"/>
      <c r="D54" s="55"/>
      <c r="E54" s="55"/>
      <c r="F54" s="55"/>
      <c r="G54" s="55"/>
      <c r="H54" s="55"/>
      <c r="I54" s="55"/>
      <c r="J54" s="55"/>
      <c r="K54" s="55"/>
      <c r="L54" s="55"/>
    </row>
    <row r="55" spans="1:12" x14ac:dyDescent="0.2">
      <c r="A55" s="2" t="s">
        <v>27</v>
      </c>
      <c r="B55" s="56">
        <f t="shared" ref="B55:L55" si="14">B35+B53</f>
        <v>0</v>
      </c>
      <c r="C55" s="56">
        <f t="shared" si="14"/>
        <v>0</v>
      </c>
      <c r="D55" s="56">
        <f t="shared" si="14"/>
        <v>0</v>
      </c>
      <c r="E55" s="56">
        <f t="shared" si="14"/>
        <v>488742855</v>
      </c>
      <c r="F55" s="56">
        <f t="shared" si="14"/>
        <v>529215465</v>
      </c>
      <c r="G55" s="56">
        <f t="shared" si="14"/>
        <v>617419725</v>
      </c>
      <c r="H55" s="56">
        <f t="shared" si="14"/>
        <v>568239806</v>
      </c>
      <c r="I55" s="56">
        <f t="shared" si="14"/>
        <v>646781740</v>
      </c>
      <c r="J55" s="56">
        <f t="shared" si="14"/>
        <v>712864210</v>
      </c>
      <c r="K55" s="56">
        <f t="shared" si="14"/>
        <v>755453563</v>
      </c>
      <c r="L55" s="56">
        <f t="shared" si="14"/>
        <v>755770106</v>
      </c>
    </row>
  </sheetData>
  <mergeCells count="1">
    <mergeCell ref="A1:L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L40"/>
  <sheetViews>
    <sheetView showGridLines="0" workbookViewId="0">
      <selection sqref="A1:L1"/>
    </sheetView>
  </sheetViews>
  <sheetFormatPr defaultRowHeight="12.75" x14ac:dyDescent="0.2"/>
  <cols>
    <col min="1" max="1" width="43.28515625" style="1" bestFit="1" customWidth="1"/>
    <col min="2" max="3" width="9.28515625" style="1" hidden="1" customWidth="1"/>
    <col min="4" max="4" width="9.140625" style="1" hidden="1" customWidth="1"/>
    <col min="5" max="12" width="15.7109375" style="1" customWidth="1"/>
    <col min="13" max="16384" width="9.140625" style="1"/>
  </cols>
  <sheetData>
    <row r="1" spans="1:12" ht="15" x14ac:dyDescent="0.2">
      <c r="A1" s="124" t="s">
        <v>0</v>
      </c>
      <c r="B1" s="124"/>
      <c r="C1" s="124"/>
      <c r="D1" s="124"/>
      <c r="E1" s="124"/>
      <c r="F1" s="124"/>
      <c r="G1" s="124"/>
      <c r="H1" s="124"/>
      <c r="I1" s="124"/>
      <c r="J1" s="124"/>
      <c r="K1" s="124"/>
      <c r="L1" s="124"/>
    </row>
    <row r="3" spans="1:12" x14ac:dyDescent="0.2">
      <c r="A3" s="2" t="s">
        <v>163</v>
      </c>
      <c r="B3" s="2">
        <f>'Income Statement'!B3</f>
        <v>2007</v>
      </c>
      <c r="C3" s="2">
        <f>'Income Statement'!C3</f>
        <v>2008</v>
      </c>
      <c r="D3" s="2">
        <f>'Income Statement'!D3</f>
        <v>2009</v>
      </c>
      <c r="E3" s="2">
        <f>'Income Statement'!E3</f>
        <v>2010</v>
      </c>
      <c r="F3" s="2">
        <f>'Income Statement'!F3</f>
        <v>2011</v>
      </c>
      <c r="G3" s="2">
        <f>'Income Statement'!G3</f>
        <v>2012</v>
      </c>
      <c r="H3" s="2">
        <f>'Income Statement'!H3</f>
        <v>2013</v>
      </c>
      <c r="I3" s="2">
        <f>'Income Statement'!I3</f>
        <v>2014</v>
      </c>
      <c r="J3" s="2">
        <f>'Income Statement'!J3</f>
        <v>2015</v>
      </c>
      <c r="K3" s="2">
        <f>'Income Statement'!K3</f>
        <v>2016</v>
      </c>
      <c r="L3" s="2">
        <f>'Income Statement'!L3</f>
        <v>2017</v>
      </c>
    </row>
    <row r="4" spans="1:12" x14ac:dyDescent="0.2">
      <c r="A4" s="2" t="s">
        <v>28</v>
      </c>
    </row>
    <row r="5" spans="1:12" x14ac:dyDescent="0.2">
      <c r="A5" s="1" t="s">
        <v>177</v>
      </c>
      <c r="B5" s="55"/>
      <c r="C5" s="55"/>
      <c r="D5" s="55"/>
      <c r="E5" s="55">
        <v>376288632</v>
      </c>
      <c r="F5" s="55">
        <v>385296486</v>
      </c>
      <c r="G5" s="55">
        <v>416946963</v>
      </c>
      <c r="H5" s="55">
        <v>409397192</v>
      </c>
      <c r="I5" s="55">
        <v>487871479</v>
      </c>
      <c r="J5" s="55">
        <v>528459039</v>
      </c>
      <c r="K5" s="55">
        <v>511453061</v>
      </c>
      <c r="L5" s="55">
        <v>458339300</v>
      </c>
    </row>
    <row r="6" spans="1:12" x14ac:dyDescent="0.2">
      <c r="A6" s="1" t="s">
        <v>144</v>
      </c>
      <c r="B6" s="55"/>
      <c r="C6" s="55"/>
      <c r="D6" s="55"/>
      <c r="E6" s="55"/>
      <c r="F6" s="55"/>
      <c r="G6" s="55"/>
      <c r="H6" s="55"/>
      <c r="I6" s="55"/>
      <c r="J6" s="55"/>
      <c r="K6" s="55"/>
      <c r="L6" s="55"/>
    </row>
    <row r="7" spans="1:12" x14ac:dyDescent="0.2">
      <c r="A7" s="1" t="s">
        <v>178</v>
      </c>
      <c r="B7" s="55"/>
      <c r="C7" s="55"/>
      <c r="D7" s="55"/>
      <c r="E7" s="55">
        <v>-373496106</v>
      </c>
      <c r="F7" s="55">
        <v>-351974019</v>
      </c>
      <c r="G7" s="55">
        <v>-342614764</v>
      </c>
      <c r="H7" s="55">
        <v>-459227531</v>
      </c>
      <c r="I7" s="55">
        <v>-413415979</v>
      </c>
      <c r="J7" s="55">
        <v>-471234641</v>
      </c>
      <c r="K7" s="55">
        <v>-498080821</v>
      </c>
      <c r="L7" s="55">
        <v>-472560851</v>
      </c>
    </row>
    <row r="8" spans="1:12" x14ac:dyDescent="0.2">
      <c r="A8" s="1" t="s">
        <v>179</v>
      </c>
      <c r="B8" s="55"/>
      <c r="C8" s="55"/>
      <c r="D8" s="55"/>
      <c r="E8" s="55">
        <v>19283636</v>
      </c>
      <c r="F8" s="55">
        <v>14556425</v>
      </c>
      <c r="G8" s="55">
        <v>15718249</v>
      </c>
      <c r="H8" s="55">
        <v>14686482</v>
      </c>
      <c r="I8" s="55">
        <v>15976216</v>
      </c>
      <c r="J8" s="55">
        <v>25048956</v>
      </c>
      <c r="K8" s="55">
        <v>32059094</v>
      </c>
      <c r="L8" s="55">
        <v>31324518</v>
      </c>
    </row>
    <row r="9" spans="1:12" x14ac:dyDescent="0.2">
      <c r="A9" s="1" t="s">
        <v>180</v>
      </c>
      <c r="B9" s="55"/>
      <c r="C9" s="55"/>
      <c r="D9" s="55"/>
      <c r="E9" s="55">
        <v>-1616568</v>
      </c>
      <c r="F9" s="55">
        <v>-1053229</v>
      </c>
      <c r="G9" s="55">
        <v>-1395594</v>
      </c>
      <c r="H9" s="55">
        <v>-395336</v>
      </c>
      <c r="I9" s="55">
        <v>-310865</v>
      </c>
      <c r="J9" s="55">
        <v>-618526</v>
      </c>
      <c r="K9" s="55"/>
      <c r="L9" s="55"/>
    </row>
    <row r="10" spans="1:12" x14ac:dyDescent="0.2">
      <c r="A10" s="1" t="s">
        <v>181</v>
      </c>
      <c r="B10" s="55"/>
      <c r="C10" s="55"/>
      <c r="D10" s="55"/>
      <c r="E10" s="55">
        <v>-93668</v>
      </c>
      <c r="F10" s="55">
        <v>-44594</v>
      </c>
      <c r="G10" s="55">
        <v>-12332</v>
      </c>
      <c r="H10" s="55">
        <v>-6279</v>
      </c>
      <c r="I10" s="55">
        <v>-45967</v>
      </c>
      <c r="J10" s="55">
        <v>-24584</v>
      </c>
      <c r="K10" s="55">
        <v>-5290</v>
      </c>
      <c r="L10" s="55">
        <v>-6210</v>
      </c>
    </row>
    <row r="11" spans="1:12" x14ac:dyDescent="0.2">
      <c r="A11" s="1" t="s">
        <v>194</v>
      </c>
      <c r="B11" s="55"/>
      <c r="C11" s="55"/>
      <c r="D11" s="55"/>
      <c r="E11" s="55"/>
      <c r="F11" s="55"/>
      <c r="G11" s="55"/>
      <c r="H11" s="55">
        <v>42647</v>
      </c>
      <c r="I11" s="55"/>
      <c r="J11" s="55"/>
      <c r="K11" s="55"/>
      <c r="L11" s="55"/>
    </row>
    <row r="12" spans="1:12" x14ac:dyDescent="0.2">
      <c r="A12" s="2" t="s">
        <v>29</v>
      </c>
      <c r="B12" s="56">
        <f t="shared" ref="B12:L12" si="0">SUM(B5:B10)</f>
        <v>0</v>
      </c>
      <c r="C12" s="56">
        <f t="shared" si="0"/>
        <v>0</v>
      </c>
      <c r="D12" s="56">
        <f t="shared" si="0"/>
        <v>0</v>
      </c>
      <c r="E12" s="56">
        <f t="shared" si="0"/>
        <v>20365926</v>
      </c>
      <c r="F12" s="56">
        <f t="shared" ref="F12:H12" si="1">SUM(F5:F11)</f>
        <v>46781069</v>
      </c>
      <c r="G12" s="56">
        <f t="shared" si="1"/>
        <v>88642522</v>
      </c>
      <c r="H12" s="56">
        <f t="shared" si="1"/>
        <v>-35502825</v>
      </c>
      <c r="I12" s="56">
        <f t="shared" si="0"/>
        <v>90074884</v>
      </c>
      <c r="J12" s="56">
        <f t="shared" si="0"/>
        <v>81630244</v>
      </c>
      <c r="K12" s="56">
        <f t="shared" si="0"/>
        <v>45426044</v>
      </c>
      <c r="L12" s="56">
        <f t="shared" si="0"/>
        <v>17096757</v>
      </c>
    </row>
    <row r="13" spans="1:12" x14ac:dyDescent="0.2">
      <c r="B13" s="55"/>
      <c r="C13" s="55"/>
      <c r="D13" s="55"/>
      <c r="E13" s="55"/>
      <c r="F13" s="55"/>
      <c r="G13" s="55"/>
      <c r="H13" s="55"/>
      <c r="I13" s="55"/>
      <c r="J13" s="55"/>
      <c r="K13" s="55"/>
      <c r="L13" s="55"/>
    </row>
    <row r="14" spans="1:12" x14ac:dyDescent="0.2">
      <c r="A14" s="2" t="s">
        <v>30</v>
      </c>
      <c r="B14" s="55"/>
      <c r="C14" s="55"/>
      <c r="D14" s="55"/>
      <c r="E14" s="55"/>
      <c r="F14" s="55"/>
      <c r="G14" s="55"/>
      <c r="H14" s="55"/>
      <c r="I14" s="55"/>
      <c r="J14" s="55"/>
      <c r="K14" s="55"/>
      <c r="L14" s="55"/>
    </row>
    <row r="15" spans="1:12" ht="25.5" x14ac:dyDescent="0.2">
      <c r="A15" s="57" t="s">
        <v>145</v>
      </c>
      <c r="B15" s="55"/>
      <c r="C15" s="55"/>
      <c r="D15" s="55"/>
      <c r="E15" s="55">
        <v>-25119794</v>
      </c>
      <c r="F15" s="55">
        <v>-62575991</v>
      </c>
      <c r="G15" s="55">
        <v>-70482066</v>
      </c>
      <c r="H15" s="55">
        <v>-60191855</v>
      </c>
      <c r="I15" s="55">
        <v>-41499979</v>
      </c>
      <c r="J15" s="55">
        <v>-37027319</v>
      </c>
      <c r="K15" s="55">
        <v>-59054569</v>
      </c>
      <c r="L15" s="55">
        <v>-55117858</v>
      </c>
    </row>
    <row r="16" spans="1:12" x14ac:dyDescent="0.2">
      <c r="A16" s="57" t="s">
        <v>183</v>
      </c>
      <c r="B16" s="55"/>
      <c r="C16" s="55"/>
      <c r="D16" s="55"/>
      <c r="E16" s="55">
        <v>-533633</v>
      </c>
      <c r="F16" s="55">
        <v>-1212571</v>
      </c>
      <c r="G16" s="55">
        <v>-36330</v>
      </c>
      <c r="H16" s="55">
        <v>-430780</v>
      </c>
      <c r="I16" s="55">
        <v>-516212</v>
      </c>
      <c r="J16" s="55">
        <v>-126607</v>
      </c>
      <c r="K16" s="55">
        <v>-641456</v>
      </c>
      <c r="L16" s="55">
        <v>-441495</v>
      </c>
    </row>
    <row r="17" spans="1:12" x14ac:dyDescent="0.2">
      <c r="A17" s="57" t="s">
        <v>193</v>
      </c>
      <c r="B17" s="55"/>
      <c r="C17" s="55"/>
      <c r="D17" s="55"/>
      <c r="E17" s="55"/>
      <c r="F17" s="55"/>
      <c r="G17" s="55"/>
      <c r="H17" s="55"/>
      <c r="I17" s="55"/>
      <c r="J17" s="55"/>
      <c r="K17" s="55">
        <v>560000</v>
      </c>
      <c r="L17" s="55"/>
    </row>
    <row r="18" spans="1:12" ht="25.5" x14ac:dyDescent="0.2">
      <c r="A18" s="57" t="s">
        <v>182</v>
      </c>
      <c r="B18" s="55"/>
      <c r="C18" s="55"/>
      <c r="D18" s="55"/>
      <c r="E18" s="55">
        <v>20381777</v>
      </c>
      <c r="F18" s="55">
        <v>59416858</v>
      </c>
      <c r="G18" s="55">
        <v>21058125</v>
      </c>
      <c r="H18" s="55">
        <v>60366325</v>
      </c>
      <c r="I18" s="55">
        <v>58463012</v>
      </c>
      <c r="J18" s="55">
        <v>32832633</v>
      </c>
      <c r="K18" s="55">
        <v>46468250</v>
      </c>
      <c r="L18" s="55">
        <v>27539643</v>
      </c>
    </row>
    <row r="19" spans="1:12" x14ac:dyDescent="0.2">
      <c r="A19" s="57" t="s">
        <v>184</v>
      </c>
      <c r="B19" s="55"/>
      <c r="C19" s="55"/>
      <c r="D19" s="55"/>
      <c r="E19" s="55">
        <v>46000</v>
      </c>
      <c r="F19" s="55">
        <v>410736</v>
      </c>
      <c r="G19" s="55"/>
      <c r="H19" s="55"/>
      <c r="I19" s="55"/>
      <c r="J19" s="55"/>
      <c r="K19" s="55"/>
      <c r="L19" s="55"/>
    </row>
    <row r="20" spans="1:12" x14ac:dyDescent="0.2">
      <c r="A20" s="57" t="s">
        <v>185</v>
      </c>
      <c r="B20" s="55"/>
      <c r="C20" s="55"/>
      <c r="D20" s="55"/>
      <c r="E20" s="55">
        <v>-86681872</v>
      </c>
      <c r="F20" s="55">
        <v>-23921419</v>
      </c>
      <c r="G20" s="55">
        <v>-27683670</v>
      </c>
      <c r="H20" s="55">
        <v>19199310</v>
      </c>
      <c r="I20" s="55">
        <v>-77949864</v>
      </c>
      <c r="J20" s="55">
        <v>-104604457</v>
      </c>
      <c r="K20" s="55">
        <v>-19810258</v>
      </c>
      <c r="L20" s="55">
        <v>43982949</v>
      </c>
    </row>
    <row r="21" spans="1:12" x14ac:dyDescent="0.2">
      <c r="A21" s="57"/>
      <c r="B21" s="55"/>
      <c r="C21" s="55"/>
      <c r="D21" s="55"/>
      <c r="E21" s="55"/>
      <c r="F21" s="55"/>
      <c r="G21" s="55"/>
      <c r="H21" s="55"/>
      <c r="I21" s="55"/>
      <c r="J21" s="55"/>
      <c r="K21" s="55"/>
      <c r="L21" s="55"/>
    </row>
    <row r="22" spans="1:12" x14ac:dyDescent="0.2">
      <c r="A22" s="2" t="s">
        <v>31</v>
      </c>
      <c r="B22" s="56">
        <f t="shared" ref="B22:L22" si="2">SUM(B15:B21)</f>
        <v>0</v>
      </c>
      <c r="C22" s="56">
        <f t="shared" si="2"/>
        <v>0</v>
      </c>
      <c r="D22" s="56">
        <f t="shared" si="2"/>
        <v>0</v>
      </c>
      <c r="E22" s="56">
        <f t="shared" si="2"/>
        <v>-91907522</v>
      </c>
      <c r="F22" s="56">
        <f t="shared" si="2"/>
        <v>-27882387</v>
      </c>
      <c r="G22" s="56">
        <f t="shared" si="2"/>
        <v>-77143941</v>
      </c>
      <c r="H22" s="56">
        <f t="shared" si="2"/>
        <v>18943000</v>
      </c>
      <c r="I22" s="56">
        <f t="shared" si="2"/>
        <v>-61503043</v>
      </c>
      <c r="J22" s="56">
        <f t="shared" si="2"/>
        <v>-108925750</v>
      </c>
      <c r="K22" s="56">
        <f t="shared" si="2"/>
        <v>-32478033</v>
      </c>
      <c r="L22" s="56">
        <f t="shared" si="2"/>
        <v>15963239</v>
      </c>
    </row>
    <row r="23" spans="1:12" x14ac:dyDescent="0.2">
      <c r="B23" s="55"/>
      <c r="C23" s="55"/>
      <c r="D23" s="55"/>
      <c r="E23" s="55"/>
      <c r="F23" s="55"/>
      <c r="G23" s="55"/>
      <c r="H23" s="55"/>
      <c r="I23" s="55"/>
      <c r="J23" s="55"/>
      <c r="K23" s="55"/>
      <c r="L23" s="55"/>
    </row>
    <row r="24" spans="1:12" x14ac:dyDescent="0.2">
      <c r="A24" s="2" t="s">
        <v>32</v>
      </c>
      <c r="B24" s="55"/>
      <c r="C24" s="55"/>
      <c r="D24" s="55"/>
      <c r="E24" s="55"/>
      <c r="F24" s="55"/>
      <c r="G24" s="55"/>
      <c r="H24" s="55"/>
      <c r="I24" s="55"/>
      <c r="J24" s="55"/>
      <c r="K24" s="55"/>
      <c r="L24" s="55"/>
    </row>
    <row r="25" spans="1:12" x14ac:dyDescent="0.2">
      <c r="A25" s="1" t="s">
        <v>186</v>
      </c>
      <c r="B25" s="55"/>
      <c r="C25" s="55"/>
      <c r="D25" s="55"/>
      <c r="E25" s="55"/>
      <c r="F25" s="55"/>
      <c r="G25" s="55"/>
      <c r="H25" s="55"/>
      <c r="I25" s="55"/>
      <c r="J25" s="55"/>
      <c r="K25" s="55"/>
      <c r="L25" s="55"/>
    </row>
    <row r="26" spans="1:12" x14ac:dyDescent="0.2">
      <c r="A26" s="1" t="s">
        <v>187</v>
      </c>
      <c r="B26" s="55"/>
      <c r="C26" s="55"/>
      <c r="D26" s="55"/>
      <c r="E26" s="55">
        <v>-244848</v>
      </c>
      <c r="F26" s="55">
        <v>-422532</v>
      </c>
      <c r="G26" s="55"/>
      <c r="H26" s="55"/>
      <c r="I26" s="55"/>
      <c r="J26" s="55"/>
      <c r="K26" s="55"/>
      <c r="L26" s="55"/>
    </row>
    <row r="27" spans="1:12" x14ac:dyDescent="0.2">
      <c r="A27" s="1" t="s">
        <v>192</v>
      </c>
      <c r="B27" s="55"/>
      <c r="C27" s="55"/>
      <c r="D27" s="55"/>
      <c r="E27" s="55"/>
      <c r="F27" s="55"/>
      <c r="G27" s="55"/>
      <c r="H27" s="55"/>
      <c r="I27" s="55">
        <v>-2087218</v>
      </c>
      <c r="J27" s="55"/>
      <c r="K27" s="55"/>
      <c r="L27" s="55"/>
    </row>
    <row r="28" spans="1:12" x14ac:dyDescent="0.2">
      <c r="A28" s="1" t="s">
        <v>188</v>
      </c>
      <c r="B28" s="55"/>
      <c r="C28" s="55"/>
      <c r="D28" s="55"/>
      <c r="E28" s="55">
        <v>-4070977</v>
      </c>
      <c r="F28" s="55">
        <v>-1534126</v>
      </c>
      <c r="G28" s="55">
        <v>-1394997</v>
      </c>
      <c r="H28" s="55">
        <v>-1174437</v>
      </c>
      <c r="I28" s="55">
        <v>-978866</v>
      </c>
      <c r="J28" s="55">
        <v>-3629758</v>
      </c>
      <c r="K28" s="55">
        <v>-2010670</v>
      </c>
      <c r="L28" s="55">
        <v>-3348294</v>
      </c>
    </row>
    <row r="29" spans="1:12" x14ac:dyDescent="0.2">
      <c r="B29" s="55"/>
      <c r="C29" s="55"/>
      <c r="D29" s="55"/>
      <c r="E29" s="55"/>
      <c r="F29" s="55"/>
      <c r="G29" s="55"/>
      <c r="H29" s="55"/>
      <c r="I29" s="55"/>
      <c r="J29" s="55"/>
      <c r="K29" s="55"/>
      <c r="L29" s="55"/>
    </row>
    <row r="30" spans="1:12" x14ac:dyDescent="0.2">
      <c r="B30" s="55"/>
      <c r="C30" s="55"/>
      <c r="D30" s="55"/>
      <c r="E30" s="55"/>
      <c r="F30" s="55"/>
      <c r="G30" s="55"/>
      <c r="H30" s="55"/>
      <c r="I30" s="55"/>
      <c r="J30" s="55"/>
      <c r="K30" s="55"/>
      <c r="L30" s="55"/>
    </row>
    <row r="31" spans="1:12" x14ac:dyDescent="0.2">
      <c r="B31" s="55"/>
      <c r="C31" s="55"/>
      <c r="D31" s="55"/>
      <c r="E31" s="55"/>
      <c r="F31" s="55"/>
      <c r="G31" s="55"/>
      <c r="H31" s="55"/>
      <c r="I31" s="55"/>
      <c r="J31" s="55"/>
      <c r="K31" s="55"/>
      <c r="L31" s="55"/>
    </row>
    <row r="32" spans="1:12" x14ac:dyDescent="0.2">
      <c r="B32" s="55"/>
      <c r="C32" s="55"/>
      <c r="D32" s="55"/>
      <c r="E32" s="55"/>
      <c r="F32" s="55"/>
      <c r="G32" s="55"/>
      <c r="H32" s="55"/>
      <c r="I32" s="55"/>
      <c r="J32" s="55"/>
      <c r="K32" s="55"/>
      <c r="L32" s="55"/>
    </row>
    <row r="33" spans="1:12" x14ac:dyDescent="0.2">
      <c r="A33" s="2" t="s">
        <v>33</v>
      </c>
      <c r="B33" s="56">
        <f t="shared" ref="B33:F33" si="3">SUM(B25:B32)</f>
        <v>0</v>
      </c>
      <c r="C33" s="56">
        <f t="shared" si="3"/>
        <v>0</v>
      </c>
      <c r="D33" s="56">
        <f t="shared" si="3"/>
        <v>0</v>
      </c>
      <c r="E33" s="56">
        <f t="shared" si="3"/>
        <v>-4315825</v>
      </c>
      <c r="F33" s="56">
        <f t="shared" si="3"/>
        <v>-1956658</v>
      </c>
      <c r="G33" s="56">
        <f t="shared" ref="G33:L33" si="4">SUM(G25:G32)</f>
        <v>-1394997</v>
      </c>
      <c r="H33" s="56">
        <f t="shared" si="4"/>
        <v>-1174437</v>
      </c>
      <c r="I33" s="56">
        <f t="shared" si="4"/>
        <v>-3066084</v>
      </c>
      <c r="J33" s="56">
        <f t="shared" si="4"/>
        <v>-3629758</v>
      </c>
      <c r="K33" s="56">
        <f t="shared" si="4"/>
        <v>-2010670</v>
      </c>
      <c r="L33" s="56">
        <f t="shared" si="4"/>
        <v>-3348294</v>
      </c>
    </row>
    <row r="34" spans="1:12" x14ac:dyDescent="0.2">
      <c r="B34" s="55"/>
      <c r="C34" s="55"/>
      <c r="D34" s="55"/>
      <c r="E34" s="55"/>
      <c r="F34" s="55"/>
      <c r="G34" s="55"/>
      <c r="H34" s="55"/>
      <c r="I34" s="55"/>
      <c r="J34" s="55"/>
      <c r="K34" s="55"/>
      <c r="L34" s="55"/>
    </row>
    <row r="35" spans="1:12" x14ac:dyDescent="0.2">
      <c r="A35" s="58" t="s">
        <v>34</v>
      </c>
      <c r="B35" s="56">
        <f t="shared" ref="B35:L35" si="5">B12+B22+B33</f>
        <v>0</v>
      </c>
      <c r="C35" s="56">
        <f t="shared" si="5"/>
        <v>0</v>
      </c>
      <c r="D35" s="56">
        <f t="shared" si="5"/>
        <v>0</v>
      </c>
      <c r="E35" s="56">
        <f t="shared" si="5"/>
        <v>-75857421</v>
      </c>
      <c r="F35" s="56">
        <f t="shared" si="5"/>
        <v>16942024</v>
      </c>
      <c r="G35" s="56">
        <f t="shared" si="5"/>
        <v>10103584</v>
      </c>
      <c r="H35" s="56">
        <f t="shared" si="5"/>
        <v>-17734262</v>
      </c>
      <c r="I35" s="56">
        <f t="shared" si="5"/>
        <v>25505757</v>
      </c>
      <c r="J35" s="56">
        <f t="shared" si="5"/>
        <v>-30925264</v>
      </c>
      <c r="K35" s="56">
        <f t="shared" si="5"/>
        <v>10937341</v>
      </c>
      <c r="L35" s="56">
        <f t="shared" si="5"/>
        <v>29711702</v>
      </c>
    </row>
    <row r="36" spans="1:12" x14ac:dyDescent="0.2">
      <c r="A36" s="57"/>
      <c r="B36" s="55"/>
      <c r="C36" s="55"/>
      <c r="D36" s="55"/>
      <c r="E36" s="55"/>
      <c r="F36" s="55"/>
      <c r="G36" s="55"/>
      <c r="H36" s="55"/>
      <c r="I36" s="55"/>
      <c r="J36" s="55"/>
      <c r="K36" s="55"/>
      <c r="L36" s="55"/>
    </row>
    <row r="37" spans="1:12" ht="25.5" x14ac:dyDescent="0.2">
      <c r="A37" s="57" t="s">
        <v>146</v>
      </c>
      <c r="B37" s="55"/>
      <c r="C37" s="55"/>
      <c r="D37" s="55"/>
      <c r="E37" s="55">
        <v>79617943</v>
      </c>
      <c r="F37" s="55">
        <v>3760522</v>
      </c>
      <c r="G37" s="55">
        <v>20702546</v>
      </c>
      <c r="H37" s="55">
        <v>30806130</v>
      </c>
      <c r="I37" s="55">
        <v>13071868</v>
      </c>
      <c r="J37" s="55">
        <v>38577625</v>
      </c>
      <c r="K37" s="55">
        <v>7652361</v>
      </c>
      <c r="L37" s="55">
        <v>18589702</v>
      </c>
    </row>
    <row r="38" spans="1:12" x14ac:dyDescent="0.2">
      <c r="A38" s="57" t="s">
        <v>147</v>
      </c>
      <c r="B38" s="55"/>
      <c r="C38" s="55"/>
      <c r="D38" s="55"/>
      <c r="E38" s="55"/>
      <c r="F38" s="55"/>
      <c r="G38" s="55"/>
      <c r="H38" s="55"/>
      <c r="I38" s="55"/>
      <c r="J38" s="55"/>
      <c r="K38" s="55"/>
      <c r="L38" s="55"/>
    </row>
    <row r="39" spans="1:12" x14ac:dyDescent="0.2">
      <c r="A39" s="57"/>
      <c r="B39" s="55"/>
      <c r="C39" s="55"/>
      <c r="D39" s="55"/>
      <c r="E39" s="55"/>
      <c r="F39" s="55"/>
      <c r="G39" s="55"/>
      <c r="H39" s="55"/>
      <c r="I39" s="55"/>
      <c r="J39" s="55"/>
      <c r="K39" s="55"/>
      <c r="L39" s="55"/>
    </row>
    <row r="40" spans="1:12" ht="25.5" x14ac:dyDescent="0.2">
      <c r="A40" s="58" t="s">
        <v>148</v>
      </c>
      <c r="B40" s="55">
        <f t="shared" ref="B40:J40" si="6">B35+B37+B38</f>
        <v>0</v>
      </c>
      <c r="C40" s="55">
        <f t="shared" si="6"/>
        <v>0</v>
      </c>
      <c r="D40" s="55">
        <f t="shared" si="6"/>
        <v>0</v>
      </c>
      <c r="E40" s="55">
        <f t="shared" si="6"/>
        <v>3760522</v>
      </c>
      <c r="F40" s="55">
        <f t="shared" si="6"/>
        <v>20702546</v>
      </c>
      <c r="G40" s="55">
        <f t="shared" si="6"/>
        <v>30806130</v>
      </c>
      <c r="H40" s="55">
        <f t="shared" si="6"/>
        <v>13071868</v>
      </c>
      <c r="I40" s="55">
        <f t="shared" si="6"/>
        <v>38577625</v>
      </c>
      <c r="J40" s="55">
        <f t="shared" si="6"/>
        <v>7652361</v>
      </c>
      <c r="K40" s="55">
        <f>K35+K37+K38</f>
        <v>18589702</v>
      </c>
      <c r="L40" s="55">
        <f>L35+L37+L38</f>
        <v>48301404</v>
      </c>
    </row>
  </sheetData>
  <mergeCells count="1">
    <mergeCell ref="A1:L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0FFA0"/>
  </sheetPr>
  <dimension ref="A1:A45"/>
  <sheetViews>
    <sheetView tabSelected="1" workbookViewId="0">
      <selection activeCell="A19" sqref="A19"/>
    </sheetView>
  </sheetViews>
  <sheetFormatPr defaultRowHeight="12.75" x14ac:dyDescent="0.2"/>
  <cols>
    <col min="1" max="1" width="121" style="54" customWidth="1"/>
  </cols>
  <sheetData>
    <row r="1" spans="1:1" ht="15" x14ac:dyDescent="0.25">
      <c r="A1" s="52" t="s">
        <v>314</v>
      </c>
    </row>
    <row r="4" spans="1:1" x14ac:dyDescent="0.2">
      <c r="A4" s="53" t="s">
        <v>85</v>
      </c>
    </row>
    <row r="5" spans="1:1" ht="89.25" x14ac:dyDescent="0.2">
      <c r="A5" s="54" t="s">
        <v>151</v>
      </c>
    </row>
    <row r="7" spans="1:1" x14ac:dyDescent="0.2">
      <c r="A7" s="53" t="s">
        <v>152</v>
      </c>
    </row>
    <row r="8" spans="1:1" ht="25.5" x14ac:dyDescent="0.2">
      <c r="A8" s="54" t="s">
        <v>153</v>
      </c>
    </row>
    <row r="10" spans="1:1" x14ac:dyDescent="0.2">
      <c r="A10" s="53" t="s">
        <v>120</v>
      </c>
    </row>
    <row r="11" spans="1:1" x14ac:dyDescent="0.2">
      <c r="A11" s="54" t="s">
        <v>154</v>
      </c>
    </row>
    <row r="13" spans="1:1" x14ac:dyDescent="0.2">
      <c r="A13" s="53" t="s">
        <v>121</v>
      </c>
    </row>
    <row r="14" spans="1:1" ht="25.5" x14ac:dyDescent="0.2">
      <c r="A14" s="54" t="s">
        <v>155</v>
      </c>
    </row>
    <row r="16" spans="1:1" x14ac:dyDescent="0.2">
      <c r="A16" s="86" t="s">
        <v>312</v>
      </c>
    </row>
    <row r="17" spans="1:1" ht="25.5" x14ac:dyDescent="0.2">
      <c r="A17" s="87" t="s">
        <v>313</v>
      </c>
    </row>
    <row r="20" spans="1:1" x14ac:dyDescent="0.2">
      <c r="A20" s="53" t="s">
        <v>156</v>
      </c>
    </row>
    <row r="21" spans="1:1" ht="51" x14ac:dyDescent="0.2">
      <c r="A21" s="54" t="s">
        <v>157</v>
      </c>
    </row>
    <row r="24" spans="1:1" x14ac:dyDescent="0.2">
      <c r="A24" s="53" t="s">
        <v>122</v>
      </c>
    </row>
    <row r="25" spans="1:1" ht="63.75" x14ac:dyDescent="0.2">
      <c r="A25" s="54" t="s">
        <v>189</v>
      </c>
    </row>
    <row r="28" spans="1:1" x14ac:dyDescent="0.2">
      <c r="A28" s="53" t="s">
        <v>158</v>
      </c>
    </row>
    <row r="29" spans="1:1" ht="127.5" x14ac:dyDescent="0.2">
      <c r="A29" s="54" t="s">
        <v>159</v>
      </c>
    </row>
    <row r="32" spans="1:1" x14ac:dyDescent="0.2">
      <c r="A32" s="53" t="s">
        <v>123</v>
      </c>
    </row>
    <row r="33" spans="1:1" ht="127.5" x14ac:dyDescent="0.2">
      <c r="A33" s="54" t="s">
        <v>159</v>
      </c>
    </row>
    <row r="36" spans="1:1" x14ac:dyDescent="0.2">
      <c r="A36" s="53" t="s">
        <v>316</v>
      </c>
    </row>
    <row r="37" spans="1:1" ht="70.5" customHeight="1" x14ac:dyDescent="0.2">
      <c r="A37" s="87" t="s">
        <v>315</v>
      </c>
    </row>
    <row r="40" spans="1:1" x14ac:dyDescent="0.2">
      <c r="A40" s="53" t="s">
        <v>124</v>
      </c>
    </row>
    <row r="41" spans="1:1" x14ac:dyDescent="0.2">
      <c r="A41" s="54" t="s">
        <v>160</v>
      </c>
    </row>
    <row r="44" spans="1:1" x14ac:dyDescent="0.2">
      <c r="A44" s="53" t="s">
        <v>190</v>
      </c>
    </row>
    <row r="45" spans="1:1" x14ac:dyDescent="0.2">
      <c r="A45" s="54" t="s">
        <v>191</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632"/>
  </sheetPr>
  <dimension ref="A1:BM65"/>
  <sheetViews>
    <sheetView topLeftCell="A4" zoomScaleNormal="100" workbookViewId="0">
      <pane xSplit="2" ySplit="2" topLeftCell="AB6" activePane="bottomRight" state="frozen"/>
      <selection activeCell="A4" sqref="A4"/>
      <selection pane="topRight" activeCell="C4" sqref="C4"/>
      <selection pane="bottomLeft" activeCell="A6" sqref="A6"/>
      <selection pane="bottomRight" activeCell="A4" sqref="A4"/>
    </sheetView>
  </sheetViews>
  <sheetFormatPr defaultRowHeight="15" x14ac:dyDescent="0.2"/>
  <cols>
    <col min="1" max="1" width="23.7109375" style="20" customWidth="1"/>
    <col min="2" max="2" width="8.7109375" style="20" customWidth="1"/>
    <col min="3" max="27" width="0" style="19" hidden="1" customWidth="1"/>
    <col min="28" max="65" width="30.7109375" style="19" customWidth="1"/>
    <col min="66" max="16384" width="9.140625" style="19"/>
  </cols>
  <sheetData>
    <row r="1" spans="1:65" x14ac:dyDescent="0.2">
      <c r="A1" s="20" t="s">
        <v>118</v>
      </c>
    </row>
    <row r="3" spans="1:65" x14ac:dyDescent="0.2">
      <c r="A3" s="20" t="s">
        <v>117</v>
      </c>
    </row>
    <row r="5" spans="1:65" s="20" customFormat="1" x14ac:dyDescent="0.2">
      <c r="A5" s="28" t="s">
        <v>128</v>
      </c>
      <c r="B5" s="29"/>
      <c r="C5" s="100">
        <v>2006</v>
      </c>
      <c r="D5" s="101"/>
      <c r="E5" s="101"/>
      <c r="F5" s="101"/>
      <c r="G5" s="102"/>
      <c r="H5" s="101">
        <v>2007</v>
      </c>
      <c r="I5" s="101"/>
      <c r="J5" s="101"/>
      <c r="K5" s="101"/>
      <c r="L5" s="101"/>
      <c r="M5" s="100">
        <v>2008</v>
      </c>
      <c r="N5" s="101"/>
      <c r="O5" s="101"/>
      <c r="P5" s="101"/>
      <c r="Q5" s="102"/>
      <c r="R5" s="101">
        <v>2009</v>
      </c>
      <c r="S5" s="101"/>
      <c r="T5" s="101"/>
      <c r="U5" s="101"/>
      <c r="V5" s="101"/>
      <c r="W5" s="100">
        <v>2010</v>
      </c>
      <c r="X5" s="101"/>
      <c r="Y5" s="101"/>
      <c r="Z5" s="101"/>
      <c r="AA5" s="102"/>
      <c r="AB5" s="101">
        <v>2011</v>
      </c>
      <c r="AC5" s="101"/>
      <c r="AD5" s="101"/>
      <c r="AE5" s="101"/>
      <c r="AF5" s="101"/>
      <c r="AG5" s="100">
        <v>2012</v>
      </c>
      <c r="AH5" s="101"/>
      <c r="AI5" s="101"/>
      <c r="AJ5" s="101"/>
      <c r="AK5" s="101"/>
      <c r="AL5" s="101"/>
      <c r="AM5" s="100">
        <v>2013</v>
      </c>
      <c r="AN5" s="101"/>
      <c r="AO5" s="101"/>
      <c r="AP5" s="101"/>
      <c r="AQ5" s="101"/>
      <c r="AR5" s="101"/>
      <c r="AS5" s="102"/>
      <c r="AT5" s="101">
        <v>2014</v>
      </c>
      <c r="AU5" s="101"/>
      <c r="AV5" s="101"/>
      <c r="AW5" s="101"/>
      <c r="AX5" s="101"/>
      <c r="AY5" s="100">
        <v>2015</v>
      </c>
      <c r="AZ5" s="101"/>
      <c r="BA5" s="101"/>
      <c r="BB5" s="101"/>
      <c r="BC5" s="102"/>
      <c r="BD5" s="101">
        <v>2016</v>
      </c>
      <c r="BE5" s="101"/>
      <c r="BF5" s="101"/>
      <c r="BG5" s="101"/>
      <c r="BH5" s="101"/>
      <c r="BI5" s="121">
        <v>2017</v>
      </c>
      <c r="BJ5" s="122"/>
      <c r="BK5" s="122"/>
      <c r="BL5" s="122"/>
      <c r="BM5" s="123"/>
    </row>
    <row r="6" spans="1:65" x14ac:dyDescent="0.2">
      <c r="A6" s="28" t="s">
        <v>127</v>
      </c>
      <c r="B6" s="29"/>
      <c r="C6" s="112"/>
      <c r="D6" s="113"/>
      <c r="E6" s="113"/>
      <c r="F6" s="113"/>
      <c r="G6" s="114"/>
      <c r="H6" s="113"/>
      <c r="I6" s="113"/>
      <c r="J6" s="113"/>
      <c r="K6" s="113"/>
      <c r="L6" s="113"/>
      <c r="M6" s="112"/>
      <c r="N6" s="113"/>
      <c r="O6" s="113"/>
      <c r="P6" s="113"/>
      <c r="Q6" s="114"/>
      <c r="R6" s="113"/>
      <c r="S6" s="113"/>
      <c r="T6" s="113"/>
      <c r="U6" s="113"/>
      <c r="V6" s="113"/>
      <c r="W6" s="112"/>
      <c r="X6" s="113"/>
      <c r="Y6" s="113"/>
      <c r="Z6" s="113"/>
      <c r="AA6" s="114"/>
      <c r="AB6" s="104" t="s">
        <v>195</v>
      </c>
      <c r="AC6" s="105"/>
      <c r="AD6" s="105"/>
      <c r="AE6" s="105"/>
      <c r="AF6" s="106"/>
      <c r="AG6" s="105" t="s">
        <v>195</v>
      </c>
      <c r="AH6" s="105"/>
      <c r="AI6" s="105"/>
      <c r="AJ6" s="105"/>
      <c r="AK6" s="105"/>
      <c r="AL6" s="105"/>
      <c r="AM6" s="104" t="s">
        <v>243</v>
      </c>
      <c r="AN6" s="105"/>
      <c r="AO6" s="105"/>
      <c r="AP6" s="105"/>
      <c r="AQ6" s="105"/>
      <c r="AR6" s="105"/>
      <c r="AS6" s="106"/>
      <c r="AT6" s="105" t="s">
        <v>243</v>
      </c>
      <c r="AU6" s="105"/>
      <c r="AV6" s="105"/>
      <c r="AW6" s="105"/>
      <c r="AX6" s="105"/>
      <c r="AY6" s="104" t="s">
        <v>243</v>
      </c>
      <c r="AZ6" s="105"/>
      <c r="BA6" s="105"/>
      <c r="BB6" s="105"/>
      <c r="BC6" s="106"/>
      <c r="BD6" s="105" t="s">
        <v>243</v>
      </c>
      <c r="BE6" s="105"/>
      <c r="BF6" s="105"/>
      <c r="BG6" s="105"/>
      <c r="BH6" s="105"/>
      <c r="BI6" s="104" t="s">
        <v>293</v>
      </c>
      <c r="BJ6" s="105"/>
      <c r="BK6" s="105"/>
      <c r="BL6" s="105"/>
      <c r="BM6" s="106"/>
    </row>
    <row r="7" spans="1:65" x14ac:dyDescent="0.2">
      <c r="A7" s="30" t="s">
        <v>125</v>
      </c>
      <c r="B7" s="31"/>
      <c r="C7" s="95"/>
      <c r="D7" s="96"/>
      <c r="E7" s="96"/>
      <c r="F7" s="96"/>
      <c r="G7" s="97"/>
      <c r="H7" s="96"/>
      <c r="I7" s="96"/>
      <c r="J7" s="96"/>
      <c r="K7" s="96"/>
      <c r="L7" s="96"/>
      <c r="M7" s="95"/>
      <c r="N7" s="96"/>
      <c r="O7" s="96"/>
      <c r="P7" s="96"/>
      <c r="Q7" s="97"/>
      <c r="R7" s="96"/>
      <c r="S7" s="96"/>
      <c r="T7" s="96"/>
      <c r="U7" s="96"/>
      <c r="V7" s="96"/>
      <c r="W7" s="95"/>
      <c r="X7" s="96"/>
      <c r="Y7" s="96"/>
      <c r="Z7" s="96"/>
      <c r="AA7" s="97"/>
      <c r="AB7" s="107" t="s">
        <v>196</v>
      </c>
      <c r="AC7" s="103"/>
      <c r="AD7" s="103"/>
      <c r="AE7" s="103"/>
      <c r="AF7" s="108"/>
      <c r="AG7" s="103" t="s">
        <v>196</v>
      </c>
      <c r="AH7" s="103"/>
      <c r="AI7" s="103"/>
      <c r="AJ7" s="103"/>
      <c r="AK7" s="103"/>
      <c r="AL7" s="103"/>
      <c r="AM7" s="107" t="s">
        <v>196</v>
      </c>
      <c r="AN7" s="103"/>
      <c r="AO7" s="103"/>
      <c r="AP7" s="103"/>
      <c r="AQ7" s="103"/>
      <c r="AR7" s="103"/>
      <c r="AS7" s="108"/>
      <c r="AT7" s="103" t="s">
        <v>196</v>
      </c>
      <c r="AU7" s="103"/>
      <c r="AV7" s="103"/>
      <c r="AW7" s="103"/>
      <c r="AX7" s="103"/>
      <c r="AY7" s="107" t="s">
        <v>196</v>
      </c>
      <c r="AZ7" s="103"/>
      <c r="BA7" s="103"/>
      <c r="BB7" s="103"/>
      <c r="BC7" s="108"/>
      <c r="BD7" s="103" t="s">
        <v>196</v>
      </c>
      <c r="BE7" s="103"/>
      <c r="BF7" s="103"/>
      <c r="BG7" s="103"/>
      <c r="BH7" s="103"/>
      <c r="BI7" s="107" t="s">
        <v>196</v>
      </c>
      <c r="BJ7" s="103"/>
      <c r="BK7" s="103"/>
      <c r="BL7" s="103"/>
      <c r="BM7" s="108"/>
    </row>
    <row r="8" spans="1:65" x14ac:dyDescent="0.2">
      <c r="A8" s="32" t="s">
        <v>126</v>
      </c>
      <c r="B8" s="33"/>
      <c r="C8" s="109"/>
      <c r="D8" s="110"/>
      <c r="E8" s="110"/>
      <c r="F8" s="110"/>
      <c r="G8" s="111"/>
      <c r="H8" s="110"/>
      <c r="I8" s="110"/>
      <c r="J8" s="110"/>
      <c r="K8" s="110"/>
      <c r="L8" s="110"/>
      <c r="M8" s="109"/>
      <c r="N8" s="110"/>
      <c r="O8" s="110"/>
      <c r="P8" s="110"/>
      <c r="Q8" s="111"/>
      <c r="R8" s="110"/>
      <c r="S8" s="110"/>
      <c r="T8" s="110"/>
      <c r="U8" s="110"/>
      <c r="V8" s="110"/>
      <c r="W8" s="109"/>
      <c r="X8" s="110"/>
      <c r="Y8" s="110"/>
      <c r="Z8" s="110"/>
      <c r="AA8" s="111"/>
      <c r="AB8" s="118" t="s">
        <v>197</v>
      </c>
      <c r="AC8" s="119"/>
      <c r="AD8" s="119"/>
      <c r="AE8" s="119"/>
      <c r="AF8" s="120"/>
      <c r="AG8" s="119" t="s">
        <v>197</v>
      </c>
      <c r="AH8" s="119"/>
      <c r="AI8" s="119"/>
      <c r="AJ8" s="119"/>
      <c r="AK8" s="119"/>
      <c r="AL8" s="119"/>
      <c r="AM8" s="118" t="s">
        <v>197</v>
      </c>
      <c r="AN8" s="119"/>
      <c r="AO8" s="119"/>
      <c r="AP8" s="119"/>
      <c r="AQ8" s="119"/>
      <c r="AR8" s="119"/>
      <c r="AS8" s="120"/>
      <c r="AT8" s="119" t="s">
        <v>197</v>
      </c>
      <c r="AU8" s="119"/>
      <c r="AV8" s="119"/>
      <c r="AW8" s="119"/>
      <c r="AX8" s="119"/>
      <c r="AY8" s="118" t="s">
        <v>197</v>
      </c>
      <c r="AZ8" s="119"/>
      <c r="BA8" s="119"/>
      <c r="BB8" s="119"/>
      <c r="BC8" s="120"/>
      <c r="BD8" s="119" t="s">
        <v>197</v>
      </c>
      <c r="BE8" s="119"/>
      <c r="BF8" s="119"/>
      <c r="BG8" s="119"/>
      <c r="BH8" s="119"/>
      <c r="BI8" s="118" t="s">
        <v>197</v>
      </c>
      <c r="BJ8" s="119"/>
      <c r="BK8" s="119"/>
      <c r="BL8" s="119"/>
      <c r="BM8" s="120"/>
    </row>
    <row r="9" spans="1:65" x14ac:dyDescent="0.2">
      <c r="A9" s="28"/>
      <c r="B9" s="29"/>
      <c r="C9" s="34"/>
      <c r="D9" s="35"/>
      <c r="E9" s="35"/>
      <c r="F9" s="35"/>
      <c r="G9" s="36"/>
      <c r="H9" s="35"/>
      <c r="I9" s="35"/>
      <c r="J9" s="35"/>
      <c r="K9" s="35"/>
      <c r="L9" s="35"/>
      <c r="M9" s="34"/>
      <c r="N9" s="35"/>
      <c r="O9" s="35"/>
      <c r="P9" s="35"/>
      <c r="Q9" s="36"/>
      <c r="R9" s="35"/>
      <c r="S9" s="35"/>
      <c r="T9" s="35"/>
      <c r="U9" s="35"/>
      <c r="V9" s="35"/>
      <c r="W9" s="34"/>
      <c r="X9" s="35"/>
      <c r="Y9" s="35"/>
      <c r="Z9" s="35"/>
      <c r="AA9" s="36"/>
      <c r="AB9" s="35"/>
      <c r="AC9" s="35"/>
      <c r="AD9" s="35"/>
      <c r="AE9" s="35"/>
      <c r="AF9" s="35"/>
      <c r="AG9" s="34"/>
      <c r="AH9" s="35"/>
      <c r="AI9" s="35"/>
      <c r="AJ9" s="35"/>
      <c r="AK9" s="35"/>
      <c r="AL9" s="35"/>
      <c r="AM9" s="34"/>
      <c r="AN9" s="35"/>
      <c r="AO9" s="35"/>
      <c r="AP9" s="35"/>
      <c r="AQ9" s="35"/>
      <c r="AR9" s="35"/>
      <c r="AS9" s="36"/>
      <c r="AT9" s="35"/>
      <c r="AU9" s="35"/>
      <c r="AV9" s="35"/>
      <c r="AW9" s="35"/>
      <c r="AX9" s="35"/>
      <c r="AY9" s="34"/>
      <c r="AZ9" s="35"/>
      <c r="BA9" s="35"/>
      <c r="BB9" s="35"/>
      <c r="BC9" s="36"/>
      <c r="BD9" s="35"/>
      <c r="BE9" s="35"/>
      <c r="BF9" s="35"/>
      <c r="BG9" s="35"/>
      <c r="BH9" s="35"/>
      <c r="BI9" s="34"/>
      <c r="BJ9" s="35"/>
      <c r="BK9" s="35"/>
      <c r="BL9" s="35"/>
      <c r="BM9" s="36"/>
    </row>
    <row r="10" spans="1:65" x14ac:dyDescent="0.2">
      <c r="A10" s="37" t="s">
        <v>116</v>
      </c>
      <c r="B10" s="38"/>
      <c r="C10" s="39"/>
      <c r="D10" s="40"/>
      <c r="E10" s="40"/>
      <c r="F10" s="40"/>
      <c r="G10" s="41"/>
      <c r="H10" s="40"/>
      <c r="I10" s="40"/>
      <c r="J10" s="40"/>
      <c r="K10" s="40"/>
      <c r="L10" s="40"/>
      <c r="M10" s="39"/>
      <c r="N10" s="40"/>
      <c r="O10" s="40"/>
      <c r="P10" s="40"/>
      <c r="Q10" s="41"/>
      <c r="R10" s="40"/>
      <c r="S10" s="40"/>
      <c r="T10" s="40"/>
      <c r="U10" s="40"/>
      <c r="V10" s="40"/>
      <c r="W10" s="39"/>
      <c r="X10" s="40"/>
      <c r="Y10" s="40"/>
      <c r="Z10" s="40"/>
      <c r="AA10" s="41"/>
      <c r="AB10" s="40"/>
      <c r="AC10" s="40"/>
      <c r="AD10" s="40"/>
      <c r="AE10" s="40"/>
      <c r="AF10" s="40"/>
      <c r="AG10" s="39"/>
      <c r="AH10" s="40"/>
      <c r="AI10" s="40"/>
      <c r="AJ10" s="40"/>
      <c r="AK10" s="40"/>
      <c r="AL10" s="40"/>
      <c r="AM10" s="39"/>
      <c r="AN10" s="40"/>
      <c r="AO10" s="40"/>
      <c r="AP10" s="40"/>
      <c r="AQ10" s="40"/>
      <c r="AR10" s="40"/>
      <c r="AS10" s="41"/>
      <c r="AT10" s="40"/>
      <c r="AU10" s="40"/>
      <c r="AV10" s="40"/>
      <c r="AW10" s="40"/>
      <c r="AX10" s="40"/>
      <c r="AY10" s="39"/>
      <c r="AZ10" s="40"/>
      <c r="BA10" s="40"/>
      <c r="BB10" s="40"/>
      <c r="BC10" s="41"/>
      <c r="BD10" s="40"/>
      <c r="BE10" s="40"/>
      <c r="BF10" s="40"/>
      <c r="BG10" s="40"/>
      <c r="BH10" s="40"/>
      <c r="BI10" s="39"/>
      <c r="BJ10" s="40"/>
      <c r="BK10" s="40"/>
      <c r="BL10" s="40"/>
      <c r="BM10" s="41"/>
    </row>
    <row r="11" spans="1:65" x14ac:dyDescent="0.2">
      <c r="A11" s="30" t="s">
        <v>115</v>
      </c>
      <c r="B11" s="31"/>
      <c r="C11" s="95"/>
      <c r="D11" s="96"/>
      <c r="E11" s="96"/>
      <c r="F11" s="96"/>
      <c r="G11" s="97"/>
      <c r="H11" s="96"/>
      <c r="I11" s="96"/>
      <c r="J11" s="96"/>
      <c r="K11" s="96"/>
      <c r="L11" s="96"/>
      <c r="M11" s="95"/>
      <c r="N11" s="96"/>
      <c r="O11" s="96"/>
      <c r="P11" s="96"/>
      <c r="Q11" s="97"/>
      <c r="R11" s="96"/>
      <c r="S11" s="96"/>
      <c r="T11" s="96"/>
      <c r="U11" s="96"/>
      <c r="V11" s="96"/>
      <c r="W11" s="95"/>
      <c r="X11" s="96"/>
      <c r="Y11" s="96"/>
      <c r="Z11" s="96"/>
      <c r="AA11" s="97"/>
      <c r="AB11" s="103" t="s">
        <v>207</v>
      </c>
      <c r="AC11" s="103"/>
      <c r="AD11" s="103"/>
      <c r="AE11" s="103"/>
      <c r="AF11" s="103"/>
      <c r="AG11" s="104" t="s">
        <v>294</v>
      </c>
      <c r="AH11" s="105"/>
      <c r="AI11" s="105"/>
      <c r="AJ11" s="105"/>
      <c r="AK11" s="105"/>
      <c r="AL11" s="106"/>
      <c r="AM11" s="107" t="s">
        <v>294</v>
      </c>
      <c r="AN11" s="103"/>
      <c r="AO11" s="103"/>
      <c r="AP11" s="103"/>
      <c r="AQ11" s="103"/>
      <c r="AR11" s="103"/>
      <c r="AS11" s="108"/>
      <c r="AT11" s="103" t="s">
        <v>294</v>
      </c>
      <c r="AU11" s="103"/>
      <c r="AV11" s="103"/>
      <c r="AW11" s="103"/>
      <c r="AX11" s="103"/>
      <c r="AY11" s="107" t="s">
        <v>294</v>
      </c>
      <c r="AZ11" s="103"/>
      <c r="BA11" s="103"/>
      <c r="BB11" s="103"/>
      <c r="BC11" s="108"/>
      <c r="BD11" s="103" t="s">
        <v>294</v>
      </c>
      <c r="BE11" s="103"/>
      <c r="BF11" s="103"/>
      <c r="BG11" s="103"/>
      <c r="BH11" s="103"/>
      <c r="BI11" s="104" t="s">
        <v>294</v>
      </c>
      <c r="BJ11" s="105"/>
      <c r="BK11" s="105"/>
      <c r="BL11" s="105"/>
      <c r="BM11" s="106"/>
    </row>
    <row r="12" spans="1:65" ht="85.5" x14ac:dyDescent="0.2">
      <c r="A12" s="30" t="s">
        <v>114</v>
      </c>
      <c r="B12" s="31"/>
      <c r="C12" s="21"/>
      <c r="D12" s="22"/>
      <c r="E12" s="22"/>
      <c r="F12" s="22"/>
      <c r="G12" s="23"/>
      <c r="H12" s="22"/>
      <c r="I12" s="22"/>
      <c r="J12" s="22"/>
      <c r="K12" s="22"/>
      <c r="L12" s="22"/>
      <c r="M12" s="21"/>
      <c r="N12" s="22"/>
      <c r="O12" s="22"/>
      <c r="P12" s="22"/>
      <c r="Q12" s="23"/>
      <c r="R12" s="22"/>
      <c r="S12" s="22"/>
      <c r="T12" s="22"/>
      <c r="U12" s="22"/>
      <c r="V12" s="22"/>
      <c r="W12" s="21"/>
      <c r="X12" s="22"/>
      <c r="Y12" s="22"/>
      <c r="Z12" s="22"/>
      <c r="AA12" s="23"/>
      <c r="AB12" s="64" t="s">
        <v>198</v>
      </c>
      <c r="AC12" s="64" t="s">
        <v>199</v>
      </c>
      <c r="AD12" s="64" t="s">
        <v>201</v>
      </c>
      <c r="AE12" s="64" t="s">
        <v>203</v>
      </c>
      <c r="AF12" s="64" t="s">
        <v>205</v>
      </c>
      <c r="AG12" s="65" t="s">
        <v>223</v>
      </c>
      <c r="AH12" s="64" t="s">
        <v>226</v>
      </c>
      <c r="AI12" s="64" t="s">
        <v>229</v>
      </c>
      <c r="AJ12" s="64" t="s">
        <v>231</v>
      </c>
      <c r="AK12" s="64" t="s">
        <v>235</v>
      </c>
      <c r="AL12" s="66" t="s">
        <v>238</v>
      </c>
      <c r="AM12" s="65" t="s">
        <v>223</v>
      </c>
      <c r="AN12" s="64" t="s">
        <v>226</v>
      </c>
      <c r="AO12" s="64" t="s">
        <v>247</v>
      </c>
      <c r="AP12" s="64" t="s">
        <v>229</v>
      </c>
      <c r="AQ12" s="64" t="s">
        <v>231</v>
      </c>
      <c r="AR12" s="64" t="s">
        <v>253</v>
      </c>
      <c r="AS12" s="66" t="s">
        <v>256</v>
      </c>
      <c r="AT12" s="64" t="s">
        <v>263</v>
      </c>
      <c r="AU12" s="64" t="s">
        <v>226</v>
      </c>
      <c r="AV12" s="64" t="s">
        <v>267</v>
      </c>
      <c r="AW12" s="64" t="s">
        <v>253</v>
      </c>
      <c r="AX12" s="66" t="s">
        <v>256</v>
      </c>
      <c r="AY12" s="64" t="s">
        <v>276</v>
      </c>
      <c r="AZ12" s="64" t="s">
        <v>277</v>
      </c>
      <c r="BA12" s="64" t="s">
        <v>278</v>
      </c>
      <c r="BB12" s="64" t="s">
        <v>279</v>
      </c>
      <c r="BC12" s="66" t="s">
        <v>281</v>
      </c>
      <c r="BD12" s="64" t="s">
        <v>276</v>
      </c>
      <c r="BE12" s="64" t="s">
        <v>277</v>
      </c>
      <c r="BF12" s="64" t="s">
        <v>278</v>
      </c>
      <c r="BG12" s="64" t="s">
        <v>279</v>
      </c>
      <c r="BH12" s="64" t="s">
        <v>281</v>
      </c>
      <c r="BI12" s="65" t="s">
        <v>276</v>
      </c>
      <c r="BJ12" s="64" t="s">
        <v>277</v>
      </c>
      <c r="BK12" s="64" t="s">
        <v>278</v>
      </c>
      <c r="BL12" s="64" t="s">
        <v>279</v>
      </c>
      <c r="BM12" s="66" t="s">
        <v>281</v>
      </c>
    </row>
    <row r="13" spans="1:65" ht="213.75" x14ac:dyDescent="0.2">
      <c r="A13" s="30"/>
      <c r="B13" s="31" t="s">
        <v>105</v>
      </c>
      <c r="C13" s="21"/>
      <c r="D13" s="22"/>
      <c r="E13" s="22"/>
      <c r="F13" s="22"/>
      <c r="G13" s="23"/>
      <c r="H13" s="22"/>
      <c r="I13" s="22"/>
      <c r="J13" s="22"/>
      <c r="K13" s="22"/>
      <c r="L13" s="22"/>
      <c r="M13" s="21"/>
      <c r="N13" s="22"/>
      <c r="O13" s="22"/>
      <c r="P13" s="22"/>
      <c r="Q13" s="23"/>
      <c r="R13" s="22"/>
      <c r="S13" s="22"/>
      <c r="T13" s="22"/>
      <c r="U13" s="22"/>
      <c r="V13" s="22"/>
      <c r="W13" s="21"/>
      <c r="X13" s="22"/>
      <c r="Y13" s="22"/>
      <c r="Z13" s="22"/>
      <c r="AA13" s="23"/>
      <c r="AB13" s="64" t="s">
        <v>209</v>
      </c>
      <c r="AC13" s="64" t="s">
        <v>200</v>
      </c>
      <c r="AD13" s="64" t="s">
        <v>202</v>
      </c>
      <c r="AE13" s="64" t="s">
        <v>204</v>
      </c>
      <c r="AF13" s="64" t="s">
        <v>206</v>
      </c>
      <c r="AG13" s="65" t="s">
        <v>224</v>
      </c>
      <c r="AH13" s="64" t="s">
        <v>228</v>
      </c>
      <c r="AI13" s="64" t="s">
        <v>230</v>
      </c>
      <c r="AJ13" s="64" t="s">
        <v>232</v>
      </c>
      <c r="AK13" s="64" t="s">
        <v>236</v>
      </c>
      <c r="AL13" s="66" t="s">
        <v>239</v>
      </c>
      <c r="AM13" s="65" t="s">
        <v>244</v>
      </c>
      <c r="AN13" s="64" t="s">
        <v>245</v>
      </c>
      <c r="AO13" s="64" t="s">
        <v>249</v>
      </c>
      <c r="AP13" s="64" t="s">
        <v>250</v>
      </c>
      <c r="AQ13" s="64" t="s">
        <v>252</v>
      </c>
      <c r="AR13" s="64" t="s">
        <v>254</v>
      </c>
      <c r="AS13" s="66" t="s">
        <v>257</v>
      </c>
      <c r="AT13" s="64" t="s">
        <v>264</v>
      </c>
      <c r="AU13" s="64" t="s">
        <v>266</v>
      </c>
      <c r="AV13" s="64" t="s">
        <v>269</v>
      </c>
      <c r="AW13" s="64" t="s">
        <v>254</v>
      </c>
      <c r="AX13" s="66" t="s">
        <v>282</v>
      </c>
      <c r="AY13" s="64" t="s">
        <v>284</v>
      </c>
      <c r="AZ13" s="64" t="s">
        <v>266</v>
      </c>
      <c r="BA13" s="64" t="s">
        <v>269</v>
      </c>
      <c r="BB13" s="64" t="s">
        <v>280</v>
      </c>
      <c r="BC13" s="66" t="s">
        <v>283</v>
      </c>
      <c r="BD13" s="64" t="s">
        <v>284</v>
      </c>
      <c r="BE13" s="64" t="s">
        <v>266</v>
      </c>
      <c r="BF13" s="64" t="s">
        <v>269</v>
      </c>
      <c r="BG13" s="64" t="s">
        <v>297</v>
      </c>
      <c r="BH13" s="64" t="s">
        <v>299</v>
      </c>
      <c r="BI13" s="65" t="s">
        <v>284</v>
      </c>
      <c r="BJ13" s="64" t="s">
        <v>266</v>
      </c>
      <c r="BK13" s="64" t="s">
        <v>269</v>
      </c>
      <c r="BL13" s="64" t="s">
        <v>297</v>
      </c>
      <c r="BM13" s="66" t="s">
        <v>299</v>
      </c>
    </row>
    <row r="14" spans="1:65" ht="409.5" x14ac:dyDescent="0.2">
      <c r="A14" s="30"/>
      <c r="B14" s="31" t="s">
        <v>104</v>
      </c>
      <c r="C14" s="21"/>
      <c r="D14" s="22"/>
      <c r="E14" s="22"/>
      <c r="F14" s="22"/>
      <c r="G14" s="23"/>
      <c r="H14" s="22"/>
      <c r="I14" s="22"/>
      <c r="J14" s="22"/>
      <c r="K14" s="22"/>
      <c r="L14" s="22"/>
      <c r="M14" s="21"/>
      <c r="N14" s="22"/>
      <c r="O14" s="22"/>
      <c r="P14" s="22"/>
      <c r="Q14" s="23"/>
      <c r="R14" s="22"/>
      <c r="S14" s="22"/>
      <c r="T14" s="22"/>
      <c r="U14" s="22"/>
      <c r="V14" s="22"/>
      <c r="W14" s="21"/>
      <c r="X14" s="22"/>
      <c r="Y14" s="22"/>
      <c r="Z14" s="22"/>
      <c r="AA14" s="23"/>
      <c r="AB14" s="64" t="s">
        <v>208</v>
      </c>
      <c r="AC14" s="64" t="s">
        <v>210</v>
      </c>
      <c r="AD14" s="64" t="s">
        <v>211</v>
      </c>
      <c r="AE14" s="64" t="s">
        <v>212</v>
      </c>
      <c r="AF14" s="64" t="s">
        <v>213</v>
      </c>
      <c r="AG14" s="65" t="s">
        <v>225</v>
      </c>
      <c r="AH14" s="64" t="s">
        <v>227</v>
      </c>
      <c r="AI14" s="64" t="s">
        <v>234</v>
      </c>
      <c r="AJ14" s="64" t="s">
        <v>233</v>
      </c>
      <c r="AK14" s="64" t="s">
        <v>237</v>
      </c>
      <c r="AL14" s="66" t="s">
        <v>240</v>
      </c>
      <c r="AM14" s="65" t="s">
        <v>225</v>
      </c>
      <c r="AN14" s="64" t="s">
        <v>246</v>
      </c>
      <c r="AO14" s="64" t="s">
        <v>248</v>
      </c>
      <c r="AP14" s="64" t="s">
        <v>251</v>
      </c>
      <c r="AQ14" s="64" t="s">
        <v>233</v>
      </c>
      <c r="AR14" s="64" t="s">
        <v>255</v>
      </c>
      <c r="AS14" s="66" t="s">
        <v>258</v>
      </c>
      <c r="AT14" s="64" t="s">
        <v>265</v>
      </c>
      <c r="AU14" s="64" t="s">
        <v>268</v>
      </c>
      <c r="AV14" s="64" t="s">
        <v>270</v>
      </c>
      <c r="AW14" s="64" t="s">
        <v>271</v>
      </c>
      <c r="AX14" s="66" t="s">
        <v>272</v>
      </c>
      <c r="AY14" s="65" t="s">
        <v>285</v>
      </c>
      <c r="AZ14" s="64" t="s">
        <v>286</v>
      </c>
      <c r="BA14" s="64" t="s">
        <v>287</v>
      </c>
      <c r="BB14" s="64" t="s">
        <v>288</v>
      </c>
      <c r="BC14" s="66" t="s">
        <v>289</v>
      </c>
      <c r="BD14" s="64" t="s">
        <v>304</v>
      </c>
      <c r="BE14" s="64" t="s">
        <v>295</v>
      </c>
      <c r="BF14" s="64" t="s">
        <v>296</v>
      </c>
      <c r="BG14" s="64" t="s">
        <v>298</v>
      </c>
      <c r="BH14" s="64" t="s">
        <v>300</v>
      </c>
      <c r="BI14" s="65" t="s">
        <v>305</v>
      </c>
      <c r="BJ14" s="64" t="s">
        <v>306</v>
      </c>
      <c r="BK14" s="64" t="s">
        <v>307</v>
      </c>
      <c r="BL14" s="64" t="s">
        <v>308</v>
      </c>
      <c r="BM14" s="66" t="s">
        <v>309</v>
      </c>
    </row>
    <row r="15" spans="1:65" x14ac:dyDescent="0.2">
      <c r="A15" s="30"/>
      <c r="B15" s="31"/>
      <c r="C15" s="21"/>
      <c r="D15" s="22"/>
      <c r="E15" s="22"/>
      <c r="F15" s="22"/>
      <c r="G15" s="23"/>
      <c r="H15" s="22"/>
      <c r="I15" s="22"/>
      <c r="J15" s="22"/>
      <c r="K15" s="22"/>
      <c r="L15" s="22"/>
      <c r="M15" s="21"/>
      <c r="N15" s="22"/>
      <c r="O15" s="22"/>
      <c r="P15" s="22"/>
      <c r="Q15" s="23"/>
      <c r="R15" s="22"/>
      <c r="S15" s="22"/>
      <c r="T15" s="22"/>
      <c r="U15" s="22"/>
      <c r="V15" s="22"/>
      <c r="W15" s="21"/>
      <c r="X15" s="22"/>
      <c r="Y15" s="22"/>
      <c r="Z15" s="22"/>
      <c r="AA15" s="23"/>
      <c r="AB15" s="22"/>
      <c r="AC15" s="22"/>
      <c r="AD15" s="22"/>
      <c r="AE15" s="22"/>
      <c r="AF15" s="22"/>
      <c r="AG15" s="21"/>
      <c r="AH15" s="22"/>
      <c r="AI15" s="22"/>
      <c r="AJ15" s="22"/>
      <c r="AK15" s="22"/>
      <c r="AL15" s="23"/>
      <c r="AM15" s="21"/>
      <c r="AN15" s="22"/>
      <c r="AO15" s="22"/>
      <c r="AP15" s="22"/>
      <c r="AQ15" s="22"/>
      <c r="AR15" s="22"/>
      <c r="AS15" s="23"/>
      <c r="AT15" s="22"/>
      <c r="AU15" s="22"/>
      <c r="AV15" s="22"/>
      <c r="AW15" s="22"/>
      <c r="AX15" s="22"/>
      <c r="AY15" s="21"/>
      <c r="AZ15" s="22"/>
      <c r="BA15" s="22"/>
      <c r="BB15" s="22"/>
      <c r="BC15" s="23"/>
      <c r="BD15" s="22"/>
      <c r="BE15" s="22"/>
      <c r="BF15" s="22"/>
      <c r="BG15" s="22"/>
      <c r="BH15" s="22"/>
      <c r="BI15" s="21"/>
      <c r="BJ15" s="22"/>
      <c r="BK15" s="22"/>
      <c r="BL15" s="22"/>
      <c r="BM15" s="23"/>
    </row>
    <row r="16" spans="1:65" s="69" customFormat="1" x14ac:dyDescent="0.2">
      <c r="A16" s="67"/>
      <c r="B16" s="68"/>
      <c r="C16" s="65"/>
      <c r="D16" s="64"/>
      <c r="E16" s="64"/>
      <c r="F16" s="64"/>
      <c r="G16" s="66"/>
      <c r="H16" s="64"/>
      <c r="I16" s="64"/>
      <c r="J16" s="64"/>
      <c r="K16" s="64"/>
      <c r="L16" s="64"/>
      <c r="M16" s="65"/>
      <c r="N16" s="64"/>
      <c r="O16" s="64"/>
      <c r="P16" s="64"/>
      <c r="Q16" s="66"/>
      <c r="R16" s="64"/>
      <c r="S16" s="64"/>
      <c r="T16" s="64"/>
      <c r="U16" s="64"/>
      <c r="V16" s="64"/>
      <c r="W16" s="65"/>
      <c r="X16" s="64"/>
      <c r="Y16" s="64"/>
      <c r="Z16" s="64"/>
      <c r="AA16" s="66"/>
      <c r="AB16" s="64"/>
      <c r="AC16" s="64"/>
      <c r="AD16" s="64"/>
      <c r="AE16" s="64"/>
      <c r="AF16" s="64"/>
      <c r="AG16" s="65"/>
      <c r="AH16" s="64"/>
      <c r="AI16" s="64"/>
      <c r="AJ16" s="64"/>
      <c r="AK16" s="64"/>
      <c r="AL16" s="66"/>
      <c r="AM16" s="65"/>
      <c r="AN16" s="64"/>
      <c r="AO16" s="64"/>
      <c r="AP16" s="64"/>
      <c r="AQ16" s="64"/>
      <c r="AR16" s="64"/>
      <c r="AS16" s="66"/>
      <c r="AT16" s="64"/>
      <c r="AU16" s="64"/>
      <c r="AV16" s="64"/>
      <c r="AW16" s="64"/>
      <c r="AX16" s="64"/>
      <c r="AY16" s="65"/>
      <c r="AZ16" s="64"/>
      <c r="BA16" s="64"/>
      <c r="BB16" s="64"/>
      <c r="BC16" s="66"/>
      <c r="BD16" s="64"/>
      <c r="BE16" s="64"/>
      <c r="BF16" s="64"/>
      <c r="BG16" s="64"/>
      <c r="BH16" s="64"/>
      <c r="BI16" s="83"/>
      <c r="BJ16" s="84"/>
      <c r="BK16" s="84"/>
      <c r="BL16" s="84"/>
      <c r="BM16" s="85"/>
    </row>
    <row r="17" spans="1:65" ht="30" customHeight="1" x14ac:dyDescent="0.2">
      <c r="A17" s="70" t="s">
        <v>119</v>
      </c>
      <c r="B17" s="71"/>
      <c r="C17" s="115"/>
      <c r="D17" s="116"/>
      <c r="E17" s="116"/>
      <c r="F17" s="116"/>
      <c r="G17" s="117"/>
      <c r="H17" s="116"/>
      <c r="I17" s="116"/>
      <c r="J17" s="116"/>
      <c r="K17" s="116"/>
      <c r="L17" s="116"/>
      <c r="M17" s="115"/>
      <c r="N17" s="116"/>
      <c r="O17" s="116"/>
      <c r="P17" s="116"/>
      <c r="Q17" s="117"/>
      <c r="R17" s="113"/>
      <c r="S17" s="113"/>
      <c r="T17" s="113"/>
      <c r="U17" s="113"/>
      <c r="V17" s="113"/>
      <c r="W17" s="112"/>
      <c r="X17" s="113"/>
      <c r="Y17" s="113"/>
      <c r="Z17" s="113"/>
      <c r="AA17" s="114"/>
      <c r="AB17" s="116" t="s">
        <v>220</v>
      </c>
      <c r="AC17" s="116"/>
      <c r="AD17" s="116"/>
      <c r="AE17" s="116"/>
      <c r="AF17" s="116"/>
      <c r="AG17" s="115" t="s">
        <v>222</v>
      </c>
      <c r="AH17" s="116"/>
      <c r="AI17" s="116"/>
      <c r="AJ17" s="116"/>
      <c r="AK17" s="116"/>
      <c r="AL17" s="117"/>
      <c r="AM17" s="115" t="s">
        <v>222</v>
      </c>
      <c r="AN17" s="116"/>
      <c r="AO17" s="116"/>
      <c r="AP17" s="116"/>
      <c r="AQ17" s="116"/>
      <c r="AR17" s="116"/>
      <c r="AS17" s="117"/>
      <c r="AT17" s="116" t="s">
        <v>222</v>
      </c>
      <c r="AU17" s="116"/>
      <c r="AV17" s="116"/>
      <c r="AW17" s="116"/>
      <c r="AX17" s="116"/>
      <c r="AY17" s="115" t="s">
        <v>222</v>
      </c>
      <c r="AZ17" s="116"/>
      <c r="BA17" s="116"/>
      <c r="BB17" s="116"/>
      <c r="BC17" s="117"/>
      <c r="BD17" s="116" t="s">
        <v>222</v>
      </c>
      <c r="BE17" s="116"/>
      <c r="BF17" s="116"/>
      <c r="BG17" s="116"/>
      <c r="BH17" s="116"/>
      <c r="BI17" s="115"/>
      <c r="BJ17" s="116"/>
      <c r="BK17" s="116"/>
      <c r="BL17" s="116"/>
      <c r="BM17" s="117"/>
    </row>
    <row r="18" spans="1:65" x14ac:dyDescent="0.2">
      <c r="A18" s="98" t="s">
        <v>214</v>
      </c>
      <c r="B18" s="99"/>
      <c r="C18" s="49"/>
      <c r="D18" s="50"/>
      <c r="E18" s="50"/>
      <c r="F18" s="50"/>
      <c r="G18" s="51"/>
      <c r="H18" s="50"/>
      <c r="I18" s="50"/>
      <c r="J18" s="50"/>
      <c r="K18" s="50"/>
      <c r="L18" s="50"/>
      <c r="M18" s="49"/>
      <c r="N18" s="50"/>
      <c r="O18" s="50"/>
      <c r="P18" s="50"/>
      <c r="Q18" s="51"/>
      <c r="R18" s="50"/>
      <c r="S18" s="50"/>
      <c r="T18" s="50"/>
      <c r="U18" s="50"/>
      <c r="V18" s="50"/>
      <c r="W18" s="49"/>
      <c r="X18" s="50"/>
      <c r="Y18" s="50"/>
      <c r="Z18" s="50"/>
      <c r="AA18" s="51"/>
      <c r="AB18" s="50"/>
      <c r="AC18" s="50"/>
      <c r="AD18" s="50"/>
      <c r="AE18" s="50"/>
      <c r="AF18" s="50"/>
      <c r="AG18" s="49"/>
      <c r="AH18" s="50"/>
      <c r="AI18" s="50"/>
      <c r="AJ18" s="50"/>
      <c r="AK18" s="50"/>
      <c r="AL18" s="51"/>
      <c r="AM18" s="49"/>
      <c r="AN18" s="50"/>
      <c r="AO18" s="50"/>
      <c r="AP18" s="50"/>
      <c r="AQ18" s="50"/>
      <c r="AR18" s="50"/>
      <c r="AS18" s="51"/>
      <c r="AT18" s="50"/>
      <c r="AU18" s="50"/>
      <c r="AV18" s="50"/>
      <c r="AW18" s="50"/>
      <c r="AX18" s="50"/>
      <c r="AY18" s="49"/>
      <c r="AZ18" s="50"/>
      <c r="BA18" s="50"/>
      <c r="BB18" s="50"/>
      <c r="BC18" s="51"/>
      <c r="BD18" s="50"/>
      <c r="BE18" s="50"/>
      <c r="BF18" s="50"/>
      <c r="BG18" s="50"/>
      <c r="BH18" s="50"/>
      <c r="BI18" s="25"/>
      <c r="BJ18" s="26"/>
      <c r="BK18" s="26"/>
      <c r="BL18" s="26"/>
      <c r="BM18" s="27"/>
    </row>
    <row r="19" spans="1:65" ht="276" customHeight="1" x14ac:dyDescent="0.2">
      <c r="A19" s="93"/>
      <c r="B19" s="94"/>
      <c r="C19" s="90" t="s">
        <v>215</v>
      </c>
      <c r="D19" s="91"/>
      <c r="E19" s="91"/>
      <c r="F19" s="91"/>
      <c r="G19" s="92"/>
      <c r="H19" s="90" t="s">
        <v>215</v>
      </c>
      <c r="I19" s="91"/>
      <c r="J19" s="91"/>
      <c r="K19" s="91"/>
      <c r="L19" s="92"/>
      <c r="M19" s="90" t="s">
        <v>215</v>
      </c>
      <c r="N19" s="91"/>
      <c r="O19" s="91"/>
      <c r="P19" s="91"/>
      <c r="Q19" s="92"/>
      <c r="R19" s="90" t="s">
        <v>215</v>
      </c>
      <c r="S19" s="91"/>
      <c r="T19" s="91"/>
      <c r="U19" s="91"/>
      <c r="V19" s="92"/>
      <c r="W19" s="90" t="s">
        <v>215</v>
      </c>
      <c r="X19" s="91"/>
      <c r="Y19" s="91"/>
      <c r="Z19" s="91"/>
      <c r="AA19" s="92"/>
      <c r="AB19" s="90" t="s">
        <v>221</v>
      </c>
      <c r="AC19" s="91"/>
      <c r="AD19" s="91"/>
      <c r="AE19" s="91"/>
      <c r="AF19" s="91"/>
      <c r="AG19" s="90" t="s">
        <v>241</v>
      </c>
      <c r="AH19" s="91"/>
      <c r="AI19" s="91"/>
      <c r="AJ19" s="91"/>
      <c r="AK19" s="91"/>
      <c r="AL19" s="92"/>
      <c r="AM19" s="90" t="s">
        <v>262</v>
      </c>
      <c r="AN19" s="91"/>
      <c r="AO19" s="91"/>
      <c r="AP19" s="91"/>
      <c r="AQ19" s="91"/>
      <c r="AR19" s="91"/>
      <c r="AS19" s="92"/>
      <c r="AT19" s="91" t="s">
        <v>273</v>
      </c>
      <c r="AU19" s="91"/>
      <c r="AV19" s="91"/>
      <c r="AW19" s="91"/>
      <c r="AX19" s="91"/>
      <c r="AY19" s="90" t="s">
        <v>291</v>
      </c>
      <c r="AZ19" s="91"/>
      <c r="BA19" s="91"/>
      <c r="BB19" s="91"/>
      <c r="BC19" s="92"/>
      <c r="BD19" s="91" t="s">
        <v>301</v>
      </c>
      <c r="BE19" s="91"/>
      <c r="BF19" s="91"/>
      <c r="BG19" s="91"/>
      <c r="BH19" s="91"/>
      <c r="BI19" s="90" t="s">
        <v>310</v>
      </c>
      <c r="BJ19" s="91"/>
      <c r="BK19" s="91"/>
      <c r="BL19" s="91"/>
      <c r="BM19" s="92"/>
    </row>
    <row r="20" spans="1:65" s="69" customFormat="1" x14ac:dyDescent="0.2">
      <c r="A20" s="67"/>
      <c r="B20" s="68"/>
      <c r="C20" s="65"/>
      <c r="D20" s="64"/>
      <c r="E20" s="64"/>
      <c r="F20" s="64"/>
      <c r="G20" s="66"/>
      <c r="H20" s="64"/>
      <c r="I20" s="64"/>
      <c r="J20" s="64"/>
      <c r="K20" s="64"/>
      <c r="L20" s="64"/>
      <c r="M20" s="65"/>
      <c r="N20" s="64"/>
      <c r="O20" s="64"/>
      <c r="P20" s="64"/>
      <c r="Q20" s="66"/>
      <c r="R20" s="64"/>
      <c r="S20" s="64"/>
      <c r="T20" s="64"/>
      <c r="U20" s="64"/>
      <c r="V20" s="64"/>
      <c r="W20" s="65"/>
      <c r="X20" s="64"/>
      <c r="Y20" s="64"/>
      <c r="Z20" s="64"/>
      <c r="AA20" s="66"/>
      <c r="AB20" s="64"/>
      <c r="AC20" s="64"/>
      <c r="AD20" s="64"/>
      <c r="AE20" s="64"/>
      <c r="AF20" s="64"/>
      <c r="AG20" s="65"/>
      <c r="AH20" s="64"/>
      <c r="AI20" s="64"/>
      <c r="AJ20" s="64"/>
      <c r="AK20" s="64"/>
      <c r="AL20" s="66"/>
      <c r="AM20" s="65"/>
      <c r="AN20" s="64"/>
      <c r="AO20" s="64"/>
      <c r="AP20" s="64"/>
      <c r="AQ20" s="64"/>
      <c r="AR20" s="64"/>
      <c r="AS20" s="66"/>
      <c r="AT20" s="64"/>
      <c r="AU20" s="64"/>
      <c r="AV20" s="64"/>
      <c r="AW20" s="64"/>
      <c r="AX20" s="64"/>
      <c r="AY20" s="65"/>
      <c r="AZ20" s="64"/>
      <c r="BA20" s="64"/>
      <c r="BB20" s="64"/>
      <c r="BC20" s="66"/>
      <c r="BD20" s="64"/>
      <c r="BE20" s="64"/>
      <c r="BF20" s="64"/>
      <c r="BG20" s="64"/>
      <c r="BH20" s="64"/>
      <c r="BI20" s="65"/>
      <c r="BJ20" s="64"/>
      <c r="BK20" s="64"/>
      <c r="BL20" s="64"/>
      <c r="BM20" s="66"/>
    </row>
    <row r="21" spans="1:65" s="69" customFormat="1" x14ac:dyDescent="0.2">
      <c r="A21" s="67"/>
      <c r="B21" s="68"/>
      <c r="C21" s="65"/>
      <c r="D21" s="64"/>
      <c r="E21" s="64"/>
      <c r="F21" s="64"/>
      <c r="G21" s="66"/>
      <c r="H21" s="64"/>
      <c r="I21" s="64"/>
      <c r="J21" s="64"/>
      <c r="K21" s="64"/>
      <c r="L21" s="64"/>
      <c r="M21" s="65"/>
      <c r="N21" s="64"/>
      <c r="O21" s="64"/>
      <c r="P21" s="64"/>
      <c r="Q21" s="66"/>
      <c r="R21" s="64"/>
      <c r="S21" s="64"/>
      <c r="T21" s="64"/>
      <c r="U21" s="64"/>
      <c r="V21" s="64"/>
      <c r="W21" s="65"/>
      <c r="X21" s="64"/>
      <c r="Y21" s="64"/>
      <c r="Z21" s="64"/>
      <c r="AA21" s="66"/>
      <c r="AB21" s="64"/>
      <c r="AC21" s="64"/>
      <c r="AD21" s="64"/>
      <c r="AE21" s="64"/>
      <c r="AF21" s="64"/>
      <c r="AG21" s="65"/>
      <c r="AH21" s="64"/>
      <c r="AI21" s="64"/>
      <c r="AJ21" s="64"/>
      <c r="AK21" s="64"/>
      <c r="AL21" s="66"/>
      <c r="AM21" s="65"/>
      <c r="AN21" s="64"/>
      <c r="AO21" s="64"/>
      <c r="AP21" s="64"/>
      <c r="AQ21" s="64"/>
      <c r="AR21" s="64"/>
      <c r="AS21" s="66"/>
      <c r="AT21" s="64"/>
      <c r="AU21" s="64"/>
      <c r="AV21" s="64"/>
      <c r="AW21" s="64"/>
      <c r="AX21" s="64"/>
      <c r="AY21" s="65"/>
      <c r="AZ21" s="64"/>
      <c r="BA21" s="64"/>
      <c r="BB21" s="64"/>
      <c r="BC21" s="66"/>
      <c r="BD21" s="64"/>
      <c r="BE21" s="64"/>
      <c r="BF21" s="64"/>
      <c r="BG21" s="64"/>
      <c r="BH21" s="64"/>
      <c r="BI21" s="65"/>
      <c r="BJ21" s="64"/>
      <c r="BK21" s="64"/>
      <c r="BL21" s="64"/>
      <c r="BM21" s="66"/>
    </row>
    <row r="22" spans="1:65" s="69" customFormat="1" ht="121.5" customHeight="1" x14ac:dyDescent="0.2">
      <c r="A22" s="93" t="s">
        <v>216</v>
      </c>
      <c r="B22" s="94"/>
      <c r="C22" s="90" t="s">
        <v>215</v>
      </c>
      <c r="D22" s="91"/>
      <c r="E22" s="91"/>
      <c r="F22" s="91"/>
      <c r="G22" s="92"/>
      <c r="H22" s="90" t="s">
        <v>215</v>
      </c>
      <c r="I22" s="91"/>
      <c r="J22" s="91"/>
      <c r="K22" s="91"/>
      <c r="L22" s="92"/>
      <c r="M22" s="90" t="s">
        <v>215</v>
      </c>
      <c r="N22" s="91"/>
      <c r="O22" s="91"/>
      <c r="P22" s="91"/>
      <c r="Q22" s="92"/>
      <c r="R22" s="90" t="s">
        <v>215</v>
      </c>
      <c r="S22" s="91"/>
      <c r="T22" s="91"/>
      <c r="U22" s="91"/>
      <c r="V22" s="92"/>
      <c r="W22" s="90" t="s">
        <v>215</v>
      </c>
      <c r="X22" s="91"/>
      <c r="Y22" s="91"/>
      <c r="Z22" s="91"/>
      <c r="AA22" s="92"/>
      <c r="AB22" s="90" t="s">
        <v>319</v>
      </c>
      <c r="AC22" s="91"/>
      <c r="AD22" s="91"/>
      <c r="AE22" s="91"/>
      <c r="AF22" s="91"/>
      <c r="AG22" s="90" t="s">
        <v>321</v>
      </c>
      <c r="AH22" s="91"/>
      <c r="AI22" s="91"/>
      <c r="AJ22" s="91"/>
      <c r="AK22" s="91"/>
      <c r="AL22" s="92"/>
      <c r="AM22" s="90" t="s">
        <v>322</v>
      </c>
      <c r="AN22" s="91"/>
      <c r="AO22" s="91"/>
      <c r="AP22" s="91"/>
      <c r="AQ22" s="91"/>
      <c r="AR22" s="91"/>
      <c r="AS22" s="92"/>
      <c r="AT22" s="91" t="s">
        <v>274</v>
      </c>
      <c r="AU22" s="91"/>
      <c r="AV22" s="91"/>
      <c r="AW22" s="91"/>
      <c r="AX22" s="91"/>
      <c r="AY22" s="90" t="s">
        <v>290</v>
      </c>
      <c r="AZ22" s="91"/>
      <c r="BA22" s="91"/>
      <c r="BB22" s="91"/>
      <c r="BC22" s="92"/>
      <c r="BD22" s="91" t="s">
        <v>326</v>
      </c>
      <c r="BE22" s="91"/>
      <c r="BF22" s="91"/>
      <c r="BG22" s="91"/>
      <c r="BH22" s="91"/>
      <c r="BI22" s="90" t="s">
        <v>311</v>
      </c>
      <c r="BJ22" s="91"/>
      <c r="BK22" s="91"/>
      <c r="BL22" s="91"/>
      <c r="BM22" s="92"/>
    </row>
    <row r="23" spans="1:65" s="69" customFormat="1" ht="133.5" customHeight="1" x14ac:dyDescent="0.2">
      <c r="A23" s="93" t="s">
        <v>217</v>
      </c>
      <c r="B23" s="94"/>
      <c r="C23" s="90" t="s">
        <v>215</v>
      </c>
      <c r="D23" s="91"/>
      <c r="E23" s="91"/>
      <c r="F23" s="91"/>
      <c r="G23" s="92"/>
      <c r="H23" s="90" t="s">
        <v>215</v>
      </c>
      <c r="I23" s="91"/>
      <c r="J23" s="91"/>
      <c r="K23" s="91"/>
      <c r="L23" s="92"/>
      <c r="M23" s="90" t="s">
        <v>215</v>
      </c>
      <c r="N23" s="91"/>
      <c r="O23" s="91"/>
      <c r="P23" s="91"/>
      <c r="Q23" s="92"/>
      <c r="R23" s="90" t="s">
        <v>215</v>
      </c>
      <c r="S23" s="91"/>
      <c r="T23" s="91"/>
      <c r="U23" s="91"/>
      <c r="V23" s="92"/>
      <c r="W23" s="90" t="s">
        <v>215</v>
      </c>
      <c r="X23" s="91"/>
      <c r="Y23" s="91"/>
      <c r="Z23" s="91"/>
      <c r="AA23" s="92"/>
      <c r="AB23" s="90" t="s">
        <v>320</v>
      </c>
      <c r="AC23" s="91"/>
      <c r="AD23" s="91"/>
      <c r="AE23" s="91"/>
      <c r="AF23" s="91"/>
      <c r="AG23" s="90" t="s">
        <v>242</v>
      </c>
      <c r="AH23" s="91"/>
      <c r="AI23" s="91"/>
      <c r="AJ23" s="91"/>
      <c r="AK23" s="91"/>
      <c r="AL23" s="92"/>
      <c r="AM23" s="90" t="s">
        <v>323</v>
      </c>
      <c r="AN23" s="91"/>
      <c r="AO23" s="91"/>
      <c r="AP23" s="91"/>
      <c r="AQ23" s="91"/>
      <c r="AR23" s="91"/>
      <c r="AS23" s="92"/>
      <c r="AT23" s="91" t="s">
        <v>324</v>
      </c>
      <c r="AU23" s="91"/>
      <c r="AV23" s="91"/>
      <c r="AW23" s="91"/>
      <c r="AX23" s="91"/>
      <c r="AY23" s="90" t="s">
        <v>325</v>
      </c>
      <c r="AZ23" s="91"/>
      <c r="BA23" s="91"/>
      <c r="BB23" s="91"/>
      <c r="BC23" s="92"/>
      <c r="BD23" s="91" t="s">
        <v>327</v>
      </c>
      <c r="BE23" s="91"/>
      <c r="BF23" s="91"/>
      <c r="BG23" s="91"/>
      <c r="BH23" s="91"/>
      <c r="BI23" s="90" t="s">
        <v>328</v>
      </c>
      <c r="BJ23" s="91"/>
      <c r="BK23" s="91"/>
      <c r="BL23" s="91"/>
      <c r="BM23" s="92"/>
    </row>
    <row r="24" spans="1:65" s="69" customFormat="1" ht="118.5" customHeight="1" x14ac:dyDescent="0.2">
      <c r="A24" s="93" t="s">
        <v>218</v>
      </c>
      <c r="B24" s="94"/>
      <c r="C24" s="90" t="s">
        <v>215</v>
      </c>
      <c r="D24" s="91"/>
      <c r="E24" s="91"/>
      <c r="F24" s="91"/>
      <c r="G24" s="92"/>
      <c r="H24" s="90" t="s">
        <v>215</v>
      </c>
      <c r="I24" s="91"/>
      <c r="J24" s="91"/>
      <c r="K24" s="91"/>
      <c r="L24" s="92"/>
      <c r="M24" s="90" t="s">
        <v>215</v>
      </c>
      <c r="N24" s="91"/>
      <c r="O24" s="91"/>
      <c r="P24" s="91"/>
      <c r="Q24" s="92"/>
      <c r="R24" s="90" t="s">
        <v>215</v>
      </c>
      <c r="S24" s="91"/>
      <c r="T24" s="91"/>
      <c r="U24" s="91"/>
      <c r="V24" s="92"/>
      <c r="W24" s="90" t="s">
        <v>215</v>
      </c>
      <c r="X24" s="91"/>
      <c r="Y24" s="91"/>
      <c r="Z24" s="91"/>
      <c r="AA24" s="92"/>
      <c r="AB24" s="90" t="s">
        <v>259</v>
      </c>
      <c r="AC24" s="91"/>
      <c r="AD24" s="91"/>
      <c r="AE24" s="91"/>
      <c r="AF24" s="91"/>
      <c r="AG24" s="90" t="s">
        <v>261</v>
      </c>
      <c r="AH24" s="91"/>
      <c r="AI24" s="91"/>
      <c r="AJ24" s="91"/>
      <c r="AK24" s="91"/>
      <c r="AL24" s="92"/>
      <c r="AM24" s="90" t="s">
        <v>260</v>
      </c>
      <c r="AN24" s="91"/>
      <c r="AO24" s="91"/>
      <c r="AP24" s="91"/>
      <c r="AQ24" s="91"/>
      <c r="AR24" s="91"/>
      <c r="AS24" s="92"/>
      <c r="AT24" s="91" t="s">
        <v>275</v>
      </c>
      <c r="AU24" s="91"/>
      <c r="AV24" s="91"/>
      <c r="AW24" s="91"/>
      <c r="AX24" s="91"/>
      <c r="AY24" s="91" t="s">
        <v>292</v>
      </c>
      <c r="AZ24" s="91"/>
      <c r="BA24" s="91"/>
      <c r="BB24" s="91"/>
      <c r="BC24" s="91"/>
      <c r="BD24" s="91" t="s">
        <v>292</v>
      </c>
      <c r="BE24" s="91"/>
      <c r="BF24" s="91"/>
      <c r="BG24" s="91"/>
      <c r="BH24" s="91"/>
      <c r="BI24" s="90" t="s">
        <v>292</v>
      </c>
      <c r="BJ24" s="91"/>
      <c r="BK24" s="91"/>
      <c r="BL24" s="91"/>
      <c r="BM24" s="92"/>
    </row>
    <row r="25" spans="1:65" s="69" customFormat="1" x14ac:dyDescent="0.2">
      <c r="A25" s="67"/>
      <c r="B25" s="68"/>
      <c r="C25" s="65"/>
      <c r="D25" s="64"/>
      <c r="E25" s="64"/>
      <c r="F25" s="64"/>
      <c r="G25" s="66"/>
      <c r="H25" s="64"/>
      <c r="I25" s="64"/>
      <c r="J25" s="64"/>
      <c r="K25" s="64"/>
      <c r="L25" s="64"/>
      <c r="M25" s="65"/>
      <c r="N25" s="64"/>
      <c r="O25" s="64"/>
      <c r="P25" s="64"/>
      <c r="Q25" s="66"/>
      <c r="R25" s="64"/>
      <c r="S25" s="64"/>
      <c r="T25" s="64"/>
      <c r="U25" s="64"/>
      <c r="V25" s="64"/>
      <c r="W25" s="65"/>
      <c r="X25" s="64"/>
      <c r="Y25" s="64"/>
      <c r="Z25" s="64"/>
      <c r="AA25" s="66"/>
      <c r="AB25" s="64"/>
      <c r="AC25" s="64"/>
      <c r="AD25" s="64"/>
      <c r="AE25" s="64"/>
      <c r="AF25" s="64"/>
      <c r="AG25" s="65"/>
      <c r="AH25" s="64"/>
      <c r="AI25" s="64"/>
      <c r="AJ25" s="64"/>
      <c r="AK25" s="64"/>
      <c r="AL25" s="66"/>
      <c r="AM25" s="65"/>
      <c r="AN25" s="64"/>
      <c r="AO25" s="64"/>
      <c r="AP25" s="64"/>
      <c r="AQ25" s="64"/>
      <c r="AR25" s="64"/>
      <c r="AS25" s="66"/>
      <c r="AT25" s="64"/>
      <c r="AU25" s="64"/>
      <c r="AV25" s="64"/>
      <c r="AW25" s="64"/>
      <c r="AX25" s="64"/>
      <c r="AY25" s="65"/>
      <c r="AZ25" s="64"/>
      <c r="BA25" s="64"/>
      <c r="BB25" s="64"/>
      <c r="BC25" s="66"/>
      <c r="BD25" s="64"/>
      <c r="BE25" s="64"/>
      <c r="BF25" s="64"/>
      <c r="BG25" s="64"/>
      <c r="BH25" s="64"/>
      <c r="BI25" s="65"/>
      <c r="BJ25" s="64"/>
      <c r="BK25" s="64"/>
      <c r="BL25" s="64"/>
      <c r="BM25" s="66"/>
    </row>
    <row r="26" spans="1:65" hidden="1" x14ac:dyDescent="0.2">
      <c r="A26" s="30"/>
      <c r="B26" s="31"/>
      <c r="C26" s="21"/>
      <c r="D26" s="22"/>
      <c r="E26" s="22"/>
      <c r="F26" s="22"/>
      <c r="G26" s="23"/>
      <c r="H26" s="22"/>
      <c r="I26" s="22"/>
      <c r="J26" s="22"/>
      <c r="K26" s="22"/>
      <c r="L26" s="22"/>
      <c r="M26" s="21"/>
      <c r="N26" s="22"/>
      <c r="O26" s="22"/>
      <c r="P26" s="22"/>
      <c r="Q26" s="23"/>
      <c r="R26" s="22"/>
      <c r="S26" s="22"/>
      <c r="T26" s="22"/>
      <c r="U26" s="22"/>
      <c r="V26" s="22"/>
      <c r="W26" s="21"/>
      <c r="X26" s="22"/>
      <c r="Y26" s="22"/>
      <c r="Z26" s="22"/>
      <c r="AA26" s="23"/>
      <c r="AB26" s="22"/>
      <c r="AC26" s="22"/>
      <c r="AD26" s="22"/>
      <c r="AE26" s="22"/>
      <c r="AF26" s="22"/>
      <c r="AG26" s="21"/>
      <c r="AH26" s="22"/>
      <c r="AI26" s="22"/>
      <c r="AJ26" s="22"/>
      <c r="AK26" s="22"/>
      <c r="AL26" s="23"/>
      <c r="AM26" s="21"/>
      <c r="AN26" s="22"/>
      <c r="AO26" s="22"/>
      <c r="AP26" s="22"/>
      <c r="AQ26" s="22"/>
      <c r="AR26" s="22"/>
      <c r="AS26" s="23"/>
      <c r="AT26" s="22"/>
      <c r="AU26" s="22"/>
      <c r="AV26" s="22"/>
      <c r="AW26" s="22"/>
      <c r="AX26" s="22"/>
      <c r="AY26" s="21"/>
      <c r="AZ26" s="22"/>
      <c r="BA26" s="22"/>
      <c r="BB26" s="22"/>
      <c r="BC26" s="23"/>
      <c r="BD26" s="22"/>
      <c r="BE26" s="22"/>
      <c r="BF26" s="22"/>
      <c r="BG26" s="22"/>
      <c r="BH26" s="22"/>
      <c r="BI26" s="25"/>
      <c r="BJ26" s="26"/>
      <c r="BK26" s="26"/>
      <c r="BL26" s="26"/>
      <c r="BM26" s="27"/>
    </row>
    <row r="27" spans="1:65" hidden="1" x14ac:dyDescent="0.2">
      <c r="A27" s="42" t="s">
        <v>113</v>
      </c>
      <c r="B27" s="43"/>
      <c r="C27" s="44"/>
      <c r="D27" s="45"/>
      <c r="E27" s="45"/>
      <c r="F27" s="45"/>
      <c r="G27" s="46"/>
      <c r="H27" s="45"/>
      <c r="I27" s="45"/>
      <c r="J27" s="45"/>
      <c r="K27" s="45"/>
      <c r="L27" s="45"/>
      <c r="M27" s="44"/>
      <c r="N27" s="45"/>
      <c r="O27" s="45"/>
      <c r="P27" s="45"/>
      <c r="Q27" s="46"/>
      <c r="R27" s="45"/>
      <c r="S27" s="45"/>
      <c r="T27" s="45"/>
      <c r="U27" s="45"/>
      <c r="V27" s="45"/>
      <c r="W27" s="44"/>
      <c r="X27" s="45"/>
      <c r="Y27" s="45"/>
      <c r="Z27" s="45"/>
      <c r="AA27" s="46"/>
      <c r="AB27" s="45"/>
      <c r="AC27" s="45"/>
      <c r="AD27" s="45"/>
      <c r="AE27" s="45"/>
      <c r="AF27" s="45"/>
      <c r="AG27" s="44"/>
      <c r="AH27" s="45"/>
      <c r="AI27" s="45"/>
      <c r="AJ27" s="45"/>
      <c r="AK27" s="45"/>
      <c r="AL27" s="46"/>
      <c r="AM27" s="44"/>
      <c r="AN27" s="45"/>
      <c r="AO27" s="45"/>
      <c r="AP27" s="45"/>
      <c r="AQ27" s="45"/>
      <c r="AR27" s="45"/>
      <c r="AS27" s="46"/>
      <c r="AT27" s="45"/>
      <c r="AU27" s="45"/>
      <c r="AV27" s="45"/>
      <c r="AW27" s="45"/>
      <c r="AX27" s="45"/>
      <c r="AY27" s="44"/>
      <c r="AZ27" s="45"/>
      <c r="BA27" s="45"/>
      <c r="BB27" s="45"/>
      <c r="BC27" s="46"/>
      <c r="BD27" s="45"/>
      <c r="BE27" s="45"/>
      <c r="BF27" s="45"/>
      <c r="BG27" s="45"/>
      <c r="BH27" s="45"/>
      <c r="BI27" s="44"/>
      <c r="BJ27" s="45"/>
      <c r="BK27" s="45"/>
      <c r="BL27" s="45"/>
      <c r="BM27" s="46"/>
    </row>
    <row r="28" spans="1:65" hidden="1" x14ac:dyDescent="0.2">
      <c r="A28" s="28"/>
      <c r="B28" s="29"/>
      <c r="C28" s="34"/>
      <c r="D28" s="35"/>
      <c r="E28" s="35"/>
      <c r="F28" s="35"/>
      <c r="G28" s="36"/>
      <c r="H28" s="35"/>
      <c r="I28" s="35"/>
      <c r="J28" s="35"/>
      <c r="K28" s="35"/>
      <c r="L28" s="35"/>
      <c r="M28" s="34"/>
      <c r="N28" s="35"/>
      <c r="O28" s="35"/>
      <c r="P28" s="35"/>
      <c r="Q28" s="36"/>
      <c r="R28" s="35"/>
      <c r="S28" s="35"/>
      <c r="T28" s="35"/>
      <c r="U28" s="35"/>
      <c r="V28" s="35"/>
      <c r="W28" s="34"/>
      <c r="X28" s="35"/>
      <c r="Y28" s="35"/>
      <c r="Z28" s="35"/>
      <c r="AA28" s="36"/>
      <c r="AB28" s="35"/>
      <c r="AC28" s="35"/>
      <c r="AD28" s="35"/>
      <c r="AE28" s="35"/>
      <c r="AF28" s="35"/>
      <c r="AG28" s="34"/>
      <c r="AH28" s="35"/>
      <c r="AI28" s="35"/>
      <c r="AJ28" s="35"/>
      <c r="AK28" s="35"/>
      <c r="AL28" s="36"/>
      <c r="AM28" s="34"/>
      <c r="AN28" s="35"/>
      <c r="AO28" s="35"/>
      <c r="AP28" s="35"/>
      <c r="AQ28" s="35"/>
      <c r="AR28" s="35"/>
      <c r="AS28" s="36"/>
      <c r="AT28" s="35"/>
      <c r="AU28" s="35"/>
      <c r="AV28" s="35"/>
      <c r="AW28" s="35"/>
      <c r="AX28" s="35"/>
      <c r="AY28" s="34"/>
      <c r="AZ28" s="35"/>
      <c r="BA28" s="35"/>
      <c r="BB28" s="35"/>
      <c r="BC28" s="36"/>
      <c r="BD28" s="35"/>
      <c r="BE28" s="35"/>
      <c r="BF28" s="35"/>
      <c r="BG28" s="35"/>
      <c r="BH28" s="35"/>
      <c r="BI28" s="34"/>
      <c r="BJ28" s="35"/>
      <c r="BK28" s="35"/>
      <c r="BL28" s="35"/>
      <c r="BM28" s="36"/>
    </row>
    <row r="29" spans="1:65" hidden="1" x14ac:dyDescent="0.2">
      <c r="A29" s="47" t="s">
        <v>112</v>
      </c>
      <c r="B29" s="48"/>
      <c r="C29" s="49"/>
      <c r="D29" s="50"/>
      <c r="E29" s="50"/>
      <c r="F29" s="50"/>
      <c r="G29" s="51"/>
      <c r="H29" s="50"/>
      <c r="I29" s="50"/>
      <c r="J29" s="50"/>
      <c r="K29" s="50"/>
      <c r="L29" s="50"/>
      <c r="M29" s="49"/>
      <c r="N29" s="50"/>
      <c r="O29" s="50"/>
      <c r="P29" s="50"/>
      <c r="Q29" s="51"/>
      <c r="R29" s="50"/>
      <c r="S29" s="50"/>
      <c r="T29" s="50"/>
      <c r="U29" s="50"/>
      <c r="V29" s="50"/>
      <c r="W29" s="49"/>
      <c r="X29" s="50"/>
      <c r="Y29" s="50"/>
      <c r="Z29" s="50"/>
      <c r="AA29" s="51"/>
      <c r="AB29" s="50"/>
      <c r="AC29" s="50"/>
      <c r="AD29" s="50"/>
      <c r="AE29" s="50"/>
      <c r="AF29" s="50"/>
      <c r="AG29" s="49"/>
      <c r="AH29" s="50"/>
      <c r="AI29" s="50"/>
      <c r="AJ29" s="50"/>
      <c r="AK29" s="50"/>
      <c r="AL29" s="51"/>
      <c r="AM29" s="49"/>
      <c r="AN29" s="50"/>
      <c r="AO29" s="50"/>
      <c r="AP29" s="50"/>
      <c r="AQ29" s="50"/>
      <c r="AR29" s="50"/>
      <c r="AS29" s="51"/>
      <c r="AT29" s="50"/>
      <c r="AU29" s="50"/>
      <c r="AV29" s="50"/>
      <c r="AW29" s="50"/>
      <c r="AX29" s="50"/>
      <c r="AY29" s="49"/>
      <c r="AZ29" s="50"/>
      <c r="BA29" s="50"/>
      <c r="BB29" s="50"/>
      <c r="BC29" s="51"/>
      <c r="BD29" s="50"/>
      <c r="BE29" s="50"/>
      <c r="BF29" s="50"/>
      <c r="BG29" s="50"/>
      <c r="BH29" s="50"/>
      <c r="BI29" s="49"/>
      <c r="BJ29" s="50"/>
      <c r="BK29" s="50"/>
      <c r="BL29" s="50"/>
      <c r="BM29" s="51"/>
    </row>
    <row r="30" spans="1:65" hidden="1" x14ac:dyDescent="0.2">
      <c r="A30" s="30" t="s">
        <v>111</v>
      </c>
      <c r="B30" s="31" t="s">
        <v>105</v>
      </c>
      <c r="C30" s="21"/>
      <c r="D30" s="22"/>
      <c r="E30" s="22"/>
      <c r="F30" s="22"/>
      <c r="G30" s="23"/>
      <c r="H30" s="22"/>
      <c r="I30" s="22"/>
      <c r="J30" s="22"/>
      <c r="K30" s="22"/>
      <c r="L30" s="22"/>
      <c r="M30" s="21"/>
      <c r="N30" s="22"/>
      <c r="O30" s="22"/>
      <c r="P30" s="22"/>
      <c r="Q30" s="23"/>
      <c r="R30" s="22"/>
      <c r="S30" s="22"/>
      <c r="T30" s="22"/>
      <c r="U30" s="22"/>
      <c r="V30" s="22"/>
      <c r="W30" s="21"/>
      <c r="X30" s="22"/>
      <c r="Y30" s="22"/>
      <c r="Z30" s="22"/>
      <c r="AA30" s="23"/>
      <c r="AB30" s="22"/>
      <c r="AC30" s="22"/>
      <c r="AD30" s="22"/>
      <c r="AE30" s="22"/>
      <c r="AF30" s="22"/>
      <c r="AG30" s="21"/>
      <c r="AH30" s="22"/>
      <c r="AI30" s="22"/>
      <c r="AJ30" s="22"/>
      <c r="AK30" s="22"/>
      <c r="AL30" s="22"/>
      <c r="AM30" s="21"/>
      <c r="AN30" s="22"/>
      <c r="AO30" s="22"/>
      <c r="AP30" s="22"/>
      <c r="AQ30" s="22"/>
      <c r="AR30" s="22"/>
      <c r="AS30" s="23"/>
      <c r="AT30" s="22"/>
      <c r="AU30" s="22"/>
      <c r="AV30" s="22"/>
      <c r="AW30" s="22"/>
      <c r="AX30" s="22"/>
      <c r="AY30" s="21"/>
      <c r="AZ30" s="22"/>
      <c r="BA30" s="22"/>
      <c r="BB30" s="22"/>
      <c r="BC30" s="23"/>
      <c r="BD30" s="22"/>
      <c r="BE30" s="22"/>
      <c r="BF30" s="22"/>
      <c r="BG30" s="22"/>
      <c r="BH30" s="22"/>
      <c r="BI30" s="21"/>
      <c r="BJ30" s="22"/>
      <c r="BK30" s="22"/>
      <c r="BL30" s="22"/>
      <c r="BM30" s="23"/>
    </row>
    <row r="31" spans="1:65" hidden="1" x14ac:dyDescent="0.2">
      <c r="A31" s="30"/>
      <c r="B31" s="31" t="s">
        <v>104</v>
      </c>
      <c r="C31" s="21"/>
      <c r="D31" s="22"/>
      <c r="E31" s="22"/>
      <c r="F31" s="22"/>
      <c r="G31" s="23"/>
      <c r="H31" s="22"/>
      <c r="I31" s="22"/>
      <c r="J31" s="22"/>
      <c r="K31" s="22"/>
      <c r="L31" s="22"/>
      <c r="M31" s="21"/>
      <c r="N31" s="22"/>
      <c r="O31" s="22"/>
      <c r="P31" s="22"/>
      <c r="Q31" s="23"/>
      <c r="R31" s="22"/>
      <c r="S31" s="22"/>
      <c r="T31" s="22"/>
      <c r="U31" s="22"/>
      <c r="V31" s="22"/>
      <c r="W31" s="21"/>
      <c r="X31" s="22"/>
      <c r="Y31" s="22"/>
      <c r="Z31" s="22"/>
      <c r="AA31" s="23"/>
      <c r="AB31" s="22"/>
      <c r="AC31" s="22"/>
      <c r="AD31" s="22"/>
      <c r="AE31" s="22"/>
      <c r="AF31" s="22"/>
      <c r="AG31" s="21"/>
      <c r="AH31" s="22"/>
      <c r="AI31" s="22"/>
      <c r="AJ31" s="22"/>
      <c r="AK31" s="22"/>
      <c r="AL31" s="22"/>
      <c r="AM31" s="21"/>
      <c r="AN31" s="22"/>
      <c r="AO31" s="22"/>
      <c r="AP31" s="22"/>
      <c r="AQ31" s="22"/>
      <c r="AR31" s="22"/>
      <c r="AS31" s="23"/>
      <c r="AT31" s="22"/>
      <c r="AU31" s="22"/>
      <c r="AV31" s="22"/>
      <c r="AW31" s="22"/>
      <c r="AX31" s="22"/>
      <c r="AY31" s="21"/>
      <c r="AZ31" s="22"/>
      <c r="BA31" s="22"/>
      <c r="BB31" s="22"/>
      <c r="BC31" s="23"/>
      <c r="BD31" s="22"/>
      <c r="BE31" s="22"/>
      <c r="BF31" s="22"/>
      <c r="BG31" s="22"/>
      <c r="BH31" s="22"/>
      <c r="BI31" s="21"/>
      <c r="BJ31" s="22"/>
      <c r="BK31" s="22"/>
      <c r="BL31" s="22"/>
      <c r="BM31" s="23"/>
    </row>
    <row r="32" spans="1:65" hidden="1" x14ac:dyDescent="0.2">
      <c r="A32" s="30" t="s">
        <v>107</v>
      </c>
      <c r="B32" s="31"/>
      <c r="C32" s="95"/>
      <c r="D32" s="96"/>
      <c r="E32" s="96"/>
      <c r="F32" s="96"/>
      <c r="G32" s="97"/>
      <c r="H32" s="96"/>
      <c r="I32" s="96"/>
      <c r="J32" s="96"/>
      <c r="K32" s="96"/>
      <c r="L32" s="96"/>
      <c r="M32" s="95"/>
      <c r="N32" s="96"/>
      <c r="O32" s="96"/>
      <c r="P32" s="96"/>
      <c r="Q32" s="97"/>
      <c r="R32" s="96"/>
      <c r="S32" s="96"/>
      <c r="T32" s="96"/>
      <c r="U32" s="96"/>
      <c r="V32" s="96"/>
      <c r="W32" s="95"/>
      <c r="X32" s="96"/>
      <c r="Y32" s="96"/>
      <c r="Z32" s="96"/>
      <c r="AA32" s="97"/>
      <c r="AB32" s="96"/>
      <c r="AC32" s="96"/>
      <c r="AD32" s="96"/>
      <c r="AE32" s="96"/>
      <c r="AF32" s="96"/>
      <c r="AG32" s="95"/>
      <c r="AH32" s="96"/>
      <c r="AI32" s="96"/>
      <c r="AJ32" s="96"/>
      <c r="AK32" s="96"/>
      <c r="AL32" s="96"/>
      <c r="AM32" s="95"/>
      <c r="AN32" s="96"/>
      <c r="AO32" s="96"/>
      <c r="AP32" s="96"/>
      <c r="AQ32" s="96"/>
      <c r="AR32" s="96"/>
      <c r="AS32" s="97"/>
      <c r="AT32" s="96"/>
      <c r="AU32" s="96"/>
      <c r="AV32" s="96"/>
      <c r="AW32" s="96"/>
      <c r="AX32" s="96"/>
      <c r="AY32" s="95"/>
      <c r="AZ32" s="96"/>
      <c r="BA32" s="96"/>
      <c r="BB32" s="96"/>
      <c r="BC32" s="97"/>
      <c r="BD32" s="96"/>
      <c r="BE32" s="96"/>
      <c r="BF32" s="96"/>
      <c r="BG32" s="96"/>
      <c r="BH32" s="96"/>
      <c r="BI32" s="95"/>
      <c r="BJ32" s="96"/>
      <c r="BK32" s="96"/>
      <c r="BL32" s="96"/>
      <c r="BM32" s="97"/>
    </row>
    <row r="33" spans="1:65" hidden="1" x14ac:dyDescent="0.2">
      <c r="A33" s="30" t="s">
        <v>110</v>
      </c>
      <c r="B33" s="31" t="s">
        <v>105</v>
      </c>
      <c r="C33" s="21"/>
      <c r="D33" s="22"/>
      <c r="E33" s="22"/>
      <c r="F33" s="22"/>
      <c r="G33" s="23"/>
      <c r="H33" s="22"/>
      <c r="I33" s="22"/>
      <c r="J33" s="22"/>
      <c r="K33" s="22"/>
      <c r="L33" s="22"/>
      <c r="M33" s="21"/>
      <c r="N33" s="22"/>
      <c r="O33" s="22"/>
      <c r="P33" s="22"/>
      <c r="Q33" s="23"/>
      <c r="R33" s="22"/>
      <c r="S33" s="22"/>
      <c r="T33" s="22"/>
      <c r="U33" s="22"/>
      <c r="V33" s="22"/>
      <c r="W33" s="21"/>
      <c r="X33" s="22"/>
      <c r="Y33" s="22"/>
      <c r="Z33" s="22"/>
      <c r="AA33" s="23"/>
      <c r="AB33" s="22"/>
      <c r="AC33" s="22"/>
      <c r="AD33" s="22"/>
      <c r="AE33" s="22"/>
      <c r="AF33" s="22"/>
      <c r="AG33" s="21"/>
      <c r="AH33" s="22"/>
      <c r="AI33" s="22"/>
      <c r="AJ33" s="22"/>
      <c r="AK33" s="22"/>
      <c r="AL33" s="22"/>
      <c r="AM33" s="21"/>
      <c r="AN33" s="22"/>
      <c r="AO33" s="22"/>
      <c r="AP33" s="22"/>
      <c r="AQ33" s="22"/>
      <c r="AR33" s="22"/>
      <c r="AS33" s="23"/>
      <c r="AT33" s="22"/>
      <c r="AU33" s="22"/>
      <c r="AV33" s="22"/>
      <c r="AW33" s="22"/>
      <c r="AX33" s="22"/>
      <c r="AY33" s="21"/>
      <c r="AZ33" s="22"/>
      <c r="BA33" s="22"/>
      <c r="BB33" s="22"/>
      <c r="BC33" s="23"/>
      <c r="BD33" s="22"/>
      <c r="BE33" s="22"/>
      <c r="BF33" s="22"/>
      <c r="BG33" s="22"/>
      <c r="BH33" s="22"/>
      <c r="BI33" s="21"/>
      <c r="BJ33" s="22"/>
      <c r="BK33" s="22"/>
      <c r="BL33" s="22"/>
      <c r="BM33" s="23"/>
    </row>
    <row r="34" spans="1:65" hidden="1" x14ac:dyDescent="0.2">
      <c r="A34" s="30"/>
      <c r="B34" s="31" t="s">
        <v>104</v>
      </c>
      <c r="C34" s="21"/>
      <c r="D34" s="22"/>
      <c r="E34" s="22"/>
      <c r="F34" s="22"/>
      <c r="G34" s="23"/>
      <c r="H34" s="22"/>
      <c r="I34" s="22"/>
      <c r="J34" s="22"/>
      <c r="K34" s="22"/>
      <c r="L34" s="22"/>
      <c r="M34" s="21"/>
      <c r="N34" s="22"/>
      <c r="O34" s="22"/>
      <c r="P34" s="22"/>
      <c r="Q34" s="23"/>
      <c r="R34" s="22"/>
      <c r="S34" s="22"/>
      <c r="T34" s="22"/>
      <c r="U34" s="22"/>
      <c r="V34" s="22"/>
      <c r="W34" s="21"/>
      <c r="X34" s="22"/>
      <c r="Y34" s="22"/>
      <c r="Z34" s="22"/>
      <c r="AA34" s="23"/>
      <c r="AB34" s="22"/>
      <c r="AC34" s="22"/>
      <c r="AD34" s="22"/>
      <c r="AE34" s="22"/>
      <c r="AF34" s="22"/>
      <c r="AG34" s="21"/>
      <c r="AH34" s="22"/>
      <c r="AI34" s="22"/>
      <c r="AJ34" s="22"/>
      <c r="AK34" s="22"/>
      <c r="AL34" s="22"/>
      <c r="AM34" s="21"/>
      <c r="AN34" s="22"/>
      <c r="AO34" s="22"/>
      <c r="AP34" s="22"/>
      <c r="AQ34" s="22"/>
      <c r="AR34" s="22"/>
      <c r="AS34" s="23"/>
      <c r="AT34" s="22"/>
      <c r="AU34" s="22"/>
      <c r="AV34" s="22"/>
      <c r="AW34" s="22"/>
      <c r="AX34" s="22"/>
      <c r="AY34" s="21"/>
      <c r="AZ34" s="22"/>
      <c r="BA34" s="22"/>
      <c r="BB34" s="22"/>
      <c r="BC34" s="23"/>
      <c r="BD34" s="22"/>
      <c r="BE34" s="22"/>
      <c r="BF34" s="22"/>
      <c r="BG34" s="22"/>
      <c r="BH34" s="22"/>
      <c r="BI34" s="21"/>
      <c r="BJ34" s="22"/>
      <c r="BK34" s="22"/>
      <c r="BL34" s="22"/>
      <c r="BM34" s="23"/>
    </row>
    <row r="35" spans="1:65" hidden="1" x14ac:dyDescent="0.2">
      <c r="A35" s="30" t="s">
        <v>107</v>
      </c>
      <c r="B35" s="31"/>
      <c r="C35" s="95"/>
      <c r="D35" s="96"/>
      <c r="E35" s="96"/>
      <c r="F35" s="96"/>
      <c r="G35" s="97"/>
      <c r="H35" s="96"/>
      <c r="I35" s="96"/>
      <c r="J35" s="96"/>
      <c r="K35" s="96"/>
      <c r="L35" s="96"/>
      <c r="M35" s="95"/>
      <c r="N35" s="96"/>
      <c r="O35" s="96"/>
      <c r="P35" s="96"/>
      <c r="Q35" s="97"/>
      <c r="R35" s="96"/>
      <c r="S35" s="96"/>
      <c r="T35" s="96"/>
      <c r="U35" s="96"/>
      <c r="V35" s="96"/>
      <c r="W35" s="95"/>
      <c r="X35" s="96"/>
      <c r="Y35" s="96"/>
      <c r="Z35" s="96"/>
      <c r="AA35" s="97"/>
      <c r="AB35" s="96"/>
      <c r="AC35" s="96"/>
      <c r="AD35" s="96"/>
      <c r="AE35" s="96"/>
      <c r="AF35" s="96"/>
      <c r="AG35" s="95"/>
      <c r="AH35" s="96"/>
      <c r="AI35" s="96"/>
      <c r="AJ35" s="96"/>
      <c r="AK35" s="96"/>
      <c r="AL35" s="96"/>
      <c r="AM35" s="95"/>
      <c r="AN35" s="96"/>
      <c r="AO35" s="96"/>
      <c r="AP35" s="96"/>
      <c r="AQ35" s="96"/>
      <c r="AR35" s="96"/>
      <c r="AS35" s="97"/>
      <c r="AT35" s="96"/>
      <c r="AU35" s="96"/>
      <c r="AV35" s="96"/>
      <c r="AW35" s="96"/>
      <c r="AX35" s="96"/>
      <c r="AY35" s="95"/>
      <c r="AZ35" s="96"/>
      <c r="BA35" s="96"/>
      <c r="BB35" s="96"/>
      <c r="BC35" s="97"/>
      <c r="BD35" s="96"/>
      <c r="BE35" s="96"/>
      <c r="BF35" s="96"/>
      <c r="BG35" s="96"/>
      <c r="BH35" s="96"/>
      <c r="BI35" s="95"/>
      <c r="BJ35" s="96"/>
      <c r="BK35" s="96"/>
      <c r="BL35" s="96"/>
      <c r="BM35" s="97"/>
    </row>
    <row r="36" spans="1:65" hidden="1" x14ac:dyDescent="0.2">
      <c r="A36" s="30" t="s">
        <v>109</v>
      </c>
      <c r="B36" s="31" t="s">
        <v>105</v>
      </c>
      <c r="C36" s="21"/>
      <c r="D36" s="22"/>
      <c r="E36" s="22"/>
      <c r="F36" s="22"/>
      <c r="G36" s="23"/>
      <c r="H36" s="22"/>
      <c r="I36" s="22"/>
      <c r="J36" s="22"/>
      <c r="K36" s="22"/>
      <c r="L36" s="22"/>
      <c r="M36" s="21"/>
      <c r="N36" s="22"/>
      <c r="O36" s="22"/>
      <c r="P36" s="22"/>
      <c r="Q36" s="23"/>
      <c r="R36" s="22"/>
      <c r="S36" s="22"/>
      <c r="T36" s="22"/>
      <c r="U36" s="22"/>
      <c r="V36" s="22"/>
      <c r="W36" s="21"/>
      <c r="X36" s="22"/>
      <c r="Y36" s="22"/>
      <c r="Z36" s="22"/>
      <c r="AA36" s="23"/>
      <c r="AB36" s="22"/>
      <c r="AC36" s="22"/>
      <c r="AD36" s="22"/>
      <c r="AE36" s="22"/>
      <c r="AF36" s="22"/>
      <c r="AG36" s="21"/>
      <c r="AH36" s="22"/>
      <c r="AI36" s="22"/>
      <c r="AJ36" s="22"/>
      <c r="AK36" s="22"/>
      <c r="AL36" s="22"/>
      <c r="AM36" s="21"/>
      <c r="AN36" s="22"/>
      <c r="AO36" s="22"/>
      <c r="AP36" s="22"/>
      <c r="AQ36" s="22"/>
      <c r="AR36" s="22"/>
      <c r="AS36" s="23"/>
      <c r="AT36" s="22"/>
      <c r="AU36" s="22"/>
      <c r="AV36" s="22"/>
      <c r="AW36" s="22"/>
      <c r="AX36" s="22"/>
      <c r="AY36" s="21"/>
      <c r="AZ36" s="22"/>
      <c r="BA36" s="22"/>
      <c r="BB36" s="22"/>
      <c r="BC36" s="23"/>
      <c r="BD36" s="22"/>
      <c r="BE36" s="22"/>
      <c r="BF36" s="22"/>
      <c r="BG36" s="22"/>
      <c r="BH36" s="22"/>
      <c r="BI36" s="21"/>
      <c r="BJ36" s="22"/>
      <c r="BK36" s="22"/>
      <c r="BL36" s="22"/>
      <c r="BM36" s="23"/>
    </row>
    <row r="37" spans="1:65" hidden="1" x14ac:dyDescent="0.2">
      <c r="A37" s="30"/>
      <c r="B37" s="31" t="s">
        <v>104</v>
      </c>
      <c r="C37" s="21"/>
      <c r="D37" s="22"/>
      <c r="E37" s="22"/>
      <c r="F37" s="22"/>
      <c r="G37" s="23"/>
      <c r="H37" s="22"/>
      <c r="I37" s="22"/>
      <c r="J37" s="22"/>
      <c r="K37" s="22"/>
      <c r="L37" s="22"/>
      <c r="M37" s="21"/>
      <c r="N37" s="22"/>
      <c r="O37" s="22"/>
      <c r="P37" s="22"/>
      <c r="Q37" s="23"/>
      <c r="R37" s="22"/>
      <c r="S37" s="22"/>
      <c r="T37" s="22"/>
      <c r="U37" s="22"/>
      <c r="V37" s="22"/>
      <c r="W37" s="21"/>
      <c r="X37" s="22"/>
      <c r="Y37" s="22"/>
      <c r="Z37" s="22"/>
      <c r="AA37" s="23"/>
      <c r="AB37" s="22"/>
      <c r="AC37" s="22"/>
      <c r="AD37" s="22"/>
      <c r="AE37" s="22"/>
      <c r="AF37" s="22"/>
      <c r="AG37" s="21"/>
      <c r="AH37" s="22"/>
      <c r="AI37" s="22"/>
      <c r="AJ37" s="22"/>
      <c r="AK37" s="22"/>
      <c r="AL37" s="22"/>
      <c r="AM37" s="21"/>
      <c r="AN37" s="22"/>
      <c r="AO37" s="22"/>
      <c r="AP37" s="22"/>
      <c r="AQ37" s="22"/>
      <c r="AR37" s="22"/>
      <c r="AS37" s="23"/>
      <c r="AT37" s="22"/>
      <c r="AU37" s="22"/>
      <c r="AV37" s="22"/>
      <c r="AW37" s="22"/>
      <c r="AX37" s="22"/>
      <c r="AY37" s="21"/>
      <c r="AZ37" s="22"/>
      <c r="BA37" s="22"/>
      <c r="BB37" s="22"/>
      <c r="BC37" s="23"/>
      <c r="BD37" s="22"/>
      <c r="BE37" s="22"/>
      <c r="BF37" s="22"/>
      <c r="BG37" s="22"/>
      <c r="BH37" s="22"/>
      <c r="BI37" s="21"/>
      <c r="BJ37" s="22"/>
      <c r="BK37" s="22"/>
      <c r="BL37" s="22"/>
      <c r="BM37" s="23"/>
    </row>
    <row r="38" spans="1:65" hidden="1" x14ac:dyDescent="0.2">
      <c r="A38" s="30" t="s">
        <v>107</v>
      </c>
      <c r="B38" s="31"/>
      <c r="C38" s="95"/>
      <c r="D38" s="96"/>
      <c r="E38" s="96"/>
      <c r="F38" s="96"/>
      <c r="G38" s="97"/>
      <c r="H38" s="96"/>
      <c r="I38" s="96"/>
      <c r="J38" s="96"/>
      <c r="K38" s="96"/>
      <c r="L38" s="96"/>
      <c r="M38" s="95"/>
      <c r="N38" s="96"/>
      <c r="O38" s="96"/>
      <c r="P38" s="96"/>
      <c r="Q38" s="97"/>
      <c r="R38" s="96"/>
      <c r="S38" s="96"/>
      <c r="T38" s="96"/>
      <c r="U38" s="96"/>
      <c r="V38" s="96"/>
      <c r="W38" s="95"/>
      <c r="X38" s="96"/>
      <c r="Y38" s="96"/>
      <c r="Z38" s="96"/>
      <c r="AA38" s="97"/>
      <c r="AB38" s="96"/>
      <c r="AC38" s="96"/>
      <c r="AD38" s="96"/>
      <c r="AE38" s="96"/>
      <c r="AF38" s="96"/>
      <c r="AG38" s="95"/>
      <c r="AH38" s="96"/>
      <c r="AI38" s="96"/>
      <c r="AJ38" s="96"/>
      <c r="AK38" s="96"/>
      <c r="AL38" s="96"/>
      <c r="AM38" s="95"/>
      <c r="AN38" s="96"/>
      <c r="AO38" s="96"/>
      <c r="AP38" s="96"/>
      <c r="AQ38" s="96"/>
      <c r="AR38" s="96"/>
      <c r="AS38" s="97"/>
      <c r="AT38" s="96"/>
      <c r="AU38" s="96"/>
      <c r="AV38" s="96"/>
      <c r="AW38" s="96"/>
      <c r="AX38" s="96"/>
      <c r="AY38" s="95"/>
      <c r="AZ38" s="96"/>
      <c r="BA38" s="96"/>
      <c r="BB38" s="96"/>
      <c r="BC38" s="97"/>
      <c r="BD38" s="96"/>
      <c r="BE38" s="96"/>
      <c r="BF38" s="96"/>
      <c r="BG38" s="96"/>
      <c r="BH38" s="96"/>
      <c r="BI38" s="95"/>
      <c r="BJ38" s="96"/>
      <c r="BK38" s="96"/>
      <c r="BL38" s="96"/>
      <c r="BM38" s="97"/>
    </row>
    <row r="39" spans="1:65" hidden="1" x14ac:dyDescent="0.2">
      <c r="A39" s="30" t="s">
        <v>108</v>
      </c>
      <c r="B39" s="31" t="s">
        <v>105</v>
      </c>
      <c r="C39" s="24" t="e">
        <f>C33/C30</f>
        <v>#DIV/0!</v>
      </c>
      <c r="D39" s="22"/>
      <c r="E39" s="22"/>
      <c r="F39" s="22"/>
      <c r="G39" s="23"/>
      <c r="H39" s="22"/>
      <c r="I39" s="22"/>
      <c r="J39" s="22"/>
      <c r="K39" s="22"/>
      <c r="L39" s="22"/>
      <c r="M39" s="21"/>
      <c r="N39" s="22"/>
      <c r="O39" s="22"/>
      <c r="P39" s="22"/>
      <c r="Q39" s="23"/>
      <c r="R39" s="22"/>
      <c r="S39" s="22"/>
      <c r="T39" s="22"/>
      <c r="U39" s="22"/>
      <c r="V39" s="22"/>
      <c r="W39" s="21"/>
      <c r="X39" s="22"/>
      <c r="Y39" s="22"/>
      <c r="Z39" s="22"/>
      <c r="AA39" s="23"/>
      <c r="AB39" s="22"/>
      <c r="AC39" s="22"/>
      <c r="AD39" s="22"/>
      <c r="AE39" s="22"/>
      <c r="AF39" s="22"/>
      <c r="AG39" s="21"/>
      <c r="AH39" s="22"/>
      <c r="AI39" s="22"/>
      <c r="AJ39" s="22"/>
      <c r="AK39" s="22"/>
      <c r="AL39" s="22"/>
      <c r="AM39" s="21"/>
      <c r="AN39" s="22"/>
      <c r="AO39" s="22"/>
      <c r="AP39" s="22"/>
      <c r="AQ39" s="22"/>
      <c r="AR39" s="22"/>
      <c r="AS39" s="23"/>
      <c r="AT39" s="22"/>
      <c r="AU39" s="22"/>
      <c r="AV39" s="22"/>
      <c r="AW39" s="22"/>
      <c r="AX39" s="22"/>
      <c r="AY39" s="21"/>
      <c r="AZ39" s="22"/>
      <c r="BA39" s="22"/>
      <c r="BB39" s="22"/>
      <c r="BC39" s="23"/>
      <c r="BD39" s="22"/>
      <c r="BE39" s="22"/>
      <c r="BF39" s="22"/>
      <c r="BG39" s="22"/>
      <c r="BH39" s="22"/>
      <c r="BI39" s="21"/>
      <c r="BJ39" s="22"/>
      <c r="BK39" s="22"/>
      <c r="BL39" s="22"/>
      <c r="BM39" s="23"/>
    </row>
    <row r="40" spans="1:65" hidden="1" x14ac:dyDescent="0.2">
      <c r="A40" s="30"/>
      <c r="B40" s="31" t="s">
        <v>104</v>
      </c>
      <c r="C40" s="24" t="e">
        <f>C36/C31</f>
        <v>#DIV/0!</v>
      </c>
      <c r="D40" s="22"/>
      <c r="E40" s="22"/>
      <c r="F40" s="22"/>
      <c r="G40" s="23"/>
      <c r="H40" s="22"/>
      <c r="I40" s="22"/>
      <c r="J40" s="22"/>
      <c r="K40" s="22"/>
      <c r="L40" s="22"/>
      <c r="M40" s="21"/>
      <c r="N40" s="22"/>
      <c r="O40" s="22"/>
      <c r="P40" s="22"/>
      <c r="Q40" s="23"/>
      <c r="R40" s="22"/>
      <c r="S40" s="22"/>
      <c r="T40" s="22"/>
      <c r="U40" s="22"/>
      <c r="V40" s="22"/>
      <c r="W40" s="21"/>
      <c r="X40" s="22"/>
      <c r="Y40" s="22"/>
      <c r="Z40" s="22"/>
      <c r="AA40" s="23"/>
      <c r="AB40" s="22"/>
      <c r="AC40" s="22"/>
      <c r="AD40" s="22"/>
      <c r="AE40" s="22"/>
      <c r="AF40" s="22"/>
      <c r="AG40" s="21"/>
      <c r="AH40" s="22"/>
      <c r="AI40" s="22"/>
      <c r="AJ40" s="22"/>
      <c r="AK40" s="22"/>
      <c r="AL40" s="22"/>
      <c r="AM40" s="21"/>
      <c r="AN40" s="22"/>
      <c r="AO40" s="22"/>
      <c r="AP40" s="22"/>
      <c r="AQ40" s="22"/>
      <c r="AR40" s="22"/>
      <c r="AS40" s="23"/>
      <c r="AT40" s="22"/>
      <c r="AU40" s="22"/>
      <c r="AV40" s="22"/>
      <c r="AW40" s="22"/>
      <c r="AX40" s="22"/>
      <c r="AY40" s="21"/>
      <c r="AZ40" s="22"/>
      <c r="BA40" s="22"/>
      <c r="BB40" s="22"/>
      <c r="BC40" s="23"/>
      <c r="BD40" s="22"/>
      <c r="BE40" s="22"/>
      <c r="BF40" s="22"/>
      <c r="BG40" s="22"/>
      <c r="BH40" s="22"/>
      <c r="BI40" s="21"/>
      <c r="BJ40" s="22"/>
      <c r="BK40" s="22"/>
      <c r="BL40" s="22"/>
      <c r="BM40" s="23"/>
    </row>
    <row r="41" spans="1:65" hidden="1" x14ac:dyDescent="0.2">
      <c r="A41" s="30" t="s">
        <v>107</v>
      </c>
      <c r="B41" s="31"/>
      <c r="C41" s="95"/>
      <c r="D41" s="96"/>
      <c r="E41" s="96"/>
      <c r="F41" s="96"/>
      <c r="G41" s="97"/>
      <c r="H41" s="96"/>
      <c r="I41" s="96"/>
      <c r="J41" s="96"/>
      <c r="K41" s="96"/>
      <c r="L41" s="96"/>
      <c r="M41" s="95"/>
      <c r="N41" s="96"/>
      <c r="O41" s="96"/>
      <c r="P41" s="96"/>
      <c r="Q41" s="97"/>
      <c r="R41" s="96"/>
      <c r="S41" s="96"/>
      <c r="T41" s="96"/>
      <c r="U41" s="96"/>
      <c r="V41" s="96"/>
      <c r="W41" s="95"/>
      <c r="X41" s="96"/>
      <c r="Y41" s="96"/>
      <c r="Z41" s="96"/>
      <c r="AA41" s="97"/>
      <c r="AB41" s="96"/>
      <c r="AC41" s="96"/>
      <c r="AD41" s="96"/>
      <c r="AE41" s="96"/>
      <c r="AF41" s="96"/>
      <c r="AG41" s="95"/>
      <c r="AH41" s="96"/>
      <c r="AI41" s="96"/>
      <c r="AJ41" s="96"/>
      <c r="AK41" s="96"/>
      <c r="AL41" s="96"/>
      <c r="AM41" s="95"/>
      <c r="AN41" s="96"/>
      <c r="AO41" s="96"/>
      <c r="AP41" s="96"/>
      <c r="AQ41" s="96"/>
      <c r="AR41" s="96"/>
      <c r="AS41" s="97"/>
      <c r="AT41" s="96"/>
      <c r="AU41" s="96"/>
      <c r="AV41" s="96"/>
      <c r="AW41" s="96"/>
      <c r="AX41" s="96"/>
      <c r="AY41" s="95"/>
      <c r="AZ41" s="96"/>
      <c r="BA41" s="96"/>
      <c r="BB41" s="96"/>
      <c r="BC41" s="97"/>
      <c r="BD41" s="96"/>
      <c r="BE41" s="96"/>
      <c r="BF41" s="96"/>
      <c r="BG41" s="96"/>
      <c r="BH41" s="96"/>
      <c r="BI41" s="95"/>
      <c r="BJ41" s="96"/>
      <c r="BK41" s="96"/>
      <c r="BL41" s="96"/>
      <c r="BM41" s="97"/>
    </row>
    <row r="42" spans="1:65" hidden="1" x14ac:dyDescent="0.2">
      <c r="A42" s="30" t="s">
        <v>106</v>
      </c>
      <c r="B42" s="31" t="s">
        <v>105</v>
      </c>
      <c r="C42" s="24" t="e">
        <f>C36/C30</f>
        <v>#DIV/0!</v>
      </c>
      <c r="D42" s="22"/>
      <c r="E42" s="22"/>
      <c r="F42" s="22"/>
      <c r="G42" s="23"/>
      <c r="H42" s="22"/>
      <c r="I42" s="22"/>
      <c r="J42" s="22"/>
      <c r="K42" s="22"/>
      <c r="L42" s="22"/>
      <c r="M42" s="21"/>
      <c r="N42" s="22"/>
      <c r="O42" s="22"/>
      <c r="P42" s="22"/>
      <c r="Q42" s="23"/>
      <c r="R42" s="22"/>
      <c r="S42" s="22"/>
      <c r="T42" s="22"/>
      <c r="U42" s="22"/>
      <c r="V42" s="22"/>
      <c r="W42" s="21"/>
      <c r="X42" s="22"/>
      <c r="Y42" s="22"/>
      <c r="Z42" s="22"/>
      <c r="AA42" s="23"/>
      <c r="AB42" s="22"/>
      <c r="AC42" s="22"/>
      <c r="AD42" s="22"/>
      <c r="AE42" s="22"/>
      <c r="AF42" s="22"/>
      <c r="AG42" s="21"/>
      <c r="AH42" s="22"/>
      <c r="AI42" s="22"/>
      <c r="AJ42" s="22"/>
      <c r="AK42" s="22"/>
      <c r="AL42" s="22"/>
      <c r="AM42" s="21"/>
      <c r="AN42" s="22"/>
      <c r="AO42" s="22"/>
      <c r="AP42" s="22"/>
      <c r="AQ42" s="22"/>
      <c r="AR42" s="22"/>
      <c r="AS42" s="23"/>
      <c r="AT42" s="22"/>
      <c r="AU42" s="22"/>
      <c r="AV42" s="22"/>
      <c r="AW42" s="22"/>
      <c r="AX42" s="22"/>
      <c r="AY42" s="21"/>
      <c r="AZ42" s="22"/>
      <c r="BA42" s="22"/>
      <c r="BB42" s="22"/>
      <c r="BC42" s="23"/>
      <c r="BD42" s="22"/>
      <c r="BE42" s="22"/>
      <c r="BF42" s="22"/>
      <c r="BG42" s="22"/>
      <c r="BH42" s="22"/>
      <c r="BI42" s="21"/>
      <c r="BJ42" s="22"/>
      <c r="BK42" s="22"/>
      <c r="BL42" s="22"/>
      <c r="BM42" s="23"/>
    </row>
    <row r="43" spans="1:65" hidden="1" x14ac:dyDescent="0.2">
      <c r="A43" s="30"/>
      <c r="B43" s="31" t="s">
        <v>104</v>
      </c>
      <c r="C43" s="24" t="e">
        <f>C37/C31</f>
        <v>#DIV/0!</v>
      </c>
      <c r="D43" s="22"/>
      <c r="E43" s="22"/>
      <c r="F43" s="22"/>
      <c r="G43" s="23"/>
      <c r="H43" s="22"/>
      <c r="I43" s="22"/>
      <c r="J43" s="22"/>
      <c r="K43" s="22"/>
      <c r="L43" s="22"/>
      <c r="M43" s="21"/>
      <c r="N43" s="22"/>
      <c r="O43" s="22"/>
      <c r="P43" s="22"/>
      <c r="Q43" s="23"/>
      <c r="R43" s="22"/>
      <c r="S43" s="22"/>
      <c r="T43" s="22"/>
      <c r="U43" s="22"/>
      <c r="V43" s="22"/>
      <c r="W43" s="21"/>
      <c r="X43" s="22"/>
      <c r="Y43" s="22"/>
      <c r="Z43" s="22"/>
      <c r="AA43" s="23"/>
      <c r="AB43" s="22"/>
      <c r="AC43" s="22"/>
      <c r="AD43" s="22"/>
      <c r="AE43" s="22"/>
      <c r="AF43" s="22"/>
      <c r="AG43" s="21"/>
      <c r="AH43" s="22"/>
      <c r="AI43" s="22"/>
      <c r="AJ43" s="22"/>
      <c r="AK43" s="22"/>
      <c r="AL43" s="22"/>
      <c r="AM43" s="21"/>
      <c r="AN43" s="22"/>
      <c r="AO43" s="22"/>
      <c r="AP43" s="22"/>
      <c r="AQ43" s="22"/>
      <c r="AR43" s="22"/>
      <c r="AS43" s="23"/>
      <c r="AT43" s="22"/>
      <c r="AU43" s="22"/>
      <c r="AV43" s="22"/>
      <c r="AW43" s="22"/>
      <c r="AX43" s="22"/>
      <c r="AY43" s="21"/>
      <c r="AZ43" s="22"/>
      <c r="BA43" s="22"/>
      <c r="BB43" s="22"/>
      <c r="BC43" s="23"/>
      <c r="BD43" s="22"/>
      <c r="BE43" s="22"/>
      <c r="BF43" s="22"/>
      <c r="BG43" s="22"/>
      <c r="BH43" s="22"/>
      <c r="BI43" s="21"/>
      <c r="BJ43" s="22"/>
      <c r="BK43" s="22"/>
      <c r="BL43" s="22"/>
      <c r="BM43" s="23"/>
    </row>
    <row r="44" spans="1:65" hidden="1" x14ac:dyDescent="0.2">
      <c r="A44" s="28"/>
      <c r="B44" s="29"/>
      <c r="C44" s="34"/>
      <c r="D44" s="35"/>
      <c r="E44" s="35"/>
      <c r="F44" s="35"/>
      <c r="G44" s="36"/>
      <c r="H44" s="35"/>
      <c r="I44" s="35"/>
      <c r="J44" s="35"/>
      <c r="K44" s="35"/>
      <c r="L44" s="35"/>
      <c r="M44" s="34"/>
      <c r="N44" s="35"/>
      <c r="O44" s="35"/>
      <c r="P44" s="35"/>
      <c r="Q44" s="36"/>
      <c r="R44" s="35"/>
      <c r="S44" s="35"/>
      <c r="T44" s="35"/>
      <c r="U44" s="35"/>
      <c r="V44" s="35"/>
      <c r="W44" s="34"/>
      <c r="X44" s="35"/>
      <c r="Y44" s="35"/>
      <c r="Z44" s="35"/>
      <c r="AA44" s="36"/>
      <c r="AB44" s="35"/>
      <c r="AC44" s="35"/>
      <c r="AD44" s="35"/>
      <c r="AE44" s="35"/>
      <c r="AF44" s="35"/>
      <c r="AG44" s="34"/>
      <c r="AH44" s="35"/>
      <c r="AI44" s="35"/>
      <c r="AJ44" s="35"/>
      <c r="AK44" s="35"/>
      <c r="AL44" s="35"/>
      <c r="AM44" s="34"/>
      <c r="AN44" s="35"/>
      <c r="AO44" s="35"/>
      <c r="AP44" s="35"/>
      <c r="AQ44" s="35"/>
      <c r="AR44" s="35"/>
      <c r="AS44" s="36"/>
      <c r="AT44" s="35"/>
      <c r="AU44" s="35"/>
      <c r="AV44" s="35"/>
      <c r="AW44" s="35"/>
      <c r="AX44" s="35"/>
      <c r="AY44" s="34"/>
      <c r="AZ44" s="35"/>
      <c r="BA44" s="35"/>
      <c r="BB44" s="35"/>
      <c r="BC44" s="36"/>
      <c r="BD44" s="35"/>
      <c r="BE44" s="35"/>
      <c r="BF44" s="35"/>
      <c r="BG44" s="35"/>
      <c r="BH44" s="35"/>
      <c r="BI44" s="34"/>
      <c r="BJ44" s="35"/>
      <c r="BK44" s="35"/>
      <c r="BL44" s="35"/>
      <c r="BM44" s="36"/>
    </row>
    <row r="45" spans="1:65" hidden="1" x14ac:dyDescent="0.2">
      <c r="A45" s="47" t="s">
        <v>103</v>
      </c>
      <c r="B45" s="48"/>
      <c r="C45" s="49"/>
      <c r="D45" s="50"/>
      <c r="E45" s="50"/>
      <c r="F45" s="50"/>
      <c r="G45" s="51"/>
      <c r="H45" s="50"/>
      <c r="I45" s="50"/>
      <c r="J45" s="50"/>
      <c r="K45" s="50"/>
      <c r="L45" s="50"/>
      <c r="M45" s="49"/>
      <c r="N45" s="50"/>
      <c r="O45" s="50"/>
      <c r="P45" s="50"/>
      <c r="Q45" s="51"/>
      <c r="R45" s="50"/>
      <c r="S45" s="50"/>
      <c r="T45" s="50"/>
      <c r="U45" s="50"/>
      <c r="V45" s="50"/>
      <c r="W45" s="49"/>
      <c r="X45" s="50"/>
      <c r="Y45" s="50"/>
      <c r="Z45" s="50"/>
      <c r="AA45" s="51"/>
      <c r="AB45" s="50"/>
      <c r="AC45" s="50"/>
      <c r="AD45" s="50"/>
      <c r="AE45" s="50"/>
      <c r="AF45" s="50"/>
      <c r="AG45" s="49"/>
      <c r="AH45" s="50"/>
      <c r="AI45" s="50"/>
      <c r="AJ45" s="50"/>
      <c r="AK45" s="50"/>
      <c r="AL45" s="50"/>
      <c r="AM45" s="49"/>
      <c r="AN45" s="50"/>
      <c r="AO45" s="50"/>
      <c r="AP45" s="50"/>
      <c r="AQ45" s="50"/>
      <c r="AR45" s="50"/>
      <c r="AS45" s="51"/>
      <c r="AT45" s="50"/>
      <c r="AU45" s="50"/>
      <c r="AV45" s="50"/>
      <c r="AW45" s="50"/>
      <c r="AX45" s="50"/>
      <c r="AY45" s="49"/>
      <c r="AZ45" s="50"/>
      <c r="BA45" s="50"/>
      <c r="BB45" s="50"/>
      <c r="BC45" s="51"/>
      <c r="BD45" s="50"/>
      <c r="BE45" s="50"/>
      <c r="BF45" s="50"/>
      <c r="BG45" s="50"/>
      <c r="BH45" s="50"/>
      <c r="BI45" s="49"/>
      <c r="BJ45" s="50"/>
      <c r="BK45" s="50"/>
      <c r="BL45" s="50"/>
      <c r="BM45" s="51"/>
    </row>
    <row r="46" spans="1:65" hidden="1" x14ac:dyDescent="0.2">
      <c r="A46" s="30"/>
      <c r="B46" s="31"/>
      <c r="C46" s="95"/>
      <c r="D46" s="96"/>
      <c r="E46" s="96"/>
      <c r="F46" s="96"/>
      <c r="G46" s="97"/>
      <c r="H46" s="96"/>
      <c r="I46" s="96"/>
      <c r="J46" s="96"/>
      <c r="K46" s="96"/>
      <c r="L46" s="96"/>
      <c r="M46" s="95"/>
      <c r="N46" s="96"/>
      <c r="O46" s="96"/>
      <c r="P46" s="96"/>
      <c r="Q46" s="97"/>
      <c r="R46" s="96"/>
      <c r="S46" s="96"/>
      <c r="T46" s="96"/>
      <c r="U46" s="96"/>
      <c r="V46" s="96"/>
      <c r="W46" s="95"/>
      <c r="X46" s="96"/>
      <c r="Y46" s="96"/>
      <c r="Z46" s="96"/>
      <c r="AA46" s="97"/>
      <c r="AB46" s="96"/>
      <c r="AC46" s="96"/>
      <c r="AD46" s="96"/>
      <c r="AE46" s="96"/>
      <c r="AF46" s="96"/>
      <c r="AG46" s="95"/>
      <c r="AH46" s="96"/>
      <c r="AI46" s="96"/>
      <c r="AJ46" s="96"/>
      <c r="AK46" s="96"/>
      <c r="AL46" s="96"/>
      <c r="AM46" s="95"/>
      <c r="AN46" s="96"/>
      <c r="AO46" s="96"/>
      <c r="AP46" s="96"/>
      <c r="AQ46" s="96"/>
      <c r="AR46" s="96"/>
      <c r="AS46" s="97"/>
      <c r="AT46" s="96"/>
      <c r="AU46" s="96"/>
      <c r="AV46" s="96"/>
      <c r="AW46" s="96"/>
      <c r="AX46" s="96"/>
      <c r="AY46" s="95"/>
      <c r="AZ46" s="96"/>
      <c r="BA46" s="96"/>
      <c r="BB46" s="96"/>
      <c r="BC46" s="97"/>
      <c r="BD46" s="96"/>
      <c r="BE46" s="96"/>
      <c r="BF46" s="96"/>
      <c r="BG46" s="96"/>
      <c r="BH46" s="96"/>
      <c r="BI46" s="95"/>
      <c r="BJ46" s="96"/>
      <c r="BK46" s="96"/>
      <c r="BL46" s="96"/>
      <c r="BM46" s="97"/>
    </row>
    <row r="47" spans="1:65" hidden="1" x14ac:dyDescent="0.2">
      <c r="A47" s="30"/>
      <c r="B47" s="31"/>
      <c r="C47" s="21"/>
      <c r="D47" s="22"/>
      <c r="E47" s="22"/>
      <c r="F47" s="22"/>
      <c r="G47" s="23"/>
      <c r="H47" s="22"/>
      <c r="I47" s="22"/>
      <c r="J47" s="22"/>
      <c r="K47" s="22"/>
      <c r="L47" s="22"/>
      <c r="M47" s="21"/>
      <c r="N47" s="22"/>
      <c r="O47" s="22"/>
      <c r="P47" s="22"/>
      <c r="Q47" s="23"/>
      <c r="R47" s="22"/>
      <c r="S47" s="22"/>
      <c r="T47" s="22"/>
      <c r="U47" s="22"/>
      <c r="V47" s="22"/>
      <c r="W47" s="21"/>
      <c r="X47" s="22"/>
      <c r="Y47" s="22"/>
      <c r="Z47" s="22"/>
      <c r="AA47" s="23"/>
      <c r="AB47" s="22"/>
      <c r="AC47" s="22"/>
      <c r="AD47" s="22"/>
      <c r="AE47" s="22"/>
      <c r="AF47" s="22"/>
      <c r="AG47" s="21"/>
      <c r="AH47" s="22"/>
      <c r="AI47" s="22"/>
      <c r="AJ47" s="22"/>
      <c r="AK47" s="22"/>
      <c r="AL47" s="22"/>
      <c r="AM47" s="21"/>
      <c r="AN47" s="22"/>
      <c r="AO47" s="22"/>
      <c r="AP47" s="22"/>
      <c r="AQ47" s="22"/>
      <c r="AR47" s="22"/>
      <c r="AS47" s="23"/>
      <c r="AT47" s="22"/>
      <c r="AU47" s="22"/>
      <c r="AV47" s="22"/>
      <c r="AW47" s="22"/>
      <c r="AX47" s="22"/>
      <c r="AY47" s="21"/>
      <c r="AZ47" s="22"/>
      <c r="BA47" s="22"/>
      <c r="BB47" s="22"/>
      <c r="BC47" s="23"/>
      <c r="BD47" s="22"/>
      <c r="BE47" s="22"/>
      <c r="BF47" s="22"/>
      <c r="BG47" s="22"/>
      <c r="BH47" s="22"/>
      <c r="BI47" s="21"/>
      <c r="BJ47" s="22"/>
      <c r="BK47" s="22"/>
      <c r="BL47" s="22"/>
      <c r="BM47" s="23"/>
    </row>
    <row r="48" spans="1:65" hidden="1" x14ac:dyDescent="0.2">
      <c r="A48" s="30"/>
      <c r="B48" s="31"/>
      <c r="C48" s="21"/>
      <c r="D48" s="22"/>
      <c r="E48" s="22"/>
      <c r="F48" s="22"/>
      <c r="G48" s="23"/>
      <c r="H48" s="22"/>
      <c r="I48" s="22"/>
      <c r="J48" s="22"/>
      <c r="K48" s="22"/>
      <c r="L48" s="22"/>
      <c r="M48" s="21"/>
      <c r="N48" s="22"/>
      <c r="O48" s="22"/>
      <c r="P48" s="22"/>
      <c r="Q48" s="23"/>
      <c r="R48" s="22"/>
      <c r="S48" s="22"/>
      <c r="T48" s="22"/>
      <c r="U48" s="22"/>
      <c r="V48" s="22"/>
      <c r="W48" s="21"/>
      <c r="X48" s="22"/>
      <c r="Y48" s="22"/>
      <c r="Z48" s="22"/>
      <c r="AA48" s="23"/>
      <c r="AB48" s="22"/>
      <c r="AC48" s="22"/>
      <c r="AD48" s="22"/>
      <c r="AE48" s="22"/>
      <c r="AF48" s="22"/>
      <c r="AG48" s="21"/>
      <c r="AH48" s="22"/>
      <c r="AI48" s="22"/>
      <c r="AJ48" s="22"/>
      <c r="AK48" s="22"/>
      <c r="AL48" s="22"/>
      <c r="AM48" s="21"/>
      <c r="AN48" s="22"/>
      <c r="AO48" s="22"/>
      <c r="AP48" s="22"/>
      <c r="AQ48" s="22"/>
      <c r="AR48" s="22"/>
      <c r="AS48" s="23"/>
      <c r="AT48" s="22"/>
      <c r="AU48" s="22"/>
      <c r="AV48" s="22"/>
      <c r="AW48" s="22"/>
      <c r="AX48" s="22"/>
      <c r="AY48" s="21"/>
      <c r="AZ48" s="22"/>
      <c r="BA48" s="22"/>
      <c r="BB48" s="22"/>
      <c r="BC48" s="23"/>
      <c r="BD48" s="22"/>
      <c r="BE48" s="22"/>
      <c r="BF48" s="22"/>
      <c r="BG48" s="22"/>
      <c r="BH48" s="22"/>
      <c r="BI48" s="21"/>
      <c r="BJ48" s="22"/>
      <c r="BK48" s="22"/>
      <c r="BL48" s="22"/>
      <c r="BM48" s="23"/>
    </row>
    <row r="49" spans="1:65" hidden="1" x14ac:dyDescent="0.2">
      <c r="A49" s="28"/>
      <c r="B49" s="29"/>
      <c r="C49" s="34"/>
      <c r="D49" s="35"/>
      <c r="E49" s="35"/>
      <c r="F49" s="35"/>
      <c r="G49" s="36"/>
      <c r="H49" s="35"/>
      <c r="I49" s="35"/>
      <c r="J49" s="35"/>
      <c r="K49" s="35"/>
      <c r="L49" s="35"/>
      <c r="M49" s="34"/>
      <c r="N49" s="35"/>
      <c r="O49" s="35"/>
      <c r="P49" s="35"/>
      <c r="Q49" s="36"/>
      <c r="R49" s="35"/>
      <c r="S49" s="35"/>
      <c r="T49" s="35"/>
      <c r="U49" s="35"/>
      <c r="V49" s="35"/>
      <c r="W49" s="34"/>
      <c r="X49" s="35"/>
      <c r="Y49" s="35"/>
      <c r="Z49" s="35"/>
      <c r="AA49" s="36"/>
      <c r="AB49" s="35"/>
      <c r="AC49" s="35"/>
      <c r="AD49" s="35"/>
      <c r="AE49" s="35"/>
      <c r="AF49" s="35"/>
      <c r="AG49" s="34"/>
      <c r="AH49" s="35"/>
      <c r="AI49" s="35"/>
      <c r="AJ49" s="35"/>
      <c r="AK49" s="35"/>
      <c r="AL49" s="35"/>
      <c r="AM49" s="34"/>
      <c r="AN49" s="35"/>
      <c r="AO49" s="35"/>
      <c r="AP49" s="35"/>
      <c r="AQ49" s="35"/>
      <c r="AR49" s="35"/>
      <c r="AS49" s="36"/>
      <c r="AT49" s="35"/>
      <c r="AU49" s="35"/>
      <c r="AV49" s="35"/>
      <c r="AW49" s="35"/>
      <c r="AX49" s="35"/>
      <c r="AY49" s="34"/>
      <c r="AZ49" s="35"/>
      <c r="BA49" s="35"/>
      <c r="BB49" s="35"/>
      <c r="BC49" s="36"/>
      <c r="BD49" s="35"/>
      <c r="BE49" s="35"/>
      <c r="BF49" s="35"/>
      <c r="BG49" s="35"/>
      <c r="BH49" s="35"/>
      <c r="BI49" s="34"/>
      <c r="BJ49" s="35"/>
      <c r="BK49" s="35"/>
      <c r="BL49" s="35"/>
      <c r="BM49" s="36"/>
    </row>
    <row r="50" spans="1:65" hidden="1" x14ac:dyDescent="0.2">
      <c r="A50" s="47" t="s">
        <v>102</v>
      </c>
      <c r="B50" s="48"/>
      <c r="C50" s="49"/>
      <c r="D50" s="50"/>
      <c r="E50" s="50"/>
      <c r="F50" s="50"/>
      <c r="G50" s="51"/>
      <c r="H50" s="50"/>
      <c r="I50" s="50"/>
      <c r="J50" s="50"/>
      <c r="K50" s="50"/>
      <c r="L50" s="50"/>
      <c r="M50" s="49"/>
      <c r="N50" s="50"/>
      <c r="O50" s="50"/>
      <c r="P50" s="50"/>
      <c r="Q50" s="51"/>
      <c r="R50" s="50"/>
      <c r="S50" s="50"/>
      <c r="T50" s="50"/>
      <c r="U50" s="50"/>
      <c r="V50" s="50"/>
      <c r="W50" s="49"/>
      <c r="X50" s="50"/>
      <c r="Y50" s="50"/>
      <c r="Z50" s="50"/>
      <c r="AA50" s="51"/>
      <c r="AB50" s="50"/>
      <c r="AC50" s="50"/>
      <c r="AD50" s="50"/>
      <c r="AE50" s="50"/>
      <c r="AF50" s="50"/>
      <c r="AG50" s="49"/>
      <c r="AH50" s="50"/>
      <c r="AI50" s="50"/>
      <c r="AJ50" s="50"/>
      <c r="AK50" s="50"/>
      <c r="AL50" s="50"/>
      <c r="AM50" s="49"/>
      <c r="AN50" s="50"/>
      <c r="AO50" s="50"/>
      <c r="AP50" s="50"/>
      <c r="AQ50" s="50"/>
      <c r="AR50" s="50"/>
      <c r="AS50" s="51"/>
      <c r="AT50" s="50"/>
      <c r="AU50" s="50"/>
      <c r="AV50" s="50"/>
      <c r="AW50" s="50"/>
      <c r="AX50" s="50"/>
      <c r="AY50" s="49"/>
      <c r="AZ50" s="50"/>
      <c r="BA50" s="50"/>
      <c r="BB50" s="50"/>
      <c r="BC50" s="51"/>
      <c r="BD50" s="50"/>
      <c r="BE50" s="50"/>
      <c r="BF50" s="50"/>
      <c r="BG50" s="50"/>
      <c r="BH50" s="50"/>
      <c r="BI50" s="49"/>
      <c r="BJ50" s="50"/>
      <c r="BK50" s="50"/>
      <c r="BL50" s="50"/>
      <c r="BM50" s="51"/>
    </row>
    <row r="51" spans="1:65" hidden="1" x14ac:dyDescent="0.2">
      <c r="A51" s="30"/>
      <c r="B51" s="31"/>
      <c r="C51" s="95"/>
      <c r="D51" s="96"/>
      <c r="E51" s="96"/>
      <c r="F51" s="96"/>
      <c r="G51" s="97"/>
      <c r="H51" s="96"/>
      <c r="I51" s="96"/>
      <c r="J51" s="96"/>
      <c r="K51" s="96"/>
      <c r="L51" s="96"/>
      <c r="M51" s="95"/>
      <c r="N51" s="96"/>
      <c r="O51" s="96"/>
      <c r="P51" s="96"/>
      <c r="Q51" s="97"/>
      <c r="R51" s="96"/>
      <c r="S51" s="96"/>
      <c r="T51" s="96"/>
      <c r="U51" s="96"/>
      <c r="V51" s="96"/>
      <c r="W51" s="95"/>
      <c r="X51" s="96"/>
      <c r="Y51" s="96"/>
      <c r="Z51" s="96"/>
      <c r="AA51" s="97"/>
      <c r="AB51" s="96"/>
      <c r="AC51" s="96"/>
      <c r="AD51" s="96"/>
      <c r="AE51" s="96"/>
      <c r="AF51" s="96"/>
      <c r="AG51" s="95"/>
      <c r="AH51" s="96"/>
      <c r="AI51" s="96"/>
      <c r="AJ51" s="96"/>
      <c r="AK51" s="96"/>
      <c r="AL51" s="96"/>
      <c r="AM51" s="95"/>
      <c r="AN51" s="96"/>
      <c r="AO51" s="96"/>
      <c r="AP51" s="96"/>
      <c r="AQ51" s="96"/>
      <c r="AR51" s="96"/>
      <c r="AS51" s="97"/>
      <c r="AT51" s="96"/>
      <c r="AU51" s="96"/>
      <c r="AV51" s="96"/>
      <c r="AW51" s="96"/>
      <c r="AX51" s="96"/>
      <c r="AY51" s="95"/>
      <c r="AZ51" s="96"/>
      <c r="BA51" s="96"/>
      <c r="BB51" s="96"/>
      <c r="BC51" s="97"/>
      <c r="BD51" s="96"/>
      <c r="BE51" s="96"/>
      <c r="BF51" s="96"/>
      <c r="BG51" s="96"/>
      <c r="BH51" s="96"/>
      <c r="BI51" s="95"/>
      <c r="BJ51" s="96"/>
      <c r="BK51" s="96"/>
      <c r="BL51" s="96"/>
      <c r="BM51" s="97"/>
    </row>
    <row r="52" spans="1:65" hidden="1" x14ac:dyDescent="0.2">
      <c r="A52" s="30"/>
      <c r="B52" s="31"/>
      <c r="C52" s="21"/>
      <c r="D52" s="22"/>
      <c r="E52" s="22"/>
      <c r="F52" s="22"/>
      <c r="G52" s="23"/>
      <c r="H52" s="22"/>
      <c r="I52" s="22"/>
      <c r="J52" s="22"/>
      <c r="K52" s="22"/>
      <c r="L52" s="22"/>
      <c r="M52" s="21"/>
      <c r="N52" s="22"/>
      <c r="O52" s="22"/>
      <c r="P52" s="22"/>
      <c r="Q52" s="23"/>
      <c r="R52" s="22"/>
      <c r="S52" s="22"/>
      <c r="T52" s="22"/>
      <c r="U52" s="22"/>
      <c r="V52" s="22"/>
      <c r="W52" s="21"/>
      <c r="X52" s="22"/>
      <c r="Y52" s="22"/>
      <c r="Z52" s="22"/>
      <c r="AA52" s="23"/>
      <c r="AB52" s="22"/>
      <c r="AC52" s="22"/>
      <c r="AD52" s="22"/>
      <c r="AE52" s="22"/>
      <c r="AF52" s="22"/>
      <c r="AG52" s="21"/>
      <c r="AH52" s="22"/>
      <c r="AI52" s="22"/>
      <c r="AJ52" s="22"/>
      <c r="AK52" s="22"/>
      <c r="AL52" s="22"/>
      <c r="AM52" s="21"/>
      <c r="AN52" s="22"/>
      <c r="AO52" s="22"/>
      <c r="AP52" s="22"/>
      <c r="AQ52" s="22"/>
      <c r="AR52" s="22"/>
      <c r="AS52" s="23"/>
      <c r="AT52" s="22"/>
      <c r="AU52" s="22"/>
      <c r="AV52" s="22"/>
      <c r="AW52" s="22"/>
      <c r="AX52" s="22"/>
      <c r="AY52" s="21"/>
      <c r="AZ52" s="22"/>
      <c r="BA52" s="22"/>
      <c r="BB52" s="22"/>
      <c r="BC52" s="23"/>
      <c r="BD52" s="22"/>
      <c r="BE52" s="22"/>
      <c r="BF52" s="22"/>
      <c r="BG52" s="22"/>
      <c r="BH52" s="22"/>
      <c r="BI52" s="21"/>
      <c r="BJ52" s="22"/>
      <c r="BK52" s="22"/>
      <c r="BL52" s="22"/>
      <c r="BM52" s="23"/>
    </row>
    <row r="53" spans="1:65" hidden="1" x14ac:dyDescent="0.2">
      <c r="A53" s="30"/>
      <c r="B53" s="31"/>
      <c r="C53" s="21"/>
      <c r="D53" s="22"/>
      <c r="E53" s="22"/>
      <c r="F53" s="22"/>
      <c r="G53" s="23"/>
      <c r="H53" s="22"/>
      <c r="I53" s="22"/>
      <c r="J53" s="22"/>
      <c r="K53" s="22"/>
      <c r="L53" s="22"/>
      <c r="M53" s="21"/>
      <c r="N53" s="22"/>
      <c r="O53" s="22"/>
      <c r="P53" s="22"/>
      <c r="Q53" s="23"/>
      <c r="R53" s="22"/>
      <c r="S53" s="22"/>
      <c r="T53" s="22"/>
      <c r="U53" s="22"/>
      <c r="V53" s="22"/>
      <c r="W53" s="21"/>
      <c r="X53" s="22"/>
      <c r="Y53" s="22"/>
      <c r="Z53" s="22"/>
      <c r="AA53" s="23"/>
      <c r="AB53" s="22"/>
      <c r="AC53" s="22"/>
      <c r="AD53" s="22"/>
      <c r="AE53" s="22"/>
      <c r="AF53" s="22"/>
      <c r="AG53" s="21"/>
      <c r="AH53" s="22"/>
      <c r="AI53" s="22"/>
      <c r="AJ53" s="22"/>
      <c r="AK53" s="22"/>
      <c r="AL53" s="22"/>
      <c r="AM53" s="21"/>
      <c r="AN53" s="22"/>
      <c r="AO53" s="22"/>
      <c r="AP53" s="22"/>
      <c r="AQ53" s="22"/>
      <c r="AR53" s="22"/>
      <c r="AS53" s="23"/>
      <c r="AT53" s="22"/>
      <c r="AU53" s="22"/>
      <c r="AV53" s="22"/>
      <c r="AW53" s="22"/>
      <c r="AX53" s="22"/>
      <c r="AY53" s="21"/>
      <c r="AZ53" s="22"/>
      <c r="BA53" s="22"/>
      <c r="BB53" s="22"/>
      <c r="BC53" s="23"/>
      <c r="BD53" s="22"/>
      <c r="BE53" s="22"/>
      <c r="BF53" s="22"/>
      <c r="BG53" s="22"/>
      <c r="BH53" s="22"/>
      <c r="BI53" s="21"/>
      <c r="BJ53" s="22"/>
      <c r="BK53" s="22"/>
      <c r="BL53" s="22"/>
      <c r="BM53" s="23"/>
    </row>
    <row r="54" spans="1:65" hidden="1" x14ac:dyDescent="0.2">
      <c r="A54" s="28"/>
      <c r="B54" s="29"/>
      <c r="C54" s="34"/>
      <c r="D54" s="35"/>
      <c r="E54" s="35"/>
      <c r="F54" s="35"/>
      <c r="G54" s="36"/>
      <c r="H54" s="35"/>
      <c r="I54" s="35"/>
      <c r="J54" s="35"/>
      <c r="K54" s="35"/>
      <c r="L54" s="35"/>
      <c r="M54" s="34"/>
      <c r="N54" s="35"/>
      <c r="O54" s="35"/>
      <c r="P54" s="35"/>
      <c r="Q54" s="36"/>
      <c r="R54" s="35"/>
      <c r="S54" s="35"/>
      <c r="T54" s="35"/>
      <c r="U54" s="35"/>
      <c r="V54" s="35"/>
      <c r="W54" s="34"/>
      <c r="X54" s="35"/>
      <c r="Y54" s="35"/>
      <c r="Z54" s="35"/>
      <c r="AA54" s="36"/>
      <c r="AB54" s="35"/>
      <c r="AC54" s="35"/>
      <c r="AD54" s="35"/>
      <c r="AE54" s="35"/>
      <c r="AF54" s="35"/>
      <c r="AG54" s="34"/>
      <c r="AH54" s="35"/>
      <c r="AI54" s="35"/>
      <c r="AJ54" s="35"/>
      <c r="AK54" s="35"/>
      <c r="AL54" s="35"/>
      <c r="AM54" s="34"/>
      <c r="AN54" s="35"/>
      <c r="AO54" s="35"/>
      <c r="AP54" s="35"/>
      <c r="AQ54" s="35"/>
      <c r="AR54" s="35"/>
      <c r="AS54" s="36"/>
      <c r="AT54" s="35"/>
      <c r="AU54" s="35"/>
      <c r="AV54" s="35"/>
      <c r="AW54" s="35"/>
      <c r="AX54" s="35"/>
      <c r="AY54" s="34"/>
      <c r="AZ54" s="35"/>
      <c r="BA54" s="35"/>
      <c r="BB54" s="35"/>
      <c r="BC54" s="36"/>
      <c r="BD54" s="35"/>
      <c r="BE54" s="35"/>
      <c r="BF54" s="35"/>
      <c r="BG54" s="35"/>
      <c r="BH54" s="35"/>
      <c r="BI54" s="34"/>
      <c r="BJ54" s="35"/>
      <c r="BK54" s="35"/>
      <c r="BL54" s="35"/>
      <c r="BM54" s="36"/>
    </row>
    <row r="55" spans="1:65" hidden="1" x14ac:dyDescent="0.2">
      <c r="A55" s="47" t="s">
        <v>101</v>
      </c>
      <c r="B55" s="48"/>
      <c r="C55" s="49"/>
      <c r="D55" s="50"/>
      <c r="E55" s="50"/>
      <c r="F55" s="50"/>
      <c r="G55" s="51"/>
      <c r="H55" s="50"/>
      <c r="I55" s="50"/>
      <c r="J55" s="50"/>
      <c r="K55" s="50"/>
      <c r="L55" s="50"/>
      <c r="M55" s="49"/>
      <c r="N55" s="50"/>
      <c r="O55" s="50"/>
      <c r="P55" s="50"/>
      <c r="Q55" s="51"/>
      <c r="R55" s="50"/>
      <c r="S55" s="50"/>
      <c r="T55" s="50"/>
      <c r="U55" s="50"/>
      <c r="V55" s="50"/>
      <c r="W55" s="49"/>
      <c r="X55" s="50"/>
      <c r="Y55" s="50"/>
      <c r="Z55" s="50"/>
      <c r="AA55" s="51"/>
      <c r="AB55" s="50"/>
      <c r="AC55" s="50"/>
      <c r="AD55" s="50"/>
      <c r="AE55" s="50"/>
      <c r="AF55" s="50"/>
      <c r="AG55" s="49"/>
      <c r="AH55" s="50"/>
      <c r="AI55" s="50"/>
      <c r="AJ55" s="50"/>
      <c r="AK55" s="50"/>
      <c r="AL55" s="50"/>
      <c r="AM55" s="49"/>
      <c r="AN55" s="50"/>
      <c r="AO55" s="50"/>
      <c r="AP55" s="50"/>
      <c r="AQ55" s="50"/>
      <c r="AR55" s="50"/>
      <c r="AS55" s="51"/>
      <c r="AT55" s="50"/>
      <c r="AU55" s="50"/>
      <c r="AV55" s="50"/>
      <c r="AW55" s="50"/>
      <c r="AX55" s="50"/>
      <c r="AY55" s="49"/>
      <c r="AZ55" s="50"/>
      <c r="BA55" s="50"/>
      <c r="BB55" s="50"/>
      <c r="BC55" s="51"/>
      <c r="BD55" s="50"/>
      <c r="BE55" s="50"/>
      <c r="BF55" s="50"/>
      <c r="BG55" s="50"/>
      <c r="BH55" s="50"/>
      <c r="BI55" s="49"/>
      <c r="BJ55" s="50"/>
      <c r="BK55" s="50"/>
      <c r="BL55" s="50"/>
      <c r="BM55" s="51"/>
    </row>
    <row r="56" spans="1:65" hidden="1" x14ac:dyDescent="0.2">
      <c r="A56" s="30"/>
      <c r="B56" s="31"/>
      <c r="C56" s="95"/>
      <c r="D56" s="96"/>
      <c r="E56" s="96"/>
      <c r="F56" s="96"/>
      <c r="G56" s="97"/>
      <c r="H56" s="96"/>
      <c r="I56" s="96"/>
      <c r="J56" s="96"/>
      <c r="K56" s="96"/>
      <c r="L56" s="96"/>
      <c r="M56" s="95"/>
      <c r="N56" s="96"/>
      <c r="O56" s="96"/>
      <c r="P56" s="96"/>
      <c r="Q56" s="97"/>
      <c r="R56" s="96"/>
      <c r="S56" s="96"/>
      <c r="T56" s="96"/>
      <c r="U56" s="96"/>
      <c r="V56" s="96"/>
      <c r="W56" s="95"/>
      <c r="X56" s="96"/>
      <c r="Y56" s="96"/>
      <c r="Z56" s="96"/>
      <c r="AA56" s="97"/>
      <c r="AB56" s="96"/>
      <c r="AC56" s="96"/>
      <c r="AD56" s="96"/>
      <c r="AE56" s="96"/>
      <c r="AF56" s="96"/>
      <c r="AG56" s="95"/>
      <c r="AH56" s="96"/>
      <c r="AI56" s="96"/>
      <c r="AJ56" s="96"/>
      <c r="AK56" s="96"/>
      <c r="AL56" s="96"/>
      <c r="AM56" s="95"/>
      <c r="AN56" s="96"/>
      <c r="AO56" s="96"/>
      <c r="AP56" s="96"/>
      <c r="AQ56" s="96"/>
      <c r="AR56" s="96"/>
      <c r="AS56" s="97"/>
      <c r="AT56" s="96"/>
      <c r="AU56" s="96"/>
      <c r="AV56" s="96"/>
      <c r="AW56" s="96"/>
      <c r="AX56" s="96"/>
      <c r="AY56" s="95"/>
      <c r="AZ56" s="96"/>
      <c r="BA56" s="96"/>
      <c r="BB56" s="96"/>
      <c r="BC56" s="97"/>
      <c r="BD56" s="96"/>
      <c r="BE56" s="96"/>
      <c r="BF56" s="96"/>
      <c r="BG56" s="96"/>
      <c r="BH56" s="96"/>
      <c r="BI56" s="95"/>
      <c r="BJ56" s="96"/>
      <c r="BK56" s="96"/>
      <c r="BL56" s="96"/>
      <c r="BM56" s="97"/>
    </row>
    <row r="57" spans="1:65" hidden="1" x14ac:dyDescent="0.2">
      <c r="A57" s="30"/>
      <c r="B57" s="31"/>
      <c r="C57" s="21"/>
      <c r="D57" s="22"/>
      <c r="E57" s="22"/>
      <c r="F57" s="22"/>
      <c r="G57" s="23"/>
      <c r="H57" s="22"/>
      <c r="I57" s="22"/>
      <c r="J57" s="22"/>
      <c r="K57" s="22"/>
      <c r="L57" s="22"/>
      <c r="M57" s="21"/>
      <c r="N57" s="22"/>
      <c r="O57" s="22"/>
      <c r="P57" s="22"/>
      <c r="Q57" s="23"/>
      <c r="R57" s="22"/>
      <c r="S57" s="22"/>
      <c r="T57" s="22"/>
      <c r="U57" s="22"/>
      <c r="V57" s="22"/>
      <c r="W57" s="21"/>
      <c r="X57" s="22"/>
      <c r="Y57" s="22"/>
      <c r="Z57" s="22"/>
      <c r="AA57" s="23"/>
      <c r="AB57" s="22"/>
      <c r="AC57" s="22"/>
      <c r="AD57" s="22"/>
      <c r="AE57" s="22"/>
      <c r="AF57" s="22"/>
      <c r="AG57" s="21"/>
      <c r="AH57" s="22"/>
      <c r="AI57" s="22"/>
      <c r="AJ57" s="22"/>
      <c r="AK57" s="22"/>
      <c r="AL57" s="22"/>
      <c r="AM57" s="21"/>
      <c r="AN57" s="22"/>
      <c r="AO57" s="22"/>
      <c r="AP57" s="22"/>
      <c r="AQ57" s="22"/>
      <c r="AR57" s="22"/>
      <c r="AS57" s="23"/>
      <c r="AT57" s="22"/>
      <c r="AU57" s="22"/>
      <c r="AV57" s="22"/>
      <c r="AW57" s="22"/>
      <c r="AX57" s="22"/>
      <c r="AY57" s="21"/>
      <c r="AZ57" s="22"/>
      <c r="BA57" s="22"/>
      <c r="BB57" s="22"/>
      <c r="BC57" s="23"/>
      <c r="BD57" s="22"/>
      <c r="BE57" s="22"/>
      <c r="BF57" s="22"/>
      <c r="BG57" s="22"/>
      <c r="BH57" s="22"/>
      <c r="BI57" s="21"/>
      <c r="BJ57" s="22"/>
      <c r="BK57" s="22"/>
      <c r="BL57" s="22"/>
      <c r="BM57" s="23"/>
    </row>
    <row r="58" spans="1:65" hidden="1" x14ac:dyDescent="0.2">
      <c r="A58" s="30"/>
      <c r="B58" s="31"/>
      <c r="C58" s="21"/>
      <c r="D58" s="22"/>
      <c r="E58" s="22"/>
      <c r="F58" s="22"/>
      <c r="G58" s="23"/>
      <c r="H58" s="22"/>
      <c r="I58" s="22"/>
      <c r="J58" s="22"/>
      <c r="K58" s="22"/>
      <c r="L58" s="22"/>
      <c r="M58" s="21"/>
      <c r="N58" s="22"/>
      <c r="O58" s="22"/>
      <c r="P58" s="22"/>
      <c r="Q58" s="23"/>
      <c r="R58" s="22"/>
      <c r="S58" s="22"/>
      <c r="T58" s="22"/>
      <c r="U58" s="22"/>
      <c r="V58" s="22"/>
      <c r="W58" s="21"/>
      <c r="X58" s="22"/>
      <c r="Y58" s="22"/>
      <c r="Z58" s="22"/>
      <c r="AA58" s="23"/>
      <c r="AB58" s="22"/>
      <c r="AC58" s="22"/>
      <c r="AD58" s="22"/>
      <c r="AE58" s="22"/>
      <c r="AF58" s="22"/>
      <c r="AG58" s="21"/>
      <c r="AH58" s="22"/>
      <c r="AI58" s="22"/>
      <c r="AJ58" s="22"/>
      <c r="AK58" s="22"/>
      <c r="AL58" s="22"/>
      <c r="AM58" s="21"/>
      <c r="AN58" s="22"/>
      <c r="AO58" s="22"/>
      <c r="AP58" s="22"/>
      <c r="AQ58" s="22"/>
      <c r="AR58" s="22"/>
      <c r="AS58" s="23"/>
      <c r="AT58" s="22"/>
      <c r="AU58" s="22"/>
      <c r="AV58" s="22"/>
      <c r="AW58" s="22"/>
      <c r="AX58" s="22"/>
      <c r="AY58" s="21"/>
      <c r="AZ58" s="22"/>
      <c r="BA58" s="22"/>
      <c r="BB58" s="22"/>
      <c r="BC58" s="23"/>
      <c r="BD58" s="22"/>
      <c r="BE58" s="22"/>
      <c r="BF58" s="22"/>
      <c r="BG58" s="22"/>
      <c r="BH58" s="22"/>
      <c r="BI58" s="21"/>
      <c r="BJ58" s="22"/>
      <c r="BK58" s="22"/>
      <c r="BL58" s="22"/>
      <c r="BM58" s="23"/>
    </row>
    <row r="59" spans="1:65" hidden="1" x14ac:dyDescent="0.2">
      <c r="A59" s="30"/>
      <c r="B59" s="31"/>
      <c r="C59" s="21"/>
      <c r="D59" s="22"/>
      <c r="E59" s="22"/>
      <c r="F59" s="22"/>
      <c r="G59" s="23"/>
      <c r="H59" s="22"/>
      <c r="I59" s="22"/>
      <c r="J59" s="22"/>
      <c r="K59" s="22"/>
      <c r="L59" s="22"/>
      <c r="M59" s="21"/>
      <c r="N59" s="22"/>
      <c r="O59" s="22"/>
      <c r="P59" s="22"/>
      <c r="Q59" s="23"/>
      <c r="R59" s="22"/>
      <c r="S59" s="22"/>
      <c r="T59" s="22"/>
      <c r="U59" s="22"/>
      <c r="V59" s="22"/>
      <c r="W59" s="21"/>
      <c r="X59" s="22"/>
      <c r="Y59" s="22"/>
      <c r="Z59" s="22"/>
      <c r="AA59" s="23"/>
      <c r="AB59" s="22"/>
      <c r="AC59" s="22"/>
      <c r="AD59" s="22"/>
      <c r="AE59" s="22"/>
      <c r="AF59" s="22"/>
      <c r="AG59" s="21"/>
      <c r="AH59" s="22"/>
      <c r="AI59" s="22"/>
      <c r="AJ59" s="22"/>
      <c r="AK59" s="22"/>
      <c r="AL59" s="22"/>
      <c r="AM59" s="21"/>
      <c r="AN59" s="22"/>
      <c r="AO59" s="22"/>
      <c r="AP59" s="22"/>
      <c r="AQ59" s="22"/>
      <c r="AR59" s="22"/>
      <c r="AS59" s="23"/>
      <c r="AT59" s="22"/>
      <c r="AU59" s="22"/>
      <c r="AV59" s="22"/>
      <c r="AW59" s="22"/>
      <c r="AX59" s="22"/>
      <c r="AY59" s="21"/>
      <c r="AZ59" s="22"/>
      <c r="BA59" s="22"/>
      <c r="BB59" s="22"/>
      <c r="BC59" s="23"/>
      <c r="BD59" s="22"/>
      <c r="BE59" s="22"/>
      <c r="BF59" s="22"/>
      <c r="BG59" s="22"/>
      <c r="BH59" s="22"/>
      <c r="BI59" s="21"/>
      <c r="BJ59" s="22"/>
      <c r="BK59" s="22"/>
      <c r="BL59" s="22"/>
      <c r="BM59" s="23"/>
    </row>
    <row r="60" spans="1:65" hidden="1" x14ac:dyDescent="0.2">
      <c r="A60" s="30"/>
      <c r="B60" s="31"/>
      <c r="C60" s="21"/>
      <c r="D60" s="22"/>
      <c r="E60" s="22"/>
      <c r="F60" s="22"/>
      <c r="G60" s="23"/>
      <c r="H60" s="22"/>
      <c r="I60" s="22"/>
      <c r="J60" s="22"/>
      <c r="K60" s="22"/>
      <c r="L60" s="22"/>
      <c r="M60" s="21"/>
      <c r="N60" s="22"/>
      <c r="O60" s="22"/>
      <c r="P60" s="22"/>
      <c r="Q60" s="23"/>
      <c r="R60" s="22"/>
      <c r="S60" s="22"/>
      <c r="T60" s="22"/>
      <c r="U60" s="22"/>
      <c r="V60" s="22"/>
      <c r="W60" s="21"/>
      <c r="X60" s="22"/>
      <c r="Y60" s="22"/>
      <c r="Z60" s="22"/>
      <c r="AA60" s="23"/>
      <c r="AB60" s="22"/>
      <c r="AC60" s="22"/>
      <c r="AD60" s="22"/>
      <c r="AE60" s="22"/>
      <c r="AF60" s="22"/>
      <c r="AG60" s="21"/>
      <c r="AH60" s="22"/>
      <c r="AI60" s="22"/>
      <c r="AJ60" s="22"/>
      <c r="AK60" s="22"/>
      <c r="AL60" s="22"/>
      <c r="AM60" s="21"/>
      <c r="AN60" s="22"/>
      <c r="AO60" s="22"/>
      <c r="AP60" s="22"/>
      <c r="AQ60" s="22"/>
      <c r="AR60" s="22"/>
      <c r="AS60" s="23"/>
      <c r="AT60" s="22"/>
      <c r="AU60" s="22"/>
      <c r="AV60" s="22"/>
      <c r="AW60" s="22"/>
      <c r="AX60" s="22"/>
      <c r="AY60" s="21"/>
      <c r="AZ60" s="22"/>
      <c r="BA60" s="22"/>
      <c r="BB60" s="22"/>
      <c r="BC60" s="23"/>
      <c r="BD60" s="22"/>
      <c r="BE60" s="22"/>
      <c r="BF60" s="22"/>
      <c r="BG60" s="22"/>
      <c r="BH60" s="22"/>
      <c r="BI60" s="21"/>
      <c r="BJ60" s="22"/>
      <c r="BK60" s="22"/>
      <c r="BL60" s="22"/>
      <c r="BM60" s="23"/>
    </row>
    <row r="61" spans="1:65" hidden="1" x14ac:dyDescent="0.2">
      <c r="A61" s="28"/>
      <c r="B61" s="29"/>
      <c r="C61" s="34"/>
      <c r="D61" s="35"/>
      <c r="E61" s="35"/>
      <c r="F61" s="35"/>
      <c r="G61" s="36"/>
      <c r="H61" s="35"/>
      <c r="I61" s="35"/>
      <c r="J61" s="35"/>
      <c r="K61" s="35"/>
      <c r="L61" s="35"/>
      <c r="M61" s="34"/>
      <c r="N61" s="35"/>
      <c r="O61" s="35"/>
      <c r="P61" s="35"/>
      <c r="Q61" s="36"/>
      <c r="R61" s="35"/>
      <c r="S61" s="35"/>
      <c r="T61" s="35"/>
      <c r="U61" s="35"/>
      <c r="V61" s="35"/>
      <c r="W61" s="34"/>
      <c r="X61" s="35"/>
      <c r="Y61" s="35"/>
      <c r="Z61" s="35"/>
      <c r="AA61" s="36"/>
      <c r="AB61" s="35"/>
      <c r="AC61" s="35"/>
      <c r="AD61" s="35"/>
      <c r="AE61" s="35"/>
      <c r="AF61" s="35"/>
      <c r="AG61" s="34"/>
      <c r="AH61" s="35"/>
      <c r="AI61" s="35"/>
      <c r="AJ61" s="35"/>
      <c r="AK61" s="35"/>
      <c r="AL61" s="35"/>
      <c r="AM61" s="34"/>
      <c r="AN61" s="35"/>
      <c r="AO61" s="35"/>
      <c r="AP61" s="35"/>
      <c r="AQ61" s="35"/>
      <c r="AR61" s="35"/>
      <c r="AS61" s="36"/>
      <c r="AT61" s="35"/>
      <c r="AU61" s="35"/>
      <c r="AV61" s="35"/>
      <c r="AW61" s="35"/>
      <c r="AX61" s="35"/>
      <c r="AY61" s="34"/>
      <c r="AZ61" s="35"/>
      <c r="BA61" s="35"/>
      <c r="BB61" s="35"/>
      <c r="BC61" s="36"/>
      <c r="BD61" s="35"/>
      <c r="BE61" s="35"/>
      <c r="BF61" s="35"/>
      <c r="BG61" s="35"/>
      <c r="BH61" s="35"/>
      <c r="BI61" s="34"/>
      <c r="BJ61" s="35"/>
      <c r="BK61" s="35"/>
      <c r="BL61" s="35"/>
      <c r="BM61" s="36"/>
    </row>
    <row r="62" spans="1:65" s="69" customFormat="1" x14ac:dyDescent="0.2">
      <c r="A62" s="67"/>
      <c r="B62" s="68"/>
      <c r="C62" s="65"/>
      <c r="D62" s="64"/>
      <c r="E62" s="64"/>
      <c r="F62" s="64"/>
      <c r="G62" s="66"/>
      <c r="H62" s="64"/>
      <c r="I62" s="64"/>
      <c r="J62" s="64"/>
      <c r="K62" s="64"/>
      <c r="L62" s="64"/>
      <c r="M62" s="65"/>
      <c r="N62" s="64"/>
      <c r="O62" s="64"/>
      <c r="P62" s="64"/>
      <c r="Q62" s="66"/>
      <c r="R62" s="64"/>
      <c r="S62" s="64"/>
      <c r="T62" s="64"/>
      <c r="U62" s="64"/>
      <c r="V62" s="64"/>
      <c r="W62" s="65"/>
      <c r="X62" s="64"/>
      <c r="Y62" s="64"/>
      <c r="Z62" s="64"/>
      <c r="AA62" s="66"/>
      <c r="AB62" s="64"/>
      <c r="AC62" s="64"/>
      <c r="AD62" s="64"/>
      <c r="AE62" s="64"/>
      <c r="AF62" s="64"/>
      <c r="AG62" s="65"/>
      <c r="AH62" s="64"/>
      <c r="AI62" s="64"/>
      <c r="AJ62" s="64"/>
      <c r="AK62" s="64"/>
      <c r="AL62" s="64"/>
      <c r="AM62" s="65"/>
      <c r="AN62" s="64"/>
      <c r="AO62" s="64"/>
      <c r="AP62" s="64"/>
      <c r="AQ62" s="64"/>
      <c r="AR62" s="64"/>
      <c r="AS62" s="66"/>
      <c r="AT62" s="64"/>
      <c r="AU62" s="64"/>
      <c r="AV62" s="64"/>
      <c r="AW62" s="64"/>
      <c r="AX62" s="64"/>
      <c r="AY62" s="65"/>
      <c r="AZ62" s="64"/>
      <c r="BA62" s="64"/>
      <c r="BB62" s="64"/>
      <c r="BC62" s="66"/>
      <c r="BD62" s="64"/>
      <c r="BE62" s="64"/>
      <c r="BF62" s="64"/>
      <c r="BG62" s="64"/>
      <c r="BH62" s="64"/>
      <c r="BI62" s="65"/>
      <c r="BJ62" s="64"/>
      <c r="BK62" s="64"/>
      <c r="BL62" s="64"/>
      <c r="BM62" s="66"/>
    </row>
    <row r="63" spans="1:65" x14ac:dyDescent="0.2">
      <c r="A63" s="70" t="s">
        <v>219</v>
      </c>
      <c r="B63" s="71"/>
      <c r="C63" s="72"/>
      <c r="D63" s="73"/>
      <c r="E63" s="73"/>
      <c r="F63" s="73"/>
      <c r="G63" s="74"/>
      <c r="H63" s="75"/>
      <c r="I63" s="75"/>
      <c r="J63" s="75"/>
      <c r="K63" s="75"/>
      <c r="L63" s="75"/>
      <c r="M63" s="76"/>
      <c r="N63" s="75"/>
      <c r="O63" s="75"/>
      <c r="P63" s="75"/>
      <c r="Q63" s="77"/>
      <c r="R63" s="75"/>
      <c r="S63" s="75"/>
      <c r="T63" s="75"/>
      <c r="U63" s="75"/>
      <c r="V63" s="75"/>
      <c r="W63" s="76"/>
      <c r="X63" s="75"/>
      <c r="Y63" s="75"/>
      <c r="Z63" s="75"/>
      <c r="AA63" s="77"/>
      <c r="AB63" s="75"/>
      <c r="AC63" s="75"/>
      <c r="AD63" s="75"/>
      <c r="AE63" s="75"/>
      <c r="AF63" s="75"/>
      <c r="AG63" s="76"/>
      <c r="AH63" s="75"/>
      <c r="AI63" s="75"/>
      <c r="AJ63" s="75"/>
      <c r="AK63" s="75"/>
      <c r="AL63" s="75"/>
      <c r="AM63" s="79"/>
      <c r="AN63" s="78"/>
      <c r="AO63" s="78"/>
      <c r="AP63" s="78"/>
      <c r="AQ63" s="78"/>
      <c r="AR63" s="78"/>
      <c r="AS63" s="80"/>
      <c r="AT63" s="78"/>
      <c r="AU63" s="78"/>
      <c r="AV63" s="78"/>
      <c r="AW63" s="78"/>
      <c r="AX63" s="78"/>
      <c r="AY63" s="79"/>
      <c r="AZ63" s="78"/>
      <c r="BA63" s="78"/>
      <c r="BB63" s="78"/>
      <c r="BC63" s="80"/>
      <c r="BD63" s="78"/>
      <c r="BE63" s="78"/>
      <c r="BF63" s="78"/>
      <c r="BG63" s="78"/>
      <c r="BH63" s="78"/>
      <c r="BI63" s="34"/>
      <c r="BJ63" s="35"/>
      <c r="BK63" s="35"/>
      <c r="BL63" s="35"/>
      <c r="BM63" s="36"/>
    </row>
    <row r="64" spans="1:65" ht="102.75" customHeight="1" x14ac:dyDescent="0.2">
      <c r="A64" s="93"/>
      <c r="B64" s="94"/>
      <c r="C64" s="90" t="s">
        <v>215</v>
      </c>
      <c r="D64" s="91"/>
      <c r="E64" s="91"/>
      <c r="F64" s="91"/>
      <c r="G64" s="92"/>
      <c r="H64" s="90" t="s">
        <v>215</v>
      </c>
      <c r="I64" s="91"/>
      <c r="J64" s="91"/>
      <c r="K64" s="91"/>
      <c r="L64" s="92"/>
      <c r="M64" s="90" t="s">
        <v>215</v>
      </c>
      <c r="N64" s="91"/>
      <c r="O64" s="91"/>
      <c r="P64" s="91"/>
      <c r="Q64" s="92"/>
      <c r="R64" s="90" t="s">
        <v>215</v>
      </c>
      <c r="S64" s="91"/>
      <c r="T64" s="91"/>
      <c r="U64" s="91"/>
      <c r="V64" s="92"/>
      <c r="W64" s="90" t="s">
        <v>215</v>
      </c>
      <c r="X64" s="91"/>
      <c r="Y64" s="91"/>
      <c r="Z64" s="91"/>
      <c r="AA64" s="92"/>
      <c r="AB64" s="90" t="s">
        <v>303</v>
      </c>
      <c r="AC64" s="91"/>
      <c r="AD64" s="91"/>
      <c r="AE64" s="91"/>
      <c r="AF64" s="92"/>
      <c r="AG64" s="90" t="s">
        <v>303</v>
      </c>
      <c r="AH64" s="91"/>
      <c r="AI64" s="91"/>
      <c r="AJ64" s="91"/>
      <c r="AK64" s="91"/>
      <c r="AL64" s="91"/>
      <c r="AM64" s="90" t="s">
        <v>303</v>
      </c>
      <c r="AN64" s="91"/>
      <c r="AO64" s="91"/>
      <c r="AP64" s="91"/>
      <c r="AQ64" s="91"/>
      <c r="AR64" s="91"/>
      <c r="AS64" s="92"/>
      <c r="AT64" s="91" t="s">
        <v>303</v>
      </c>
      <c r="AU64" s="91"/>
      <c r="AV64" s="91"/>
      <c r="AW64" s="91"/>
      <c r="AX64" s="91"/>
      <c r="AY64" s="90" t="s">
        <v>303</v>
      </c>
      <c r="AZ64" s="91"/>
      <c r="BA64" s="91"/>
      <c r="BB64" s="91"/>
      <c r="BC64" s="92"/>
      <c r="BD64" s="90" t="s">
        <v>302</v>
      </c>
      <c r="BE64" s="91"/>
      <c r="BF64" s="91"/>
      <c r="BG64" s="91"/>
      <c r="BH64" s="92"/>
      <c r="BI64" s="90" t="s">
        <v>302</v>
      </c>
      <c r="BJ64" s="91"/>
      <c r="BK64" s="91"/>
      <c r="BL64" s="91"/>
      <c r="BM64" s="92"/>
    </row>
    <row r="65" spans="1:65" s="69" customFormat="1" x14ac:dyDescent="0.2">
      <c r="A65" s="81"/>
      <c r="B65" s="82"/>
      <c r="C65" s="83"/>
      <c r="D65" s="84"/>
      <c r="E65" s="84"/>
      <c r="F65" s="84"/>
      <c r="G65" s="85"/>
      <c r="H65" s="84"/>
      <c r="I65" s="84"/>
      <c r="J65" s="84"/>
      <c r="K65" s="84"/>
      <c r="L65" s="84"/>
      <c r="M65" s="83"/>
      <c r="N65" s="84"/>
      <c r="O65" s="84"/>
      <c r="P65" s="84"/>
      <c r="Q65" s="85"/>
      <c r="R65" s="84"/>
      <c r="S65" s="84"/>
      <c r="T65" s="84"/>
      <c r="U65" s="84"/>
      <c r="V65" s="84"/>
      <c r="W65" s="83"/>
      <c r="X65" s="84"/>
      <c r="Y65" s="84"/>
      <c r="Z65" s="84"/>
      <c r="AA65" s="85"/>
      <c r="AB65" s="84"/>
      <c r="AC65" s="84"/>
      <c r="AD65" s="84"/>
      <c r="AE65" s="84"/>
      <c r="AF65" s="84"/>
      <c r="AG65" s="83"/>
      <c r="AH65" s="84"/>
      <c r="AI65" s="84"/>
      <c r="AJ65" s="84"/>
      <c r="AK65" s="84"/>
      <c r="AL65" s="84"/>
      <c r="AM65" s="83"/>
      <c r="AN65" s="84"/>
      <c r="AO65" s="84"/>
      <c r="AP65" s="84"/>
      <c r="AQ65" s="84"/>
      <c r="AR65" s="84"/>
      <c r="AS65" s="85"/>
      <c r="AT65" s="84"/>
      <c r="AU65" s="84"/>
      <c r="AV65" s="84"/>
      <c r="AW65" s="84"/>
      <c r="AX65" s="84"/>
      <c r="AY65" s="83"/>
      <c r="AZ65" s="84"/>
      <c r="BA65" s="84"/>
      <c r="BB65" s="84"/>
      <c r="BC65" s="85"/>
      <c r="BD65" s="84"/>
      <c r="BE65" s="84"/>
      <c r="BF65" s="84"/>
      <c r="BG65" s="84"/>
      <c r="BH65" s="84"/>
      <c r="BI65" s="83"/>
      <c r="BJ65" s="84"/>
      <c r="BK65" s="84"/>
      <c r="BL65" s="84"/>
      <c r="BM65" s="85"/>
    </row>
  </sheetData>
  <mergeCells count="222">
    <mergeCell ref="BI17:BM17"/>
    <mergeCell ref="BI38:BM38"/>
    <mergeCell ref="BI41:BM41"/>
    <mergeCell ref="BI46:BM46"/>
    <mergeCell ref="BI51:BM51"/>
    <mergeCell ref="BI56:BM56"/>
    <mergeCell ref="BI5:BM5"/>
    <mergeCell ref="BI6:BM6"/>
    <mergeCell ref="BI7:BM7"/>
    <mergeCell ref="BI8:BM8"/>
    <mergeCell ref="BI11:BM11"/>
    <mergeCell ref="BI32:BM32"/>
    <mergeCell ref="BI35:BM35"/>
    <mergeCell ref="BD38:BH38"/>
    <mergeCell ref="BD41:BH41"/>
    <mergeCell ref="BD46:BH46"/>
    <mergeCell ref="BD51:BH51"/>
    <mergeCell ref="BD56:BH56"/>
    <mergeCell ref="BD8:BH8"/>
    <mergeCell ref="BD11:BH11"/>
    <mergeCell ref="BD32:BH32"/>
    <mergeCell ref="BD35:BH35"/>
    <mergeCell ref="BD19:BH19"/>
    <mergeCell ref="BD17:BH17"/>
    <mergeCell ref="BD22:BH22"/>
    <mergeCell ref="BD5:BH5"/>
    <mergeCell ref="BD6:BH6"/>
    <mergeCell ref="BD7:BH7"/>
    <mergeCell ref="AB8:AF8"/>
    <mergeCell ref="AG8:AL8"/>
    <mergeCell ref="AM8:AS8"/>
    <mergeCell ref="AT8:AX8"/>
    <mergeCell ref="AY8:BC8"/>
    <mergeCell ref="AY6:BC6"/>
    <mergeCell ref="AB5:AF5"/>
    <mergeCell ref="AG5:AL5"/>
    <mergeCell ref="AM5:AS5"/>
    <mergeCell ref="AT5:AX5"/>
    <mergeCell ref="AY5:BC5"/>
    <mergeCell ref="AG7:AL7"/>
    <mergeCell ref="AM7:AS7"/>
    <mergeCell ref="AT7:AX7"/>
    <mergeCell ref="AY7:BC7"/>
    <mergeCell ref="R56:V56"/>
    <mergeCell ref="W56:AA56"/>
    <mergeCell ref="C51:G51"/>
    <mergeCell ref="H51:L51"/>
    <mergeCell ref="M51:Q51"/>
    <mergeCell ref="R51:V51"/>
    <mergeCell ref="W51:AA51"/>
    <mergeCell ref="AY56:BC56"/>
    <mergeCell ref="AY17:BC17"/>
    <mergeCell ref="AY51:BC51"/>
    <mergeCell ref="C56:G56"/>
    <mergeCell ref="H56:L56"/>
    <mergeCell ref="M56:Q56"/>
    <mergeCell ref="AY46:BC46"/>
    <mergeCell ref="AB41:AF41"/>
    <mergeCell ref="AG41:AL41"/>
    <mergeCell ref="AM41:AS41"/>
    <mergeCell ref="AT41:AX41"/>
    <mergeCell ref="AY41:BC41"/>
    <mergeCell ref="C46:G46"/>
    <mergeCell ref="H46:L46"/>
    <mergeCell ref="M46:Q46"/>
    <mergeCell ref="R46:V46"/>
    <mergeCell ref="W46:AA46"/>
    <mergeCell ref="C6:G6"/>
    <mergeCell ref="H6:L6"/>
    <mergeCell ref="M6:Q6"/>
    <mergeCell ref="R6:V6"/>
    <mergeCell ref="W6:AA6"/>
    <mergeCell ref="AB56:AF56"/>
    <mergeCell ref="AG56:AL56"/>
    <mergeCell ref="AM56:AS56"/>
    <mergeCell ref="AT56:AX56"/>
    <mergeCell ref="AB51:AF51"/>
    <mergeCell ref="AG51:AL51"/>
    <mergeCell ref="AM51:AS51"/>
    <mergeCell ref="AT51:AX51"/>
    <mergeCell ref="C17:G17"/>
    <mergeCell ref="H17:L17"/>
    <mergeCell ref="M17:Q17"/>
    <mergeCell ref="R17:V17"/>
    <mergeCell ref="W17:AA17"/>
    <mergeCell ref="AB17:AF17"/>
    <mergeCell ref="AG17:AL17"/>
    <mergeCell ref="AT24:AX24"/>
    <mergeCell ref="AM17:AS17"/>
    <mergeCell ref="AT17:AX17"/>
    <mergeCell ref="C35:G35"/>
    <mergeCell ref="AB46:AF46"/>
    <mergeCell ref="AG46:AL46"/>
    <mergeCell ref="AM46:AS46"/>
    <mergeCell ref="AT46:AX46"/>
    <mergeCell ref="AY35:BC35"/>
    <mergeCell ref="C38:G38"/>
    <mergeCell ref="H38:L38"/>
    <mergeCell ref="M38:Q38"/>
    <mergeCell ref="R38:V38"/>
    <mergeCell ref="W38:AA38"/>
    <mergeCell ref="AB38:AF38"/>
    <mergeCell ref="AG38:AL38"/>
    <mergeCell ref="AM38:AS38"/>
    <mergeCell ref="AT38:AX38"/>
    <mergeCell ref="H35:L35"/>
    <mergeCell ref="M35:Q35"/>
    <mergeCell ref="R35:V35"/>
    <mergeCell ref="W35:AA35"/>
    <mergeCell ref="C41:G41"/>
    <mergeCell ref="H41:L41"/>
    <mergeCell ref="M41:Q41"/>
    <mergeCell ref="R41:V41"/>
    <mergeCell ref="W41:AA41"/>
    <mergeCell ref="AB35:AF35"/>
    <mergeCell ref="AG35:AL35"/>
    <mergeCell ref="AM35:AS35"/>
    <mergeCell ref="AT35:AX35"/>
    <mergeCell ref="AY11:BC11"/>
    <mergeCell ref="C11:G11"/>
    <mergeCell ref="H11:L11"/>
    <mergeCell ref="M11:Q11"/>
    <mergeCell ref="R11:V11"/>
    <mergeCell ref="W11:AA11"/>
    <mergeCell ref="C32:G32"/>
    <mergeCell ref="H32:L32"/>
    <mergeCell ref="M32:Q32"/>
    <mergeCell ref="R32:V32"/>
    <mergeCell ref="W32:AA32"/>
    <mergeCell ref="AB32:AF32"/>
    <mergeCell ref="AG32:AL32"/>
    <mergeCell ref="AM32:AS32"/>
    <mergeCell ref="AT32:AX32"/>
    <mergeCell ref="AY32:BC32"/>
    <mergeCell ref="AM19:AS19"/>
    <mergeCell ref="AT19:AX19"/>
    <mergeCell ref="AY19:BC19"/>
    <mergeCell ref="AT22:AX22"/>
    <mergeCell ref="AY22:BC22"/>
    <mergeCell ref="C5:G5"/>
    <mergeCell ref="H5:L5"/>
    <mergeCell ref="M5:Q5"/>
    <mergeCell ref="R5:V5"/>
    <mergeCell ref="W5:AA5"/>
    <mergeCell ref="AB11:AF11"/>
    <mergeCell ref="AG11:AL11"/>
    <mergeCell ref="AM11:AS11"/>
    <mergeCell ref="AT11:AX11"/>
    <mergeCell ref="C8:G8"/>
    <mergeCell ref="H8:L8"/>
    <mergeCell ref="M8:Q8"/>
    <mergeCell ref="R8:V8"/>
    <mergeCell ref="W8:AA8"/>
    <mergeCell ref="C7:G7"/>
    <mergeCell ref="H7:L7"/>
    <mergeCell ref="M7:Q7"/>
    <mergeCell ref="R7:V7"/>
    <mergeCell ref="W7:AA7"/>
    <mergeCell ref="AB6:AF6"/>
    <mergeCell ref="AG6:AL6"/>
    <mergeCell ref="AM6:AS6"/>
    <mergeCell ref="AT6:AX6"/>
    <mergeCell ref="AB7:AF7"/>
    <mergeCell ref="AG23:AL23"/>
    <mergeCell ref="AM23:AS23"/>
    <mergeCell ref="A18:B18"/>
    <mergeCell ref="A19:B19"/>
    <mergeCell ref="C19:G19"/>
    <mergeCell ref="H19:L19"/>
    <mergeCell ref="M19:Q19"/>
    <mergeCell ref="R19:V19"/>
    <mergeCell ref="W19:AA19"/>
    <mergeCell ref="AB19:AF19"/>
    <mergeCell ref="AG19:AL19"/>
    <mergeCell ref="W24:AA24"/>
    <mergeCell ref="AB24:AF24"/>
    <mergeCell ref="AG24:AL24"/>
    <mergeCell ref="AM24:AS24"/>
    <mergeCell ref="AY38:BC38"/>
    <mergeCell ref="AT23:AX23"/>
    <mergeCell ref="AY23:BC23"/>
    <mergeCell ref="BD23:BH23"/>
    <mergeCell ref="A22:B22"/>
    <mergeCell ref="C22:G22"/>
    <mergeCell ref="H22:L22"/>
    <mergeCell ref="M22:Q22"/>
    <mergeCell ref="R22:V22"/>
    <mergeCell ref="W22:AA22"/>
    <mergeCell ref="AB22:AF22"/>
    <mergeCell ref="AG22:AL22"/>
    <mergeCell ref="AM22:AS22"/>
    <mergeCell ref="A23:B23"/>
    <mergeCell ref="C23:G23"/>
    <mergeCell ref="H23:L23"/>
    <mergeCell ref="M23:Q23"/>
    <mergeCell ref="R23:V23"/>
    <mergeCell ref="W23:AA23"/>
    <mergeCell ref="AB23:AF23"/>
    <mergeCell ref="BI64:BM64"/>
    <mergeCell ref="BI22:BM22"/>
    <mergeCell ref="BI23:BM23"/>
    <mergeCell ref="BI24:BM24"/>
    <mergeCell ref="BI19:BM19"/>
    <mergeCell ref="AY24:BC24"/>
    <mergeCell ref="BD24:BH24"/>
    <mergeCell ref="A64:B64"/>
    <mergeCell ref="C64:G64"/>
    <mergeCell ref="H64:L64"/>
    <mergeCell ref="M64:Q64"/>
    <mergeCell ref="R64:V64"/>
    <mergeCell ref="W64:AA64"/>
    <mergeCell ref="AB64:AF64"/>
    <mergeCell ref="AG64:AL64"/>
    <mergeCell ref="AM64:AS64"/>
    <mergeCell ref="AT64:AX64"/>
    <mergeCell ref="AY64:BC64"/>
    <mergeCell ref="BD64:BH64"/>
    <mergeCell ref="A24:B24"/>
    <mergeCell ref="C24:G24"/>
    <mergeCell ref="H24:L24"/>
    <mergeCell ref="M24:Q24"/>
    <mergeCell ref="R24:V2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V52"/>
  <sheetViews>
    <sheetView showGridLines="0" workbookViewId="0">
      <selection sqref="A1:M1"/>
    </sheetView>
  </sheetViews>
  <sheetFormatPr defaultRowHeight="12.75" x14ac:dyDescent="0.2"/>
  <cols>
    <col min="1" max="1" width="30.7109375" style="1" bestFit="1" customWidth="1"/>
    <col min="2" max="4" width="0" style="1" hidden="1" customWidth="1"/>
    <col min="5" max="12" width="11.28515625" style="1" bestFit="1" customWidth="1"/>
    <col min="13" max="13" width="9.140625" style="1" customWidth="1"/>
    <col min="14" max="14" width="18.28515625" style="1" customWidth="1"/>
    <col min="15" max="15" width="2.7109375" style="1" customWidth="1"/>
    <col min="16" max="16" width="16.140625" style="1" customWidth="1"/>
    <col min="17" max="17" width="2.7109375" style="1" customWidth="1"/>
    <col min="18" max="18" width="14.140625" style="1" customWidth="1"/>
    <col min="19" max="19" width="2.7109375" style="1" customWidth="1"/>
    <col min="20" max="20" width="16" style="1" customWidth="1"/>
    <col min="21" max="21" width="2.7109375" style="1" customWidth="1"/>
    <col min="22" max="22" width="18.42578125" style="1" customWidth="1"/>
    <col min="23" max="16384" width="9.140625" style="1"/>
  </cols>
  <sheetData>
    <row r="1" spans="1:18" ht="15" x14ac:dyDescent="0.2">
      <c r="A1" s="124" t="s">
        <v>99</v>
      </c>
      <c r="B1" s="124"/>
      <c r="C1" s="124"/>
      <c r="D1" s="124"/>
      <c r="E1" s="124"/>
      <c r="F1" s="124"/>
      <c r="G1" s="124"/>
      <c r="H1" s="124"/>
      <c r="I1" s="124"/>
      <c r="J1" s="124"/>
      <c r="K1" s="124"/>
      <c r="L1" s="124"/>
      <c r="M1" s="124"/>
    </row>
    <row r="3" spans="1:18" s="2" customFormat="1" x14ac:dyDescent="0.2">
      <c r="A3" s="16" t="s">
        <v>317</v>
      </c>
      <c r="N3" s="16" t="s">
        <v>35</v>
      </c>
    </row>
    <row r="5" spans="1:18" x14ac:dyDescent="0.2">
      <c r="B5" s="2">
        <f>'Income Statement'!B3</f>
        <v>2007</v>
      </c>
      <c r="C5" s="2">
        <f>'Income Statement'!C3</f>
        <v>2008</v>
      </c>
      <c r="D5" s="2">
        <f>'Income Statement'!D3</f>
        <v>2009</v>
      </c>
      <c r="E5" s="2">
        <f>'Income Statement'!E3</f>
        <v>2010</v>
      </c>
      <c r="F5" s="2">
        <f>'Income Statement'!F3</f>
        <v>2011</v>
      </c>
      <c r="G5" s="2">
        <f>'Income Statement'!G3</f>
        <v>2012</v>
      </c>
      <c r="H5" s="2">
        <f>'Income Statement'!H3</f>
        <v>2013</v>
      </c>
      <c r="I5" s="2">
        <f>'Income Statement'!I3</f>
        <v>2014</v>
      </c>
      <c r="J5" s="2">
        <f>'Income Statement'!J3</f>
        <v>2015</v>
      </c>
      <c r="K5" s="2">
        <f>'Income Statement'!K3</f>
        <v>2016</v>
      </c>
      <c r="L5" s="2">
        <f>'Income Statement'!L3</f>
        <v>2017</v>
      </c>
      <c r="M5" s="2"/>
      <c r="N5" s="4" t="s">
        <v>43</v>
      </c>
    </row>
    <row r="6" spans="1:18" x14ac:dyDescent="0.2">
      <c r="A6" s="2" t="s">
        <v>69</v>
      </c>
      <c r="N6" s="13">
        <f>'Income Statement'!L4</f>
        <v>441222016</v>
      </c>
    </row>
    <row r="7" spans="1:18" x14ac:dyDescent="0.2">
      <c r="A7" s="1" t="s">
        <v>68</v>
      </c>
      <c r="B7" s="5" t="e">
        <f>'Balance Sheet'!B25/'Balance Sheet'!B51</f>
        <v>#DIV/0!</v>
      </c>
      <c r="C7" s="5" t="e">
        <f>'Balance Sheet'!C25/'Balance Sheet'!C51</f>
        <v>#DIV/0!</v>
      </c>
      <c r="D7" s="5" t="e">
        <f>'Balance Sheet'!D25/'Balance Sheet'!D51</f>
        <v>#DIV/0!</v>
      </c>
      <c r="E7" s="5">
        <f>'Balance Sheet'!E25/'Balance Sheet'!E51</f>
        <v>4.2235327468221744</v>
      </c>
      <c r="F7" s="5">
        <f>'Balance Sheet'!F25/'Balance Sheet'!F51</f>
        <v>3.8785648123063647</v>
      </c>
      <c r="G7" s="5">
        <f>'Balance Sheet'!G25/'Balance Sheet'!G51</f>
        <v>3.4071297801044458</v>
      </c>
      <c r="H7" s="5">
        <f>'Balance Sheet'!H25/'Balance Sheet'!H51</f>
        <v>4.947836038040708</v>
      </c>
      <c r="I7" s="5">
        <f>'Balance Sheet'!I25/'Balance Sheet'!I51</f>
        <v>3.5769795445025956</v>
      </c>
      <c r="J7" s="5">
        <f>'Balance Sheet'!J25/'Balance Sheet'!J51</f>
        <v>3.1092607994547197</v>
      </c>
      <c r="K7" s="5">
        <f>'Balance Sheet'!K25/'Balance Sheet'!K51</f>
        <v>3.1805432312747173</v>
      </c>
      <c r="L7" s="5">
        <f>'Balance Sheet'!L25/'Balance Sheet'!L51</f>
        <v>3.2298943028915366</v>
      </c>
      <c r="M7" s="5"/>
    </row>
    <row r="8" spans="1:18" x14ac:dyDescent="0.2">
      <c r="A8" s="1" t="s">
        <v>70</v>
      </c>
      <c r="B8" s="5" t="e">
        <f>('Balance Sheet'!B23-'Balance Sheet'!B16)/'Balance Sheet'!B51</f>
        <v>#DIV/0!</v>
      </c>
      <c r="C8" s="5" t="e">
        <f>('Balance Sheet'!C23-'Balance Sheet'!C16)/'Balance Sheet'!C51</f>
        <v>#DIV/0!</v>
      </c>
      <c r="D8" s="5" t="e">
        <f>('Balance Sheet'!D23-'Balance Sheet'!D16)/'Balance Sheet'!D51</f>
        <v>#DIV/0!</v>
      </c>
      <c r="E8" s="5">
        <f>('Balance Sheet'!E23-'Balance Sheet'!E16)/'Balance Sheet'!E51</f>
        <v>2.5357133885283751</v>
      </c>
      <c r="F8" s="5">
        <f>('Balance Sheet'!F23-'Balance Sheet'!F16)/'Balance Sheet'!F51</f>
        <v>2.3280356656885939</v>
      </c>
      <c r="G8" s="5">
        <f>('Balance Sheet'!G23-'Balance Sheet'!G16)/'Balance Sheet'!G51</f>
        <v>1.9700908095240659</v>
      </c>
      <c r="H8" s="5">
        <f>('Balance Sheet'!H23-'Balance Sheet'!H16)/'Balance Sheet'!H51</f>
        <v>2.7849413938007679</v>
      </c>
      <c r="I8" s="5">
        <f>('Balance Sheet'!I23-'Balance Sheet'!I16)/'Balance Sheet'!I51</f>
        <v>2.3853731650725827</v>
      </c>
      <c r="J8" s="5">
        <f>('Balance Sheet'!J23-'Balance Sheet'!J16)/'Balance Sheet'!J51</f>
        <v>2.1976340293816721</v>
      </c>
      <c r="K8" s="5">
        <f>('Balance Sheet'!K23-'Balance Sheet'!K16)/'Balance Sheet'!K51</f>
        <v>2.2042376971657003</v>
      </c>
      <c r="L8" s="5">
        <f>('Balance Sheet'!L23-'Balance Sheet'!L16)/'Balance Sheet'!L51</f>
        <v>2.1595016432384653</v>
      </c>
      <c r="M8" s="5"/>
      <c r="N8" s="6" t="s">
        <v>44</v>
      </c>
      <c r="P8" s="125" t="s">
        <v>45</v>
      </c>
    </row>
    <row r="9" spans="1:18" x14ac:dyDescent="0.2">
      <c r="A9" s="60" t="s">
        <v>80</v>
      </c>
      <c r="B9" s="61">
        <f>'Balance Sheet'!B23-'Balance Sheet'!B51</f>
        <v>0</v>
      </c>
      <c r="C9" s="61">
        <f>'Balance Sheet'!C23-'Balance Sheet'!C51</f>
        <v>0</v>
      </c>
      <c r="D9" s="61">
        <f>'Balance Sheet'!D23-'Balance Sheet'!D51</f>
        <v>0</v>
      </c>
      <c r="E9" s="61">
        <f>'Balance Sheet'!E23-'Balance Sheet'!E51</f>
        <v>177711170</v>
      </c>
      <c r="F9" s="61">
        <f>'Balance Sheet'!F23-'Balance Sheet'!F51</f>
        <v>181205432</v>
      </c>
      <c r="G9" s="61">
        <f>'Balance Sheet'!G23-'Balance Sheet'!G51</f>
        <v>175794067</v>
      </c>
      <c r="H9" s="61">
        <f>'Balance Sheet'!H23-'Balance Sheet'!H51</f>
        <v>204993606</v>
      </c>
      <c r="I9" s="61">
        <f>'Balance Sheet'!I23-'Balance Sheet'!I51</f>
        <v>250500193</v>
      </c>
      <c r="J9" s="61">
        <f>'Balance Sheet'!J23-'Balance Sheet'!J51</f>
        <v>274584245</v>
      </c>
      <c r="K9" s="61">
        <f>'Balance Sheet'!K23-'Balance Sheet'!K51</f>
        <v>286034678</v>
      </c>
      <c r="L9" s="61">
        <f>'Balance Sheet'!L23-'Balance Sheet'!L51</f>
        <v>271314352</v>
      </c>
      <c r="M9" s="7"/>
      <c r="P9" s="125"/>
    </row>
    <row r="10" spans="1:18" x14ac:dyDescent="0.2">
      <c r="B10" s="7"/>
      <c r="C10" s="7"/>
      <c r="D10" s="7"/>
      <c r="E10" s="7"/>
      <c r="F10" s="7"/>
      <c r="G10" s="7"/>
      <c r="H10" s="7"/>
      <c r="I10" s="7"/>
      <c r="J10" s="7"/>
      <c r="K10" s="7"/>
      <c r="L10" s="7"/>
      <c r="M10" s="7"/>
      <c r="N10" s="4" t="s">
        <v>46</v>
      </c>
      <c r="P10" s="125"/>
    </row>
    <row r="11" spans="1:18" x14ac:dyDescent="0.2">
      <c r="A11" s="2" t="s">
        <v>71</v>
      </c>
      <c r="B11" s="5"/>
      <c r="C11" s="5"/>
      <c r="D11" s="5"/>
      <c r="E11" s="5"/>
      <c r="F11" s="5"/>
      <c r="G11" s="5"/>
      <c r="H11" s="5"/>
      <c r="I11" s="5"/>
      <c r="J11" s="5"/>
      <c r="K11" s="5"/>
      <c r="L11" s="5"/>
      <c r="M11" s="5"/>
      <c r="N11" s="13">
        <f>'Income Statement'!L6</f>
        <v>308444589</v>
      </c>
      <c r="P11" s="13">
        <f>'Income Statement Analysis'!L16</f>
        <v>6017849</v>
      </c>
    </row>
    <row r="12" spans="1:18" x14ac:dyDescent="0.2">
      <c r="A12" s="60" t="s">
        <v>72</v>
      </c>
      <c r="B12" s="62" t="e">
        <f>'Income Statement'!B6/'Balance Sheet'!B16</f>
        <v>#DIV/0!</v>
      </c>
      <c r="C12" s="62" t="e">
        <f>'Income Statement'!C6/'Balance Sheet'!C16</f>
        <v>#DIV/0!</v>
      </c>
      <c r="D12" s="62" t="e">
        <f>'Income Statement'!D6/'Balance Sheet'!D16</f>
        <v>#DIV/0!</v>
      </c>
      <c r="E12" s="62" t="e">
        <f>'Income Statement'!E6/'Balance Sheet'!E16</f>
        <v>#DIV/0!</v>
      </c>
      <c r="F12" s="62" t="e">
        <f>'Income Statement'!F6/'Balance Sheet'!F16</f>
        <v>#DIV/0!</v>
      </c>
      <c r="G12" s="62" t="e">
        <f>'Income Statement'!G6/'Balance Sheet'!G16</f>
        <v>#DIV/0!</v>
      </c>
      <c r="H12" s="62" t="e">
        <f>'Income Statement'!H6/'Balance Sheet'!H16</f>
        <v>#DIV/0!</v>
      </c>
      <c r="I12" s="62" t="e">
        <f>'Income Statement'!I6/'Balance Sheet'!I16</f>
        <v>#DIV/0!</v>
      </c>
      <c r="J12" s="62" t="e">
        <f>'Income Statement'!J6/'Balance Sheet'!J16</f>
        <v>#DIV/0!</v>
      </c>
      <c r="K12" s="62" t="e">
        <f>'Income Statement'!K6/'Balance Sheet'!K16</f>
        <v>#DIV/0!</v>
      </c>
      <c r="L12" s="62" t="e">
        <f>'Income Statement'!L6/'Balance Sheet'!L16</f>
        <v>#DIV/0!</v>
      </c>
      <c r="M12" s="5"/>
      <c r="R12" s="4" t="s">
        <v>47</v>
      </c>
    </row>
    <row r="13" spans="1:18" x14ac:dyDescent="0.2">
      <c r="A13" s="60" t="s">
        <v>81</v>
      </c>
      <c r="B13" s="61" t="e">
        <f>'Balance Sheet'!B21/('Income Statement'!B4/365)</f>
        <v>#DIV/0!</v>
      </c>
      <c r="C13" s="61" t="e">
        <f>'Balance Sheet'!C21/('Income Statement'!C4/365)</f>
        <v>#DIV/0!</v>
      </c>
      <c r="D13" s="61" t="e">
        <f>'Balance Sheet'!D21/('Income Statement'!D4/365)</f>
        <v>#DIV/0!</v>
      </c>
      <c r="E13" s="61">
        <f>'Balance Sheet'!E21/('Income Statement'!E4/365)</f>
        <v>0</v>
      </c>
      <c r="F13" s="61">
        <f>'Balance Sheet'!F21/('Income Statement'!F4/365)</f>
        <v>0.54395884382965087</v>
      </c>
      <c r="G13" s="61">
        <f>'Balance Sheet'!G21/('Income Statement'!G4/365)</f>
        <v>0.4596864966369989</v>
      </c>
      <c r="H13" s="61">
        <f>'Balance Sheet'!H21/('Income Statement'!H4/365)</f>
        <v>0.37143671780865534</v>
      </c>
      <c r="I13" s="61">
        <f>'Balance Sheet'!I21/('Income Statement'!I4/365)</f>
        <v>0</v>
      </c>
      <c r="J13" s="61">
        <f>'Balance Sheet'!J21/('Income Statement'!J4/365)</f>
        <v>0</v>
      </c>
      <c r="K13" s="61">
        <f>'Balance Sheet'!K21/('Income Statement'!K4/365)</f>
        <v>0</v>
      </c>
      <c r="L13" s="61">
        <f>'Balance Sheet'!L21/('Income Statement'!L4/365)</f>
        <v>0</v>
      </c>
      <c r="M13" s="7"/>
      <c r="N13" s="6" t="s">
        <v>44</v>
      </c>
      <c r="R13" s="14">
        <f>P11/P16</f>
        <v>1.3639049688762584E-2</v>
      </c>
    </row>
    <row r="14" spans="1:18" x14ac:dyDescent="0.2">
      <c r="A14" s="60" t="s">
        <v>82</v>
      </c>
      <c r="B14" s="61"/>
      <c r="C14" s="61"/>
      <c r="D14" s="61"/>
      <c r="E14" s="61"/>
      <c r="F14" s="61"/>
      <c r="G14" s="61"/>
      <c r="H14" s="61"/>
      <c r="I14" s="61"/>
      <c r="J14" s="61"/>
      <c r="K14" s="61"/>
      <c r="L14" s="61"/>
      <c r="M14" s="7"/>
    </row>
    <row r="15" spans="1:18" x14ac:dyDescent="0.2">
      <c r="A15" s="1" t="s">
        <v>73</v>
      </c>
      <c r="B15" s="8" t="e">
        <f>'Income Statement'!B4/'Balance Sheet'!B25</f>
        <v>#DIV/0!</v>
      </c>
      <c r="C15" s="8" t="e">
        <f>'Income Statement'!C4/'Balance Sheet'!C25</f>
        <v>#DIV/0!</v>
      </c>
      <c r="D15" s="8" t="e">
        <f>'Income Statement'!D4/'Balance Sheet'!D25</f>
        <v>#DIV/0!</v>
      </c>
      <c r="E15" s="8">
        <f>'Income Statement'!E4/'Balance Sheet'!E25</f>
        <v>0.70956576337059696</v>
      </c>
      <c r="F15" s="8">
        <f>'Income Statement'!F4/'Balance Sheet'!F25</f>
        <v>0.63709407849598654</v>
      </c>
      <c r="G15" s="8">
        <f>'Income Statement'!G4/'Balance Sheet'!G25</f>
        <v>0.64618949127354164</v>
      </c>
      <c r="H15" s="8">
        <f>'Income Statement'!H4/'Balance Sheet'!H25</f>
        <v>0.7951812372679854</v>
      </c>
      <c r="I15" s="8">
        <f>'Income Statement'!I4/'Balance Sheet'!I25</f>
        <v>0.68192330383353128</v>
      </c>
      <c r="J15" s="8">
        <f>'Income Statement'!J4/'Balance Sheet'!J25</f>
        <v>0.65461472270550924</v>
      </c>
      <c r="K15" s="8">
        <f>'Income Statement'!K4/'Balance Sheet'!K25</f>
        <v>0.64491488406680531</v>
      </c>
      <c r="L15" s="8">
        <f>'Income Statement'!L4/'Balance Sheet'!L25</f>
        <v>0.58380453592590231</v>
      </c>
      <c r="M15" s="8"/>
      <c r="N15" s="4" t="s">
        <v>48</v>
      </c>
      <c r="P15" s="4" t="str">
        <f>N5</f>
        <v xml:space="preserve">Sales </v>
      </c>
    </row>
    <row r="16" spans="1:18" x14ac:dyDescent="0.2">
      <c r="B16" s="5"/>
      <c r="C16" s="5"/>
      <c r="D16" s="5"/>
      <c r="E16" s="5"/>
      <c r="F16" s="5"/>
      <c r="G16" s="5"/>
      <c r="H16" s="5"/>
      <c r="I16" s="5"/>
      <c r="J16" s="5"/>
      <c r="K16" s="5"/>
      <c r="L16" s="5"/>
      <c r="M16" s="5"/>
      <c r="N16" s="13">
        <f>'Income Statement'!L8</f>
        <v>152824616</v>
      </c>
      <c r="P16" s="13">
        <f>N6</f>
        <v>441222016</v>
      </c>
    </row>
    <row r="17" spans="1:22" x14ac:dyDescent="0.2">
      <c r="A17" s="2" t="s">
        <v>74</v>
      </c>
      <c r="B17" s="5"/>
      <c r="C17" s="5"/>
      <c r="D17" s="5"/>
      <c r="E17" s="5"/>
      <c r="F17" s="5"/>
      <c r="G17" s="5"/>
      <c r="H17" s="5"/>
      <c r="I17" s="5"/>
      <c r="J17" s="5"/>
      <c r="K17" s="5"/>
      <c r="L17" s="5"/>
      <c r="M17" s="5"/>
    </row>
    <row r="18" spans="1:22" x14ac:dyDescent="0.2">
      <c r="A18" s="1" t="s">
        <v>75</v>
      </c>
      <c r="B18" s="8" t="e">
        <f>'Balance Sheet'!B53/'Balance Sheet'!B25</f>
        <v>#DIV/0!</v>
      </c>
      <c r="C18" s="8" t="e">
        <f>'Balance Sheet'!C53/'Balance Sheet'!C25</f>
        <v>#DIV/0!</v>
      </c>
      <c r="D18" s="8" t="e">
        <f>'Balance Sheet'!D53/'Balance Sheet'!D25</f>
        <v>#DIV/0!</v>
      </c>
      <c r="E18" s="8">
        <f>'Balance Sheet'!E53/'Balance Sheet'!E25</f>
        <v>0.30013022082951984</v>
      </c>
      <c r="F18" s="8">
        <f>'Balance Sheet'!F53/'Balance Sheet'!F25</f>
        <v>0.31127834482312416</v>
      </c>
      <c r="G18" s="8">
        <f>'Balance Sheet'!G53/'Balance Sheet'!G25</f>
        <v>0.33931581307999192</v>
      </c>
      <c r="H18" s="8">
        <f>'Balance Sheet'!H53/'Balance Sheet'!H25</f>
        <v>0.25384752260738314</v>
      </c>
      <c r="I18" s="8">
        <f>'Balance Sheet'!I53/'Balance Sheet'!I25</f>
        <v>0.32500161028046337</v>
      </c>
      <c r="J18" s="8">
        <f>'Balance Sheet'!J53/'Balance Sheet'!J25</f>
        <v>0.36286964300125407</v>
      </c>
      <c r="K18" s="8">
        <f>'Balance Sheet'!K53/'Balance Sheet'!K25</f>
        <v>0.34920471213662141</v>
      </c>
      <c r="L18" s="8">
        <f>'Balance Sheet'!L53/'Balance Sheet'!L25</f>
        <v>0.3415147489308078</v>
      </c>
      <c r="M18" s="8"/>
      <c r="N18" s="6" t="s">
        <v>44</v>
      </c>
    </row>
    <row r="19" spans="1:22" x14ac:dyDescent="0.2">
      <c r="A19" s="1" t="s">
        <v>76</v>
      </c>
      <c r="B19" s="5" t="e">
        <f>'Income Statement'!B10/'Income Statement'!B11</f>
        <v>#DIV/0!</v>
      </c>
      <c r="C19" s="5" t="e">
        <f>'Income Statement'!C10/'Income Statement'!C11</f>
        <v>#DIV/0!</v>
      </c>
      <c r="D19" s="5" t="e">
        <f>'Income Statement'!D10/'Income Statement'!D11</f>
        <v>#DIV/0!</v>
      </c>
      <c r="E19" s="5">
        <f>'Income Statement'!E10/'Income Statement'!E11</f>
        <v>5.8146318838350677</v>
      </c>
      <c r="F19" s="5">
        <f>'Income Statement'!F10/'Income Statement'!F11</f>
        <v>3.6695914249335146</v>
      </c>
      <c r="G19" s="5">
        <f>'Income Statement'!G10/'Income Statement'!G11</f>
        <v>17.23510742898354</v>
      </c>
      <c r="H19" s="5">
        <f>'Income Statement'!H10/'Income Statement'!H11</f>
        <v>10.253901735047702</v>
      </c>
      <c r="I19" s="5">
        <f>'Income Statement'!I10/'Income Statement'!I11</f>
        <v>10.274179705593719</v>
      </c>
      <c r="J19" s="5">
        <f>'Income Statement'!J10/'Income Statement'!J11</f>
        <v>7.779355530896197</v>
      </c>
      <c r="K19" s="5">
        <f>'Income Statement'!K10/'Income Statement'!K11</f>
        <v>8.9440181168802386</v>
      </c>
      <c r="L19" s="5">
        <f>'Income Statement'!L10/'Income Statement'!L11</f>
        <v>5.2944638909640167</v>
      </c>
      <c r="M19" s="5"/>
    </row>
    <row r="20" spans="1:22" x14ac:dyDescent="0.2">
      <c r="B20" s="5"/>
      <c r="C20" s="5"/>
      <c r="D20" s="5"/>
      <c r="E20" s="5"/>
      <c r="F20" s="5"/>
      <c r="G20" s="5"/>
      <c r="H20" s="5"/>
      <c r="I20" s="5"/>
      <c r="J20" s="5"/>
      <c r="K20" s="5"/>
      <c r="L20" s="5"/>
      <c r="M20" s="5"/>
      <c r="N20" s="4" t="s">
        <v>49</v>
      </c>
    </row>
    <row r="21" spans="1:22" x14ac:dyDescent="0.2">
      <c r="A21" s="2" t="s">
        <v>77</v>
      </c>
      <c r="B21" s="5"/>
      <c r="C21" s="5"/>
      <c r="D21" s="5"/>
      <c r="E21" s="63"/>
      <c r="F21" s="63"/>
      <c r="G21" s="63"/>
      <c r="H21" s="63"/>
      <c r="I21" s="63"/>
      <c r="J21" s="63"/>
      <c r="K21" s="63"/>
      <c r="L21" s="63"/>
      <c r="M21" s="5"/>
      <c r="N21" s="13">
        <f>'Income Statement'!L11</f>
        <v>3602187</v>
      </c>
    </row>
    <row r="22" spans="1:22" x14ac:dyDescent="0.2">
      <c r="A22" s="1" t="s">
        <v>41</v>
      </c>
      <c r="B22" s="8" t="e">
        <f>'Income Statement'!B7/'Income Statement'!B4</f>
        <v>#DIV/0!</v>
      </c>
      <c r="C22" s="8" t="e">
        <f>'Income Statement'!C7/'Income Statement'!C4</f>
        <v>#DIV/0!</v>
      </c>
      <c r="D22" s="8" t="e">
        <f>'Income Statement'!D7/'Income Statement'!D4</f>
        <v>#DIV/0!</v>
      </c>
      <c r="E22" s="59">
        <f>'Income Statement'!E7/'Income Statement'!E4</f>
        <v>0.42108868076393802</v>
      </c>
      <c r="F22" s="59">
        <f>'Income Statement'!F7/'Income Statement'!F4</f>
        <v>0.39348834575262343</v>
      </c>
      <c r="G22" s="59">
        <f>'Income Statement'!G7/'Income Statement'!G4</f>
        <v>0.43269882268732601</v>
      </c>
      <c r="H22" s="59">
        <f>'Income Statement'!H7/'Income Statement'!H4</f>
        <v>0.49750124172953425</v>
      </c>
      <c r="I22" s="59">
        <f>'Income Statement'!I7/'Income Statement'!I4</f>
        <v>0.4029716520441583</v>
      </c>
      <c r="J22" s="59">
        <f>'Income Statement'!J7/'Income Statement'!J4</f>
        <v>0.39576990862453237</v>
      </c>
      <c r="K22" s="59">
        <f>'Income Statement'!K7/'Income Statement'!K4</f>
        <v>0.44042185129361422</v>
      </c>
      <c r="L22" s="59">
        <f>'Income Statement'!L7/'Income Statement'!L4</f>
        <v>0.38721416158889044</v>
      </c>
      <c r="M22" s="8"/>
    </row>
    <row r="23" spans="1:22" x14ac:dyDescent="0.2">
      <c r="A23" s="1" t="s">
        <v>42</v>
      </c>
      <c r="B23" s="8" t="e">
        <f>'Income Statement'!B10/'Income Statement'!B4</f>
        <v>#DIV/0!</v>
      </c>
      <c r="C23" s="8" t="e">
        <f>'Income Statement'!C10/'Income Statement'!C4</f>
        <v>#DIV/0!</v>
      </c>
      <c r="D23" s="8" t="e">
        <f>'Income Statement'!D10/'Income Statement'!D4</f>
        <v>#DIV/0!</v>
      </c>
      <c r="E23" s="59">
        <f>'Income Statement'!E10/'Income Statement'!E4</f>
        <v>5.5815236679878241E-2</v>
      </c>
      <c r="F23" s="59">
        <f>'Income Statement'!F10/'Income Statement'!F4</f>
        <v>3.8474251095931333E-2</v>
      </c>
      <c r="G23" s="59">
        <f>'Income Statement'!G10/'Income Statement'!G4</f>
        <v>0.11572517239372938</v>
      </c>
      <c r="H23" s="59">
        <f>'Income Statement'!H10/'Income Statement'!H4</f>
        <v>6.9502672493733542E-2</v>
      </c>
      <c r="I23" s="59">
        <f>'Income Statement'!I10/'Income Statement'!I4</f>
        <v>7.4178505785964036E-2</v>
      </c>
      <c r="J23" s="59">
        <f>'Income Statement'!J10/'Income Statement'!J4</f>
        <v>6.9796577125765577E-2</v>
      </c>
      <c r="K23" s="59">
        <f>'Income Statement'!K10/'Income Statement'!K4</f>
        <v>6.295445317506268E-2</v>
      </c>
      <c r="L23" s="59">
        <f>'Income Statement'!L10/'Income Statement'!L4</f>
        <v>4.3224608719434343E-2</v>
      </c>
      <c r="M23" s="8"/>
      <c r="N23" s="6" t="s">
        <v>44</v>
      </c>
    </row>
    <row r="24" spans="1:22" x14ac:dyDescent="0.2">
      <c r="A24" s="1" t="s">
        <v>47</v>
      </c>
      <c r="B24" s="8" t="e">
        <f>'Income Statement'!B16/'Income Statement'!B4</f>
        <v>#DIV/0!</v>
      </c>
      <c r="C24" s="8" t="e">
        <f>'Income Statement'!C16/'Income Statement'!C4</f>
        <v>#DIV/0!</v>
      </c>
      <c r="D24" s="8" t="e">
        <f>'Income Statement'!D16/'Income Statement'!D4</f>
        <v>#DIV/0!</v>
      </c>
      <c r="E24" s="59">
        <f>'Income Statement'!E16/'Income Statement'!E4</f>
        <v>4.8821552739094021E-3</v>
      </c>
      <c r="F24" s="59">
        <f>'Income Statement'!F16/'Income Statement'!F4</f>
        <v>-6.1079628716023491E-3</v>
      </c>
      <c r="G24" s="59">
        <f>'Income Statement'!G16/'Income Statement'!G4</f>
        <v>0.10887355684750522</v>
      </c>
      <c r="H24" s="59">
        <f>'Income Statement'!H16/'Income Statement'!H4</f>
        <v>3.5573745260943264E-2</v>
      </c>
      <c r="I24" s="59">
        <f>'Income Statement'!I16/'Income Statement'!I4</f>
        <v>2.8529499870856401E-2</v>
      </c>
      <c r="J24" s="59">
        <f>'Income Statement'!J16/'Income Statement'!J4</f>
        <v>3.773616155876864E-2</v>
      </c>
      <c r="K24" s="59">
        <f>'Income Statement'!K16/'Income Statement'!K4</f>
        <v>7.6886349240607582E-2</v>
      </c>
      <c r="L24" s="59">
        <f>'Income Statement'!L16/'Income Statement'!L4</f>
        <v>1.3639049688762584E-2</v>
      </c>
      <c r="M24" s="8"/>
      <c r="T24" s="125" t="s">
        <v>50</v>
      </c>
    </row>
    <row r="25" spans="1:22" x14ac:dyDescent="0.2">
      <c r="A25" s="1" t="s">
        <v>78</v>
      </c>
      <c r="B25" s="5">
        <f>'Income Statement Analysis'!B32</f>
        <v>0</v>
      </c>
      <c r="C25" s="5">
        <f>'Income Statement Analysis'!C32</f>
        <v>0</v>
      </c>
      <c r="D25" s="5">
        <f>'Income Statement Analysis'!D32</f>
        <v>0</v>
      </c>
      <c r="E25" s="63">
        <f>'Income Statement Analysis'!E32</f>
        <v>0</v>
      </c>
      <c r="F25" s="63">
        <f>'Income Statement Analysis'!F32</f>
        <v>0</v>
      </c>
      <c r="G25" s="63">
        <f>'Income Statement Analysis'!G32</f>
        <v>0</v>
      </c>
      <c r="H25" s="63">
        <f>'Income Statement Analysis'!H32</f>
        <v>0</v>
      </c>
      <c r="I25" s="63">
        <f>'Income Statement Analysis'!I32</f>
        <v>0</v>
      </c>
      <c r="J25" s="63">
        <f>'Income Statement Analysis'!J32</f>
        <v>0</v>
      </c>
      <c r="K25" s="63">
        <f>'Income Statement Analysis'!K32</f>
        <v>0</v>
      </c>
      <c r="L25" s="63">
        <f>'Income Statement Analysis'!L32</f>
        <v>0</v>
      </c>
      <c r="M25" s="5"/>
      <c r="N25" s="4" t="s">
        <v>51</v>
      </c>
      <c r="R25" s="9" t="s">
        <v>52</v>
      </c>
      <c r="T25" s="125"/>
    </row>
    <row r="26" spans="1:22" x14ac:dyDescent="0.2">
      <c r="A26" s="1" t="s">
        <v>50</v>
      </c>
      <c r="B26" s="8" t="e">
        <f>('Income Statement'!B16-'Income Statement Analysis'!B34)/'Balance Sheet'!B25</f>
        <v>#DIV/0!</v>
      </c>
      <c r="C26" s="8" t="e">
        <f>('Income Statement'!C16-'Income Statement Analysis'!C34)/'Balance Sheet'!C25</f>
        <v>#DIV/0!</v>
      </c>
      <c r="D26" s="8" t="e">
        <f>('Income Statement'!D16-'Income Statement Analysis'!D34)/'Balance Sheet'!D25</f>
        <v>#DIV/0!</v>
      </c>
      <c r="E26" s="59">
        <f>('Income Statement'!E16-'Income Statement Analysis'!E34)/'Balance Sheet'!E25</f>
        <v>3.4642102338253108E-3</v>
      </c>
      <c r="F26" s="59">
        <f>('Income Statement'!F16-'Income Statement Analysis'!F34)/'Balance Sheet'!F25</f>
        <v>-3.8913469771711981E-3</v>
      </c>
      <c r="G26" s="59">
        <f>('Income Statement'!G16-'Income Statement Analysis'!G34)/'Balance Sheet'!G25</f>
        <v>7.0352948312430413E-2</v>
      </c>
      <c r="H26" s="59">
        <f>('Income Statement'!H16-'Income Statement Analysis'!H34)/'Balance Sheet'!H25</f>
        <v>2.8287574770852995E-2</v>
      </c>
      <c r="I26" s="59">
        <f>('Income Statement'!I16-'Income Statement Analysis'!I34)/'Balance Sheet'!I25</f>
        <v>1.9454930808652699E-2</v>
      </c>
      <c r="J26" s="59">
        <f>('Income Statement'!J16-'Income Statement Analysis'!J34)/'Balance Sheet'!J25</f>
        <v>2.4702646934763629E-2</v>
      </c>
      <c r="K26" s="59">
        <f>('Income Statement'!K16-'Income Statement Analysis'!K34)/'Balance Sheet'!K25</f>
        <v>4.9585151006826346E-2</v>
      </c>
      <c r="L26" s="59">
        <f>('Income Statement'!L16-'Income Statement Analysis'!L34)/'Balance Sheet'!L25</f>
        <v>7.9625390740183637E-3</v>
      </c>
      <c r="M26" s="8"/>
      <c r="N26" s="13">
        <f>'Income Statement'!L15</f>
        <v>0</v>
      </c>
      <c r="T26" s="14">
        <f>R13*R38</f>
        <v>7.962539074018362E-3</v>
      </c>
    </row>
    <row r="27" spans="1:22" x14ac:dyDescent="0.2">
      <c r="A27" s="1" t="s">
        <v>79</v>
      </c>
      <c r="B27" s="8" t="e">
        <f>('Income Statement Analysis'!B16-'Income Statement Analysis'!B34)/('Balance Sheet'!B35-'Income Statement Analysis'!B33)</f>
        <v>#DIV/0!</v>
      </c>
      <c r="C27" s="8" t="e">
        <f>('Income Statement Analysis'!C16-'Income Statement Analysis'!C34)/('Balance Sheet'!C35-'Income Statement Analysis'!C33)</f>
        <v>#DIV/0!</v>
      </c>
      <c r="D27" s="8" t="e">
        <f>('Income Statement Analysis'!D16-'Income Statement Analysis'!D34)/('Balance Sheet'!D35-'Income Statement Analysis'!D33)</f>
        <v>#DIV/0!</v>
      </c>
      <c r="E27" s="59">
        <f>('Income Statement Analysis'!E16-'Income Statement Analysis'!E34)/('Balance Sheet'!E35-'Income Statement Analysis'!E33)</f>
        <v>4.9497925713141407E-3</v>
      </c>
      <c r="F27" s="59">
        <f>('Income Statement Analysis'!F16-'Income Statement Analysis'!F34)/('Balance Sheet'!F35-'Income Statement Analysis'!F33)</f>
        <v>-5.6501010937021166E-3</v>
      </c>
      <c r="G27" s="59">
        <f>('Income Statement Analysis'!G16-'Income Statement Analysis'!G34)/('Balance Sheet'!G35-'Income Statement Analysis'!G33)</f>
        <v>0.10648498890279684</v>
      </c>
      <c r="H27" s="59">
        <f>('Income Statement Analysis'!H16-'Income Statement Analysis'!H34)/('Balance Sheet'!H35-'Income Statement Analysis'!H33)</f>
        <v>3.7911252227831704E-2</v>
      </c>
      <c r="I27" s="59">
        <f>('Income Statement Analysis'!I16-'Income Statement Analysis'!I34)/('Balance Sheet'!I35-'Income Statement Analysis'!I33)</f>
        <v>2.882218847475513E-2</v>
      </c>
      <c r="J27" s="59">
        <f>('Income Statement Analysis'!J16-'Income Statement Analysis'!J34)/('Balance Sheet'!J35-'Income Statement Analysis'!J33)</f>
        <v>3.877198728609936E-2</v>
      </c>
      <c r="K27" s="59">
        <f>('Income Statement Analysis'!K16-'Income Statement Analysis'!K34)/('Balance Sheet'!K35-'Income Statement Analysis'!K33)</f>
        <v>7.6191625740897731E-2</v>
      </c>
      <c r="L27" s="59">
        <f>('Income Statement Analysis'!L16-'Income Statement Analysis'!L34)/('Balance Sheet'!L35-'Income Statement Analysis'!L33)</f>
        <v>1.2092205650907854E-2</v>
      </c>
      <c r="M27" s="8"/>
    </row>
    <row r="28" spans="1:22" x14ac:dyDescent="0.2">
      <c r="B28" s="5"/>
      <c r="C28" s="5"/>
      <c r="D28" s="5"/>
      <c r="E28" s="5"/>
      <c r="F28" s="5"/>
      <c r="G28" s="5"/>
      <c r="H28" s="5"/>
      <c r="I28" s="5"/>
      <c r="J28" s="5"/>
      <c r="K28" s="5"/>
      <c r="L28" s="5"/>
      <c r="M28" s="5"/>
      <c r="N28" s="6" t="s">
        <v>44</v>
      </c>
    </row>
    <row r="29" spans="1:22" x14ac:dyDescent="0.2">
      <c r="B29" s="5"/>
      <c r="C29" s="5"/>
      <c r="D29" s="5"/>
      <c r="E29" s="5"/>
      <c r="F29" s="5"/>
      <c r="G29" s="5"/>
      <c r="H29" s="5"/>
      <c r="I29" s="5"/>
      <c r="J29" s="5"/>
      <c r="K29" s="5"/>
      <c r="L29" s="5"/>
      <c r="M29" s="5"/>
    </row>
    <row r="30" spans="1:22" x14ac:dyDescent="0.2">
      <c r="B30" s="5"/>
      <c r="C30" s="5"/>
      <c r="D30" s="5"/>
      <c r="E30" s="5"/>
      <c r="F30" s="5"/>
      <c r="G30" s="5"/>
      <c r="H30" s="5"/>
      <c r="I30" s="5"/>
      <c r="J30" s="5"/>
      <c r="K30" s="5"/>
      <c r="L30" s="5"/>
      <c r="M30" s="5"/>
      <c r="N30" s="4" t="s">
        <v>53</v>
      </c>
    </row>
    <row r="31" spans="1:22" x14ac:dyDescent="0.2">
      <c r="B31" s="5"/>
      <c r="C31" s="5"/>
      <c r="D31" s="5"/>
      <c r="E31" s="5"/>
      <c r="F31" s="5"/>
      <c r="G31" s="5"/>
      <c r="H31" s="5"/>
      <c r="I31" s="5"/>
      <c r="J31" s="5"/>
      <c r="K31" s="5"/>
      <c r="L31" s="5"/>
      <c r="M31" s="5"/>
      <c r="N31" s="11">
        <v>0</v>
      </c>
      <c r="V31" s="125" t="s">
        <v>54</v>
      </c>
    </row>
    <row r="32" spans="1:22" x14ac:dyDescent="0.2">
      <c r="B32" s="5"/>
      <c r="C32" s="5"/>
      <c r="D32" s="5"/>
      <c r="E32" s="5"/>
      <c r="F32" s="5"/>
      <c r="G32" s="5"/>
      <c r="H32" s="5"/>
      <c r="I32" s="5"/>
      <c r="J32" s="5"/>
      <c r="K32" s="5"/>
      <c r="L32" s="5"/>
      <c r="M32" s="5"/>
      <c r="T32" s="1" t="str">
        <f>R25</f>
        <v>multiplied by</v>
      </c>
      <c r="V32" s="125"/>
    </row>
    <row r="33" spans="2:22" x14ac:dyDescent="0.2">
      <c r="B33" s="5"/>
      <c r="C33" s="5"/>
      <c r="D33" s="5"/>
      <c r="E33" s="5"/>
      <c r="F33" s="5"/>
      <c r="G33" s="5"/>
      <c r="H33" s="5"/>
      <c r="I33" s="5"/>
      <c r="J33" s="5"/>
      <c r="K33" s="5"/>
      <c r="L33" s="5"/>
      <c r="M33" s="5"/>
      <c r="V33" s="14">
        <f>T26*T48</f>
        <v>0</v>
      </c>
    </row>
    <row r="34" spans="2:22" x14ac:dyDescent="0.2">
      <c r="B34" s="5"/>
      <c r="C34" s="5"/>
      <c r="D34" s="5"/>
      <c r="E34" s="5"/>
      <c r="F34" s="5"/>
      <c r="G34" s="5"/>
      <c r="H34" s="5"/>
      <c r="I34" s="5"/>
      <c r="J34" s="5"/>
      <c r="K34" s="5"/>
      <c r="L34" s="5"/>
      <c r="M34" s="5"/>
    </row>
    <row r="35" spans="2:22" x14ac:dyDescent="0.2">
      <c r="N35" s="4" t="s">
        <v>55</v>
      </c>
      <c r="P35" s="4" t="str">
        <f>N5</f>
        <v xml:space="preserve">Sales </v>
      </c>
    </row>
    <row r="36" spans="2:22" x14ac:dyDescent="0.2">
      <c r="N36" s="13">
        <f>'Balance Sheet'!L23</f>
        <v>505306562</v>
      </c>
      <c r="P36" s="13">
        <f>N6</f>
        <v>441222016</v>
      </c>
    </row>
    <row r="37" spans="2:22" x14ac:dyDescent="0.2">
      <c r="R37" s="4" t="s">
        <v>56</v>
      </c>
    </row>
    <row r="38" spans="2:22" x14ac:dyDescent="0.2">
      <c r="N38" s="6" t="s">
        <v>57</v>
      </c>
      <c r="P38" s="6" t="s">
        <v>58</v>
      </c>
      <c r="R38" s="15">
        <f>P36/P41</f>
        <v>0.58380453592590231</v>
      </c>
    </row>
    <row r="40" spans="2:22" x14ac:dyDescent="0.2">
      <c r="N40" s="4" t="s">
        <v>59</v>
      </c>
      <c r="P40" s="4" t="s">
        <v>60</v>
      </c>
    </row>
    <row r="41" spans="2:22" x14ac:dyDescent="0.2">
      <c r="N41" s="13">
        <f>'Balance Sheet'!L13</f>
        <v>250463544</v>
      </c>
      <c r="P41" s="13">
        <f>'Balance Sheet'!L25</f>
        <v>755770106</v>
      </c>
    </row>
    <row r="43" spans="2:22" x14ac:dyDescent="0.2">
      <c r="N43" s="6"/>
      <c r="P43" s="6"/>
      <c r="R43" s="125" t="s">
        <v>61</v>
      </c>
    </row>
    <row r="44" spans="2:22" x14ac:dyDescent="0.2">
      <c r="R44" s="125"/>
    </row>
    <row r="45" spans="2:22" x14ac:dyDescent="0.2">
      <c r="N45" s="4" t="s">
        <v>62</v>
      </c>
      <c r="P45" s="4" t="s">
        <v>63</v>
      </c>
      <c r="R45" s="125"/>
    </row>
    <row r="46" spans="2:22" x14ac:dyDescent="0.2">
      <c r="N46" s="13">
        <f>'Balance Sheet'!L51</f>
        <v>233992210</v>
      </c>
      <c r="P46" s="11">
        <f>'Balance Sheet'!L53</f>
        <v>258106638</v>
      </c>
      <c r="R46" s="13">
        <f>'Balance Sheet'!L1</f>
        <v>0</v>
      </c>
      <c r="T46" s="125" t="s">
        <v>64</v>
      </c>
    </row>
    <row r="47" spans="2:22" x14ac:dyDescent="0.2">
      <c r="T47" s="125"/>
    </row>
    <row r="48" spans="2:22" x14ac:dyDescent="0.2">
      <c r="N48" s="6" t="s">
        <v>57</v>
      </c>
      <c r="P48" s="6"/>
      <c r="R48" s="1" t="str">
        <f>P38</f>
        <v>divided by</v>
      </c>
      <c r="T48" s="13">
        <f>R46/R52</f>
        <v>0</v>
      </c>
    </row>
    <row r="50" spans="14:18" x14ac:dyDescent="0.2">
      <c r="N50" s="4" t="s">
        <v>65</v>
      </c>
      <c r="P50" s="4" t="s">
        <v>66</v>
      </c>
      <c r="R50" s="125" t="s">
        <v>67</v>
      </c>
    </row>
    <row r="51" spans="14:18" x14ac:dyDescent="0.2">
      <c r="N51" s="13">
        <f>'Balance Sheet'!L42</f>
        <v>24114428</v>
      </c>
      <c r="P51" s="13">
        <f>'Balance Sheet'!L35</f>
        <v>497663468</v>
      </c>
      <c r="R51" s="125"/>
    </row>
    <row r="52" spans="14:18" x14ac:dyDescent="0.2">
      <c r="R52" s="13">
        <f>P51</f>
        <v>497663468</v>
      </c>
    </row>
  </sheetData>
  <mergeCells count="7">
    <mergeCell ref="A1:M1"/>
    <mergeCell ref="R50:R51"/>
    <mergeCell ref="P8:P10"/>
    <mergeCell ref="T24:T25"/>
    <mergeCell ref="V31:V32"/>
    <mergeCell ref="R43:R45"/>
    <mergeCell ref="T46:T47"/>
  </mergeCells>
  <pageMargins left="0.25" right="0.25" top="0.75" bottom="0.75" header="0.3" footer="0.3"/>
  <pageSetup paperSize="9" orientation="portrait" r:id="rId1"/>
  <ignoredErrors>
    <ignoredError sqref="E7:W52"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O41"/>
  <sheetViews>
    <sheetView showGridLines="0" topLeftCell="A28" workbookViewId="0">
      <selection activeCell="F16" sqref="F16"/>
    </sheetView>
  </sheetViews>
  <sheetFormatPr defaultRowHeight="12.75" x14ac:dyDescent="0.2"/>
  <cols>
    <col min="1" max="1" width="25.140625" style="1" bestFit="1" customWidth="1"/>
    <col min="2" max="4" width="15.7109375" style="1" hidden="1" customWidth="1"/>
    <col min="5" max="12" width="15.7109375" style="1" customWidth="1"/>
    <col min="13" max="13" width="4.7109375" style="1" customWidth="1"/>
    <col min="14" max="14" width="11.28515625" style="2" bestFit="1" customWidth="1"/>
    <col min="15" max="16384" width="9.140625" style="1"/>
  </cols>
  <sheetData>
    <row r="1" spans="1:14" ht="15" x14ac:dyDescent="0.2">
      <c r="A1" s="124" t="s">
        <v>36</v>
      </c>
      <c r="B1" s="124"/>
      <c r="C1" s="124"/>
      <c r="D1" s="124"/>
      <c r="E1" s="124"/>
      <c r="F1" s="124"/>
      <c r="G1" s="124"/>
      <c r="H1" s="124"/>
      <c r="I1" s="124"/>
      <c r="J1" s="124"/>
      <c r="K1" s="124"/>
      <c r="L1" s="124"/>
      <c r="M1" s="124"/>
      <c r="N1" s="124"/>
    </row>
    <row r="3" spans="1:14" x14ac:dyDescent="0.2">
      <c r="A3" s="2" t="s">
        <v>163</v>
      </c>
      <c r="B3" s="2">
        <f>'Income Statement'!B3</f>
        <v>2007</v>
      </c>
      <c r="C3" s="2">
        <f>'Income Statement'!C3</f>
        <v>2008</v>
      </c>
      <c r="D3" s="2">
        <f>'Income Statement'!D3</f>
        <v>2009</v>
      </c>
      <c r="E3" s="2">
        <f>'Income Statement'!E3</f>
        <v>2010</v>
      </c>
      <c r="F3" s="2">
        <f>'Income Statement'!F3</f>
        <v>2011</v>
      </c>
      <c r="G3" s="2">
        <f>'Income Statement'!G3</f>
        <v>2012</v>
      </c>
      <c r="H3" s="2">
        <f>'Income Statement'!H3</f>
        <v>2013</v>
      </c>
      <c r="I3" s="2">
        <f>'Income Statement'!I3</f>
        <v>2014</v>
      </c>
      <c r="J3" s="2">
        <f>'Income Statement'!J3</f>
        <v>2015</v>
      </c>
      <c r="K3" s="2">
        <f>'Income Statement'!K3</f>
        <v>2016</v>
      </c>
      <c r="L3" s="2">
        <f>'Income Statement'!L3</f>
        <v>2017</v>
      </c>
      <c r="M3" s="2"/>
      <c r="N3" s="18" t="s">
        <v>100</v>
      </c>
    </row>
    <row r="4" spans="1:14" x14ac:dyDescent="0.2">
      <c r="A4" s="1" t="str">
        <f>'Income Statement'!A4</f>
        <v>Revenue</v>
      </c>
      <c r="B4" s="55">
        <f>'Income Statement'!B4</f>
        <v>0</v>
      </c>
      <c r="C4" s="55">
        <f>'Income Statement'!C4</f>
        <v>0</v>
      </c>
      <c r="D4" s="55">
        <f>'Income Statement'!D4</f>
        <v>0</v>
      </c>
      <c r="E4" s="55">
        <f>'Income Statement'!E4</f>
        <v>346795197</v>
      </c>
      <c r="F4" s="55">
        <f>'Income Statement'!F4</f>
        <v>337160039</v>
      </c>
      <c r="G4" s="55">
        <f>'Income Statement'!G4</f>
        <v>398970138</v>
      </c>
      <c r="H4" s="55">
        <f>'Income Statement'!H4</f>
        <v>451853632</v>
      </c>
      <c r="I4" s="55">
        <f>'Income Statement'!I4</f>
        <v>441055541</v>
      </c>
      <c r="J4" s="55">
        <f>'Income Statement'!J4</f>
        <v>466653371</v>
      </c>
      <c r="K4" s="55">
        <f>'Income Statement'!K4</f>
        <v>487203247</v>
      </c>
      <c r="L4" s="55">
        <f>'Income Statement'!L4</f>
        <v>441222016</v>
      </c>
      <c r="N4" s="17">
        <f t="shared" ref="N4:N16" si="0">(L4/E4)^(1/7)-1</f>
        <v>3.5000562456932727E-2</v>
      </c>
    </row>
    <row r="5" spans="1:14" x14ac:dyDescent="0.2">
      <c r="A5" s="1" t="str">
        <f>'Income Statement'!A5</f>
        <v>Other operating income</v>
      </c>
      <c r="B5" s="55">
        <f>'Income Statement'!B5</f>
        <v>0</v>
      </c>
      <c r="C5" s="55">
        <f>'Income Statement'!C5</f>
        <v>0</v>
      </c>
      <c r="D5" s="55">
        <f>'Income Statement'!D5</f>
        <v>0</v>
      </c>
      <c r="E5" s="55">
        <f>'Income Statement'!E5</f>
        <v>27945412</v>
      </c>
      <c r="F5" s="55">
        <f>'Income Statement'!F5</f>
        <v>22666478</v>
      </c>
      <c r="G5" s="55">
        <f>'Income Statement'!G5</f>
        <v>21751595</v>
      </c>
      <c r="H5" s="55">
        <f>'Income Statement'!H5</f>
        <v>18755883</v>
      </c>
      <c r="I5" s="55">
        <f>'Income Statement'!I5</f>
        <v>20466206</v>
      </c>
      <c r="J5" s="55">
        <f>'Income Statement'!J5</f>
        <v>36619872</v>
      </c>
      <c r="K5" s="55">
        <f>'Income Statement'!K5</f>
        <v>39596833</v>
      </c>
      <c r="L5" s="55">
        <f>'Income Statement'!L5</f>
        <v>38069986</v>
      </c>
      <c r="N5" s="17">
        <f t="shared" ref="N5" si="1">(L5/E5)^(1/7)-1</f>
        <v>4.5157503650377517E-2</v>
      </c>
    </row>
    <row r="6" spans="1:14" x14ac:dyDescent="0.2">
      <c r="A6" s="1" t="str">
        <f>'Income Statement'!A6</f>
        <v>Employee Costs</v>
      </c>
      <c r="B6" s="55">
        <f>'Income Statement'!B6</f>
        <v>0</v>
      </c>
      <c r="C6" s="55">
        <f>'Income Statement'!C6</f>
        <v>0</v>
      </c>
      <c r="D6" s="55">
        <f>'Income Statement'!D6</f>
        <v>0</v>
      </c>
      <c r="E6" s="55">
        <f>'Income Statement'!E6</f>
        <v>228709077</v>
      </c>
      <c r="F6" s="55">
        <f>'Income Statement'!F6</f>
        <v>227157971</v>
      </c>
      <c r="G6" s="55">
        <f>'Income Statement'!G6</f>
        <v>248087824</v>
      </c>
      <c r="H6" s="55">
        <f>'Income Statement'!H6</f>
        <v>245811772</v>
      </c>
      <c r="I6" s="55">
        <f>'Income Statement'!I6</f>
        <v>283788867</v>
      </c>
      <c r="J6" s="55">
        <f>'Income Statement'!J6</f>
        <v>318585881</v>
      </c>
      <c r="K6" s="55">
        <f>'Income Statement'!K6</f>
        <v>312225124</v>
      </c>
      <c r="L6" s="55">
        <f>'Income Statement'!L6</f>
        <v>308444589</v>
      </c>
      <c r="N6" s="17">
        <f t="shared" si="0"/>
        <v>4.36532999804633E-2</v>
      </c>
    </row>
    <row r="7" spans="1:14" s="2" customFormat="1" x14ac:dyDescent="0.2">
      <c r="A7" s="2" t="str">
        <f>'Income Statement'!A7</f>
        <v>Gross profit</v>
      </c>
      <c r="B7" s="56">
        <f t="shared" ref="B7:D7" si="2">B4+B5-B6</f>
        <v>0</v>
      </c>
      <c r="C7" s="56">
        <f t="shared" si="2"/>
        <v>0</v>
      </c>
      <c r="D7" s="56">
        <f t="shared" si="2"/>
        <v>0</v>
      </c>
      <c r="E7" s="56">
        <f t="shared" ref="E7:L7" si="3">E4+E5-E6</f>
        <v>146031532</v>
      </c>
      <c r="F7" s="56">
        <f t="shared" si="3"/>
        <v>132668546</v>
      </c>
      <c r="G7" s="56">
        <f t="shared" si="3"/>
        <v>172633909</v>
      </c>
      <c r="H7" s="56">
        <f t="shared" si="3"/>
        <v>224797743</v>
      </c>
      <c r="I7" s="56">
        <f t="shared" si="3"/>
        <v>177732880</v>
      </c>
      <c r="J7" s="56">
        <f t="shared" si="3"/>
        <v>184687362</v>
      </c>
      <c r="K7" s="56">
        <f t="shared" si="3"/>
        <v>214574956</v>
      </c>
      <c r="L7" s="56">
        <f t="shared" si="3"/>
        <v>170847413</v>
      </c>
      <c r="N7" s="17">
        <f t="shared" si="0"/>
        <v>2.2674424595554132E-2</v>
      </c>
    </row>
    <row r="8" spans="1:14" x14ac:dyDescent="0.2">
      <c r="A8" s="1" t="str">
        <f>'Income Statement'!A8</f>
        <v xml:space="preserve">    Operating expenses</v>
      </c>
      <c r="B8" s="55">
        <f>'Income Statement'!B8</f>
        <v>0</v>
      </c>
      <c r="C8" s="55">
        <f>'Income Statement'!C8</f>
        <v>0</v>
      </c>
      <c r="D8" s="55">
        <f>'Income Statement'!D8</f>
        <v>0</v>
      </c>
      <c r="E8" s="55">
        <f>'Income Statement'!E8</f>
        <v>127171596</v>
      </c>
      <c r="F8" s="55">
        <f>'Income Statement'!F8</f>
        <v>123120335</v>
      </c>
      <c r="G8" s="55">
        <f>'Income Statement'!G8</f>
        <v>127262968</v>
      </c>
      <c r="H8" s="55">
        <f>'Income Statement'!H8</f>
        <v>193186760</v>
      </c>
      <c r="I8" s="55">
        <f>'Income Statement'!I8</f>
        <v>144136910</v>
      </c>
      <c r="J8" s="55">
        <f>'Income Statement'!J8</f>
        <v>150727634</v>
      </c>
      <c r="K8" s="55">
        <f>'Income Statement'!K8</f>
        <v>187255731</v>
      </c>
      <c r="L8" s="55">
        <f>'Income Statement'!L8</f>
        <v>152824616</v>
      </c>
      <c r="N8" s="17">
        <f t="shared" si="0"/>
        <v>2.6598099492614713E-2</v>
      </c>
    </row>
    <row r="9" spans="1:14" x14ac:dyDescent="0.2">
      <c r="A9" s="1" t="str">
        <f>'Income Statement'!A9</f>
        <v xml:space="preserve">    Actuarial gains</v>
      </c>
      <c r="B9" s="55">
        <f>'Income Statement'!B9</f>
        <v>0</v>
      </c>
      <c r="C9" s="55">
        <f>'Income Statement'!C9</f>
        <v>0</v>
      </c>
      <c r="D9" s="55">
        <f>'Income Statement'!D9</f>
        <v>0</v>
      </c>
      <c r="E9" s="55">
        <f>'Income Statement'!E9</f>
        <v>496520</v>
      </c>
      <c r="F9" s="55">
        <f>'Income Statement'!F9</f>
        <v>3423769</v>
      </c>
      <c r="G9" s="55">
        <f>'Income Statement'!G9</f>
        <v>799947</v>
      </c>
      <c r="H9" s="55">
        <f>'Income Statement'!H9</f>
        <v>-205948</v>
      </c>
      <c r="I9" s="55">
        <f>'Income Statement'!I9</f>
        <v>-879129</v>
      </c>
      <c r="J9" s="55">
        <f>'Income Statement'!J9</f>
        <v>-1388920</v>
      </c>
      <c r="K9" s="55">
        <f>'Income Statement'!K9</f>
        <v>3352389</v>
      </c>
      <c r="L9" s="55">
        <f>'Income Statement'!L9</f>
        <v>1048852</v>
      </c>
      <c r="N9" s="17">
        <f t="shared" ref="N9" si="4">(L9/E9)^(1/7)-1</f>
        <v>0.11274789287456066</v>
      </c>
    </row>
    <row r="10" spans="1:14" s="2" customFormat="1" x14ac:dyDescent="0.2">
      <c r="A10" s="2" t="str">
        <f>'Income Statement'!A10</f>
        <v>Operating profit (EBIT)</v>
      </c>
      <c r="B10" s="56">
        <f>'Income Statement'!B10</f>
        <v>0</v>
      </c>
      <c r="C10" s="56">
        <f>'Income Statement'!C10</f>
        <v>0</v>
      </c>
      <c r="D10" s="56">
        <f>'Income Statement'!D10</f>
        <v>0</v>
      </c>
      <c r="E10" s="56">
        <f t="shared" ref="E10:L10" si="5">E7-E8+E9</f>
        <v>19356456</v>
      </c>
      <c r="F10" s="56">
        <f t="shared" si="5"/>
        <v>12971980</v>
      </c>
      <c r="G10" s="56">
        <f t="shared" si="5"/>
        <v>46170888</v>
      </c>
      <c r="H10" s="56">
        <f t="shared" si="5"/>
        <v>31405035</v>
      </c>
      <c r="I10" s="56">
        <f t="shared" si="5"/>
        <v>32716841</v>
      </c>
      <c r="J10" s="56">
        <f t="shared" si="5"/>
        <v>32570808</v>
      </c>
      <c r="K10" s="56">
        <f t="shared" si="5"/>
        <v>30671614</v>
      </c>
      <c r="L10" s="56">
        <f t="shared" si="5"/>
        <v>19071649</v>
      </c>
      <c r="N10" s="17">
        <f t="shared" si="0"/>
        <v>-2.1153481294396981E-3</v>
      </c>
    </row>
    <row r="11" spans="1:14" x14ac:dyDescent="0.2">
      <c r="A11" s="1" t="str">
        <f>'Income Statement'!A11</f>
        <v>Finance cost (Interest)</v>
      </c>
      <c r="B11" s="55">
        <f>'Income Statement'!B11</f>
        <v>0</v>
      </c>
      <c r="C11" s="55">
        <f>'Income Statement'!C11</f>
        <v>0</v>
      </c>
      <c r="D11" s="55">
        <f>'Income Statement'!D11</f>
        <v>0</v>
      </c>
      <c r="E11" s="55">
        <f>'Income Statement'!E11</f>
        <v>3328922</v>
      </c>
      <c r="F11" s="55">
        <f>'Income Statement'!F11</f>
        <v>3534993</v>
      </c>
      <c r="G11" s="55">
        <f>'Income Statement'!G11</f>
        <v>2678886</v>
      </c>
      <c r="H11" s="55">
        <f>'Income Statement'!H11</f>
        <v>3062740</v>
      </c>
      <c r="I11" s="55">
        <f>'Income Statement'!I11</f>
        <v>3184375</v>
      </c>
      <c r="J11" s="55">
        <f>'Income Statement'!J11</f>
        <v>4186826</v>
      </c>
      <c r="K11" s="55">
        <f>'Income Statement'!K11</f>
        <v>3429288</v>
      </c>
      <c r="L11" s="55">
        <f>'Income Statement'!L11</f>
        <v>3602187</v>
      </c>
      <c r="N11" s="17">
        <f t="shared" si="0"/>
        <v>1.1334126123945465E-2</v>
      </c>
    </row>
    <row r="12" spans="1:14" x14ac:dyDescent="0.2">
      <c r="A12" s="1" t="str">
        <f>'Income Statement'!A12</f>
        <v>Depreciation, amortisation and impairments</v>
      </c>
      <c r="B12" s="55">
        <f>'Income Statement'!B12</f>
        <v>0</v>
      </c>
      <c r="C12" s="55">
        <f>'Income Statement'!C12</f>
        <v>0</v>
      </c>
      <c r="D12" s="55">
        <f>'Income Statement'!D12</f>
        <v>0</v>
      </c>
      <c r="E12" s="55">
        <f>'Income Statement'!E12</f>
        <v>14163772</v>
      </c>
      <c r="F12" s="55">
        <f>'Income Statement'!F12</f>
        <v>12424447</v>
      </c>
      <c r="G12" s="55">
        <f>'Income Statement'!G12</f>
        <v>13048603</v>
      </c>
      <c r="H12" s="55">
        <f>'Income Statement'!H12</f>
        <v>14606560</v>
      </c>
      <c r="I12" s="55">
        <f>'Income Statement'!I12</f>
        <v>17514831</v>
      </c>
      <c r="J12" s="55">
        <f>'Income Statement'!J12</f>
        <v>15187216</v>
      </c>
      <c r="K12" s="55">
        <f>'Income Statement'!K12</f>
        <v>15385155</v>
      </c>
      <c r="L12" s="55">
        <f>'Income Statement'!L12</f>
        <v>13469832</v>
      </c>
      <c r="N12" s="17">
        <f t="shared" ref="N12" si="6">(L12/E12)^(1/7)-1</f>
        <v>-7.1507279778613153E-3</v>
      </c>
    </row>
    <row r="13" spans="1:14" x14ac:dyDescent="0.2">
      <c r="A13" s="1" t="str">
        <f>'Income Statement'!A13</f>
        <v>Profit/(Loss on) sale of assets and liabilities</v>
      </c>
      <c r="B13" s="55">
        <f>'Income Statement'!B13</f>
        <v>0</v>
      </c>
      <c r="C13" s="55">
        <f>'Income Statement'!C13</f>
        <v>0</v>
      </c>
      <c r="D13" s="55">
        <f>'Income Statement'!D13</f>
        <v>0</v>
      </c>
      <c r="E13" s="55">
        <f>'Income Statement'!E13</f>
        <v>-69467</v>
      </c>
      <c r="F13" s="55">
        <f>'Income Statement'!F13</f>
        <v>265324</v>
      </c>
      <c r="G13" s="55">
        <f>'Income Statement'!G13</f>
        <v>12993899</v>
      </c>
      <c r="H13" s="55">
        <f>'Income Statement'!H13</f>
        <v>2338391</v>
      </c>
      <c r="I13" s="55">
        <f>'Income Statement'!I13</f>
        <v>1025281</v>
      </c>
      <c r="J13" s="55">
        <f>'Income Statement'!J13</f>
        <v>4412941</v>
      </c>
      <c r="K13" s="55">
        <f>'Income Statement'!K13</f>
        <v>1939417</v>
      </c>
      <c r="L13" s="55">
        <f>'Income Statement'!L13</f>
        <v>4018219</v>
      </c>
      <c r="N13" s="17">
        <f t="shared" ref="N13" si="7">(L13/E13)^(1/7)-1</f>
        <v>-2.785462457091163</v>
      </c>
    </row>
    <row r="14" spans="1:14" s="2" customFormat="1" x14ac:dyDescent="0.2">
      <c r="A14" s="2" t="str">
        <f>'Income Statement'!A14</f>
        <v>Profits before tax</v>
      </c>
      <c r="B14" s="56">
        <f>B10-B11-B12</f>
        <v>0</v>
      </c>
      <c r="C14" s="56">
        <f t="shared" ref="C14:D14" si="8">C10-C11-C12</f>
        <v>0</v>
      </c>
      <c r="D14" s="56">
        <f t="shared" si="8"/>
        <v>0</v>
      </c>
      <c r="E14" s="56">
        <f t="shared" ref="E14:L14" si="9">E10-E11-E12+E13</f>
        <v>1794295</v>
      </c>
      <c r="F14" s="56">
        <f t="shared" si="9"/>
        <v>-2722136</v>
      </c>
      <c r="G14" s="56">
        <f t="shared" si="9"/>
        <v>43437298</v>
      </c>
      <c r="H14" s="56">
        <f t="shared" si="9"/>
        <v>16074126</v>
      </c>
      <c r="I14" s="56">
        <f t="shared" si="9"/>
        <v>13042916</v>
      </c>
      <c r="J14" s="56">
        <f t="shared" si="9"/>
        <v>17609707</v>
      </c>
      <c r="K14" s="56">
        <f t="shared" si="9"/>
        <v>13796588</v>
      </c>
      <c r="L14" s="56">
        <f t="shared" si="9"/>
        <v>6017849</v>
      </c>
      <c r="N14" s="17">
        <f t="shared" si="0"/>
        <v>0.18871626633964356</v>
      </c>
    </row>
    <row r="15" spans="1:14" x14ac:dyDescent="0.2">
      <c r="A15" s="1" t="str">
        <f>'Income Statement'!A15</f>
        <v>Income tax expense</v>
      </c>
      <c r="B15" s="55">
        <f>'Income Statement'!B15</f>
        <v>0</v>
      </c>
      <c r="C15" s="55">
        <f>'Income Statement'!C15</f>
        <v>0</v>
      </c>
      <c r="D15" s="55">
        <f>'Income Statement'!D15</f>
        <v>0</v>
      </c>
      <c r="E15" s="55">
        <f>'Income Statement'!E15</f>
        <v>101187</v>
      </c>
      <c r="F15" s="55">
        <f>'Income Statement'!F15</f>
        <v>662775</v>
      </c>
      <c r="G15" s="55">
        <f>'Income Statement'!G15</f>
        <v>0</v>
      </c>
      <c r="H15" s="55">
        <f>'Income Statement'!H15</f>
        <v>0</v>
      </c>
      <c r="I15" s="55">
        <f>'Income Statement'!I15</f>
        <v>459822</v>
      </c>
      <c r="J15" s="55">
        <f>'Income Statement'!J15</f>
        <v>0</v>
      </c>
      <c r="K15" s="55">
        <f>'Income Statement'!K15</f>
        <v>-23662691</v>
      </c>
      <c r="L15" s="55">
        <f>'Income Statement'!L15</f>
        <v>0</v>
      </c>
      <c r="N15" s="17">
        <f t="shared" si="0"/>
        <v>-1</v>
      </c>
    </row>
    <row r="16" spans="1:14" s="2" customFormat="1" x14ac:dyDescent="0.2">
      <c r="A16" s="2" t="str">
        <f>'Income Statement'!A16</f>
        <v>Profit for the year</v>
      </c>
      <c r="B16" s="56">
        <f>'Income Statement'!B16</f>
        <v>0</v>
      </c>
      <c r="C16" s="56">
        <f>'Income Statement'!C16</f>
        <v>0</v>
      </c>
      <c r="D16" s="56">
        <f>'Income Statement'!D16</f>
        <v>0</v>
      </c>
      <c r="E16" s="56">
        <f t="shared" ref="E16:L16" si="10">E14-E15</f>
        <v>1693108</v>
      </c>
      <c r="F16" s="56">
        <f>F14+F15</f>
        <v>-2059361</v>
      </c>
      <c r="G16" s="56">
        <f t="shared" si="10"/>
        <v>43437298</v>
      </c>
      <c r="H16" s="56">
        <f t="shared" si="10"/>
        <v>16074126</v>
      </c>
      <c r="I16" s="56">
        <f t="shared" si="10"/>
        <v>12583094</v>
      </c>
      <c r="J16" s="56">
        <f t="shared" si="10"/>
        <v>17609707</v>
      </c>
      <c r="K16" s="56">
        <f t="shared" si="10"/>
        <v>37459279</v>
      </c>
      <c r="L16" s="56">
        <f t="shared" si="10"/>
        <v>6017849</v>
      </c>
      <c r="N16" s="17">
        <f t="shared" si="0"/>
        <v>0.19861447403947818</v>
      </c>
    </row>
    <row r="17" spans="1:14" x14ac:dyDescent="0.2">
      <c r="N17" s="17"/>
    </row>
    <row r="18" spans="1:14" x14ac:dyDescent="0.2">
      <c r="N18" s="17"/>
    </row>
    <row r="19" spans="1:14" x14ac:dyDescent="0.2">
      <c r="A19" s="1" t="str">
        <f t="shared" ref="A19:A26" si="11">A6</f>
        <v>Employee Costs</v>
      </c>
      <c r="B19" s="8" t="e">
        <f t="shared" ref="B19:B26" si="12">B6/$B$4</f>
        <v>#DIV/0!</v>
      </c>
      <c r="C19" s="8" t="e">
        <f t="shared" ref="C19:C26" si="13">C6/$C$4</f>
        <v>#DIV/0!</v>
      </c>
      <c r="D19" s="8" t="e">
        <f t="shared" ref="D19:D26" si="14">D6/$D$4</f>
        <v>#DIV/0!</v>
      </c>
      <c r="E19" s="8">
        <f t="shared" ref="E19:E26" si="15">E6/$E$4</f>
        <v>0.65949320803309741</v>
      </c>
      <c r="F19" s="8">
        <f t="shared" ref="F19:F26" si="16">F6/$F$4</f>
        <v>0.67373930692895667</v>
      </c>
      <c r="G19" s="8">
        <f t="shared" ref="G19:G26" si="17">G6/$G$4</f>
        <v>0.62182053334528009</v>
      </c>
      <c r="H19" s="8">
        <f t="shared" ref="H19:H26" si="18">H6/$H$4</f>
        <v>0.5440075161330119</v>
      </c>
      <c r="I19" s="8">
        <f t="shared" ref="I19:I29" si="19">I6/$I$4</f>
        <v>0.64343113422080322</v>
      </c>
      <c r="J19" s="8">
        <f t="shared" ref="J19:J26" si="20">J6/$J$4</f>
        <v>0.68270348142411685</v>
      </c>
      <c r="K19" s="8">
        <f t="shared" ref="K19:K26" si="21">K6/$K$4</f>
        <v>0.64085189481506066</v>
      </c>
      <c r="L19" s="8">
        <f t="shared" ref="L19:L26" si="22">L6/$L$4</f>
        <v>0.69906889913671033</v>
      </c>
      <c r="N19" s="17">
        <f t="shared" ref="N19:N29" si="23">(L19/E19)^(1/7)-1</f>
        <v>8.3601283297762841E-3</v>
      </c>
    </row>
    <row r="20" spans="1:14" s="2" customFormat="1" x14ac:dyDescent="0.2">
      <c r="A20" s="2" t="str">
        <f t="shared" si="11"/>
        <v>Gross profit</v>
      </c>
      <c r="B20" s="10" t="e">
        <f t="shared" si="12"/>
        <v>#DIV/0!</v>
      </c>
      <c r="C20" s="10" t="e">
        <f t="shared" si="13"/>
        <v>#DIV/0!</v>
      </c>
      <c r="D20" s="10" t="e">
        <f t="shared" si="14"/>
        <v>#DIV/0!</v>
      </c>
      <c r="E20" s="10">
        <f t="shared" si="15"/>
        <v>0.42108868076393802</v>
      </c>
      <c r="F20" s="10">
        <f t="shared" si="16"/>
        <v>0.39348834575262343</v>
      </c>
      <c r="G20" s="10">
        <f t="shared" si="17"/>
        <v>0.43269882268732601</v>
      </c>
      <c r="H20" s="10">
        <f t="shared" si="18"/>
        <v>0.49750124172953425</v>
      </c>
      <c r="I20" s="10">
        <f t="shared" si="19"/>
        <v>0.4029716520441583</v>
      </c>
      <c r="J20" s="10">
        <f t="shared" si="20"/>
        <v>0.39576990862453237</v>
      </c>
      <c r="K20" s="10">
        <f t="shared" si="21"/>
        <v>0.44042185129361422</v>
      </c>
      <c r="L20" s="10">
        <f t="shared" si="22"/>
        <v>0.38721416158889044</v>
      </c>
      <c r="N20" s="17">
        <f t="shared" si="23"/>
        <v>-1.1909305471407894E-2</v>
      </c>
    </row>
    <row r="21" spans="1:14" x14ac:dyDescent="0.2">
      <c r="A21" s="1" t="str">
        <f t="shared" si="11"/>
        <v xml:space="preserve">    Operating expenses</v>
      </c>
      <c r="B21" s="8" t="e">
        <f t="shared" si="12"/>
        <v>#DIV/0!</v>
      </c>
      <c r="C21" s="8" t="e">
        <f t="shared" si="13"/>
        <v>#DIV/0!</v>
      </c>
      <c r="D21" s="8" t="e">
        <f t="shared" si="14"/>
        <v>#DIV/0!</v>
      </c>
      <c r="E21" s="8">
        <f t="shared" si="15"/>
        <v>0.36670518248267436</v>
      </c>
      <c r="F21" s="8">
        <f t="shared" si="16"/>
        <v>0.36516882417373314</v>
      </c>
      <c r="G21" s="8">
        <f t="shared" si="17"/>
        <v>0.31897868005349311</v>
      </c>
      <c r="H21" s="8">
        <f t="shared" si="18"/>
        <v>0.42754278447406613</v>
      </c>
      <c r="I21" s="8">
        <f t="shared" si="19"/>
        <v>0.32679990749736437</v>
      </c>
      <c r="J21" s="8">
        <f t="shared" si="20"/>
        <v>0.32299698955780176</v>
      </c>
      <c r="K21" s="8">
        <f t="shared" si="21"/>
        <v>0.38434828206307092</v>
      </c>
      <c r="L21" s="8">
        <f t="shared" si="22"/>
        <v>0.34636670532777764</v>
      </c>
      <c r="N21" s="17">
        <f t="shared" si="23"/>
        <v>-8.1183172928639413E-3</v>
      </c>
    </row>
    <row r="22" spans="1:14" x14ac:dyDescent="0.2">
      <c r="A22" s="1" t="str">
        <f t="shared" si="11"/>
        <v xml:space="preserve">    Actuarial gains</v>
      </c>
      <c r="B22" s="8" t="e">
        <f t="shared" si="12"/>
        <v>#DIV/0!</v>
      </c>
      <c r="C22" s="8" t="e">
        <f t="shared" si="13"/>
        <v>#DIV/0!</v>
      </c>
      <c r="D22" s="8" t="e">
        <f t="shared" si="14"/>
        <v>#DIV/0!</v>
      </c>
      <c r="E22" s="8">
        <f t="shared" si="15"/>
        <v>1.4317383986145575E-3</v>
      </c>
      <c r="F22" s="8">
        <f t="shared" si="16"/>
        <v>1.0154729517041015E-2</v>
      </c>
      <c r="G22" s="8">
        <f t="shared" si="17"/>
        <v>2.0050297598964663E-3</v>
      </c>
      <c r="H22" s="8">
        <f t="shared" si="18"/>
        <v>-4.5578476173452559E-4</v>
      </c>
      <c r="I22" s="8">
        <f t="shared" si="19"/>
        <v>-1.9932387608298974E-3</v>
      </c>
      <c r="J22" s="8">
        <f t="shared" si="20"/>
        <v>-2.9763419409649995E-3</v>
      </c>
      <c r="K22" s="8">
        <f t="shared" si="21"/>
        <v>6.8808839445193603E-3</v>
      </c>
      <c r="L22" s="8">
        <f t="shared" si="22"/>
        <v>2.3771524583215721E-3</v>
      </c>
      <c r="N22" s="17">
        <f t="shared" ref="N22" si="24">(L22/E22)^(1/7)-1</f>
        <v>7.5118152818262951E-2</v>
      </c>
    </row>
    <row r="23" spans="1:14" s="2" customFormat="1" x14ac:dyDescent="0.2">
      <c r="A23" s="2" t="str">
        <f t="shared" si="11"/>
        <v>Operating profit (EBIT)</v>
      </c>
      <c r="B23" s="10" t="e">
        <f t="shared" si="12"/>
        <v>#DIV/0!</v>
      </c>
      <c r="C23" s="10" t="e">
        <f t="shared" si="13"/>
        <v>#DIV/0!</v>
      </c>
      <c r="D23" s="10" t="e">
        <f t="shared" si="14"/>
        <v>#DIV/0!</v>
      </c>
      <c r="E23" s="10">
        <f t="shared" si="15"/>
        <v>5.5815236679878241E-2</v>
      </c>
      <c r="F23" s="10">
        <f t="shared" si="16"/>
        <v>3.8474251095931333E-2</v>
      </c>
      <c r="G23" s="10">
        <f t="shared" si="17"/>
        <v>0.11572517239372938</v>
      </c>
      <c r="H23" s="10">
        <f t="shared" si="18"/>
        <v>6.9502672493733542E-2</v>
      </c>
      <c r="I23" s="10">
        <f t="shared" si="19"/>
        <v>7.4178505785964036E-2</v>
      </c>
      <c r="J23" s="10">
        <f t="shared" si="20"/>
        <v>6.9796577125765577E-2</v>
      </c>
      <c r="K23" s="10">
        <f t="shared" si="21"/>
        <v>6.295445317506268E-2</v>
      </c>
      <c r="L23" s="10">
        <f t="shared" si="22"/>
        <v>4.3224608719434343E-2</v>
      </c>
      <c r="N23" s="17">
        <f>(L23/E23)^(1/7)-1</f>
        <v>-3.5860763687185826E-2</v>
      </c>
    </row>
    <row r="24" spans="1:14" x14ac:dyDescent="0.2">
      <c r="A24" s="1" t="str">
        <f t="shared" si="11"/>
        <v>Finance cost (Interest)</v>
      </c>
      <c r="B24" s="8" t="e">
        <f t="shared" si="12"/>
        <v>#DIV/0!</v>
      </c>
      <c r="C24" s="8" t="e">
        <f t="shared" si="13"/>
        <v>#DIV/0!</v>
      </c>
      <c r="D24" s="8" t="e">
        <f t="shared" si="14"/>
        <v>#DIV/0!</v>
      </c>
      <c r="E24" s="8">
        <f t="shared" si="15"/>
        <v>9.5991006472906839E-3</v>
      </c>
      <c r="F24" s="8">
        <f t="shared" si="16"/>
        <v>1.0484614399988251E-2</v>
      </c>
      <c r="G24" s="8">
        <f t="shared" si="17"/>
        <v>6.7145025275049536E-3</v>
      </c>
      <c r="H24" s="8">
        <f t="shared" si="18"/>
        <v>6.7781683782061532E-3</v>
      </c>
      <c r="I24" s="8">
        <f t="shared" si="19"/>
        <v>7.219895691096192E-3</v>
      </c>
      <c r="J24" s="8">
        <f t="shared" si="20"/>
        <v>8.9720256194184868E-3</v>
      </c>
      <c r="K24" s="8">
        <f t="shared" si="21"/>
        <v>7.0387215625432806E-3</v>
      </c>
      <c r="L24" s="8">
        <f t="shared" si="22"/>
        <v>8.1641143673120784E-3</v>
      </c>
      <c r="N24" s="17">
        <f t="shared" si="23"/>
        <v>-2.2866109634575249E-2</v>
      </c>
    </row>
    <row r="25" spans="1:14" x14ac:dyDescent="0.2">
      <c r="A25" s="1" t="str">
        <f t="shared" si="11"/>
        <v>Depreciation, amortisation and impairments</v>
      </c>
      <c r="B25" s="8" t="e">
        <f t="shared" si="12"/>
        <v>#DIV/0!</v>
      </c>
      <c r="C25" s="8" t="e">
        <f t="shared" si="13"/>
        <v>#DIV/0!</v>
      </c>
      <c r="D25" s="8" t="e">
        <f t="shared" si="14"/>
        <v>#DIV/0!</v>
      </c>
      <c r="E25" s="8">
        <f t="shared" si="15"/>
        <v>4.0841892051924816E-2</v>
      </c>
      <c r="F25" s="8">
        <f t="shared" si="16"/>
        <v>3.6850295298488801E-2</v>
      </c>
      <c r="G25" s="8">
        <f t="shared" si="17"/>
        <v>3.2705713428607529E-2</v>
      </c>
      <c r="H25" s="8">
        <f t="shared" si="18"/>
        <v>3.2325866089309201E-2</v>
      </c>
      <c r="I25" s="8">
        <f t="shared" si="19"/>
        <v>3.9711168711969544E-2</v>
      </c>
      <c r="J25" s="8">
        <f t="shared" si="20"/>
        <v>3.2544961514914247E-2</v>
      </c>
      <c r="K25" s="8">
        <f t="shared" si="21"/>
        <v>3.1578514910841717E-2</v>
      </c>
      <c r="L25" s="8">
        <f t="shared" si="22"/>
        <v>3.052846755498257E-2</v>
      </c>
      <c r="N25" s="17">
        <f t="shared" ref="N25" si="25">(L25/E25)^(1/7)-1</f>
        <v>-4.0725862346135622E-2</v>
      </c>
    </row>
    <row r="26" spans="1:14" x14ac:dyDescent="0.2">
      <c r="A26" s="1" t="str">
        <f t="shared" si="11"/>
        <v>Profit/(Loss on) sale of assets and liabilities</v>
      </c>
      <c r="B26" s="8" t="e">
        <f t="shared" si="12"/>
        <v>#DIV/0!</v>
      </c>
      <c r="C26" s="8" t="e">
        <f t="shared" si="13"/>
        <v>#DIV/0!</v>
      </c>
      <c r="D26" s="8" t="e">
        <f t="shared" si="14"/>
        <v>#DIV/0!</v>
      </c>
      <c r="E26" s="8">
        <f t="shared" si="15"/>
        <v>-2.0031130938644458E-4</v>
      </c>
      <c r="F26" s="8">
        <f t="shared" si="16"/>
        <v>7.8693786128076701E-4</v>
      </c>
      <c r="G26" s="8">
        <f t="shared" si="17"/>
        <v>3.2568600409888321E-2</v>
      </c>
      <c r="H26" s="8">
        <f t="shared" si="18"/>
        <v>5.1751072347250709E-3</v>
      </c>
      <c r="I26" s="8">
        <f t="shared" si="19"/>
        <v>2.3246074579981301E-3</v>
      </c>
      <c r="J26" s="8">
        <f t="shared" si="20"/>
        <v>9.4565715673357899E-3</v>
      </c>
      <c r="K26" s="8">
        <f t="shared" si="21"/>
        <v>3.9807144388756509E-3</v>
      </c>
      <c r="L26" s="8">
        <f t="shared" si="22"/>
        <v>9.1070228916228877E-3</v>
      </c>
      <c r="N26" s="17">
        <f t="shared" ref="N26" si="26">(L26/E26)^(1/7)-1</f>
        <v>-2.7250835621313563</v>
      </c>
    </row>
    <row r="27" spans="1:14" s="2" customFormat="1" x14ac:dyDescent="0.2">
      <c r="A27" s="2" t="str">
        <f t="shared" ref="A27:A29" si="27">A14</f>
        <v>Profits before tax</v>
      </c>
      <c r="B27" s="10" t="e">
        <f t="shared" ref="B27:B29" si="28">B14/$B$4</f>
        <v>#DIV/0!</v>
      </c>
      <c r="C27" s="10" t="e">
        <f t="shared" ref="C27:C29" si="29">C14/$C$4</f>
        <v>#DIV/0!</v>
      </c>
      <c r="D27" s="10" t="e">
        <f t="shared" ref="D27:D29" si="30">D14/$D$4</f>
        <v>#DIV/0!</v>
      </c>
      <c r="E27" s="10">
        <f t="shared" ref="E27:E29" si="31">E14/$E$4</f>
        <v>5.1739326712762976E-3</v>
      </c>
      <c r="F27" s="10">
        <f t="shared" ref="F27:F29" si="32">F14/$F$4</f>
        <v>-8.0737207412649517E-3</v>
      </c>
      <c r="G27" s="10">
        <f t="shared" ref="G27:G29" si="33">G14/$G$4</f>
        <v>0.10887355684750522</v>
      </c>
      <c r="H27" s="10">
        <f t="shared" ref="H27:H29" si="34">H14/$H$4</f>
        <v>3.5573745260943264E-2</v>
      </c>
      <c r="I27" s="10">
        <f t="shared" si="19"/>
        <v>2.9572048840896436E-2</v>
      </c>
      <c r="J27" s="10">
        <f t="shared" ref="J27:J29" si="35">J14/$J$4</f>
        <v>3.773616155876864E-2</v>
      </c>
      <c r="K27" s="10">
        <f t="shared" ref="K27:K29" si="36">K14/$K$4</f>
        <v>2.8317931140553337E-2</v>
      </c>
      <c r="L27" s="10">
        <f t="shared" ref="L27:L29" si="37">L14/$L$4</f>
        <v>1.3639049688762584E-2</v>
      </c>
      <c r="N27" s="17">
        <f t="shared" si="23"/>
        <v>0.1485175075826175</v>
      </c>
    </row>
    <row r="28" spans="1:14" x14ac:dyDescent="0.2">
      <c r="A28" s="1" t="str">
        <f t="shared" si="27"/>
        <v>Income tax expense</v>
      </c>
      <c r="B28" s="8" t="e">
        <f t="shared" si="28"/>
        <v>#DIV/0!</v>
      </c>
      <c r="C28" s="8" t="e">
        <f t="shared" si="29"/>
        <v>#DIV/0!</v>
      </c>
      <c r="D28" s="8" t="e">
        <f t="shared" si="30"/>
        <v>#DIV/0!</v>
      </c>
      <c r="E28" s="8">
        <f t="shared" si="31"/>
        <v>2.9177739736689607E-4</v>
      </c>
      <c r="F28" s="8">
        <f t="shared" si="32"/>
        <v>1.9657578696626026E-3</v>
      </c>
      <c r="G28" s="8">
        <f t="shared" si="33"/>
        <v>0</v>
      </c>
      <c r="H28" s="8">
        <f t="shared" si="34"/>
        <v>0</v>
      </c>
      <c r="I28" s="8">
        <f t="shared" si="19"/>
        <v>1.0425489700400341E-3</v>
      </c>
      <c r="J28" s="8">
        <f t="shared" si="35"/>
        <v>0</v>
      </c>
      <c r="K28" s="8">
        <f t="shared" si="36"/>
        <v>-4.8568418100054245E-2</v>
      </c>
      <c r="L28" s="8">
        <f t="shared" si="37"/>
        <v>0</v>
      </c>
      <c r="N28" s="17">
        <f t="shared" si="23"/>
        <v>-1</v>
      </c>
    </row>
    <row r="29" spans="1:14" s="2" customFormat="1" x14ac:dyDescent="0.2">
      <c r="A29" s="2" t="str">
        <f t="shared" si="27"/>
        <v>Profit for the year</v>
      </c>
      <c r="B29" s="10" t="e">
        <f t="shared" si="28"/>
        <v>#DIV/0!</v>
      </c>
      <c r="C29" s="10" t="e">
        <f t="shared" si="29"/>
        <v>#DIV/0!</v>
      </c>
      <c r="D29" s="10" t="e">
        <f t="shared" si="30"/>
        <v>#DIV/0!</v>
      </c>
      <c r="E29" s="10">
        <f t="shared" si="31"/>
        <v>4.8821552739094021E-3</v>
      </c>
      <c r="F29" s="10">
        <f t="shared" si="32"/>
        <v>-6.1079628716023491E-3</v>
      </c>
      <c r="G29" s="10">
        <f t="shared" si="33"/>
        <v>0.10887355684750522</v>
      </c>
      <c r="H29" s="10">
        <f t="shared" si="34"/>
        <v>3.5573745260943264E-2</v>
      </c>
      <c r="I29" s="10">
        <f t="shared" si="19"/>
        <v>2.8529499870856401E-2</v>
      </c>
      <c r="J29" s="10">
        <f t="shared" si="35"/>
        <v>3.773616155876864E-2</v>
      </c>
      <c r="K29" s="10">
        <f t="shared" si="36"/>
        <v>7.6886349240607582E-2</v>
      </c>
      <c r="L29" s="10">
        <f t="shared" si="37"/>
        <v>1.3639049688762584E-2</v>
      </c>
      <c r="N29" s="17">
        <f t="shared" si="23"/>
        <v>0.15808098808579496</v>
      </c>
    </row>
    <row r="30" spans="1:14" x14ac:dyDescent="0.2">
      <c r="N30" s="17"/>
    </row>
    <row r="31" spans="1:14" x14ac:dyDescent="0.2">
      <c r="B31" s="55"/>
      <c r="C31" s="55"/>
      <c r="D31" s="55"/>
      <c r="E31" s="55"/>
      <c r="F31" s="55"/>
      <c r="G31" s="55"/>
      <c r="H31" s="55"/>
      <c r="I31" s="55"/>
      <c r="J31" s="55"/>
      <c r="K31" s="55"/>
      <c r="L31" s="55"/>
      <c r="N31" s="17"/>
    </row>
    <row r="32" spans="1:14" x14ac:dyDescent="0.2">
      <c r="A32" s="1" t="str">
        <f>'Income Statement'!A19</f>
        <v>Basic EPS</v>
      </c>
      <c r="B32" s="1">
        <f>'Income Statement'!B19</f>
        <v>0</v>
      </c>
      <c r="C32" s="1">
        <f>'Income Statement'!C19</f>
        <v>0</v>
      </c>
      <c r="D32" s="1">
        <f>'Income Statement'!D19</f>
        <v>0</v>
      </c>
      <c r="E32" s="1">
        <f>'Income Statement'!E19</f>
        <v>0</v>
      </c>
      <c r="F32" s="1">
        <f>'Income Statement'!F19</f>
        <v>0</v>
      </c>
      <c r="G32" s="1">
        <f>'Income Statement'!G19</f>
        <v>0</v>
      </c>
      <c r="H32" s="1">
        <f>'Income Statement'!H19</f>
        <v>0</v>
      </c>
      <c r="I32" s="1">
        <f>'Income Statement'!I19</f>
        <v>0</v>
      </c>
      <c r="J32" s="1">
        <f>'Income Statement'!J19</f>
        <v>0</v>
      </c>
      <c r="K32" s="1">
        <f>'Income Statement'!K19</f>
        <v>0</v>
      </c>
      <c r="L32" s="1">
        <f>'Income Statement'!L19</f>
        <v>0</v>
      </c>
      <c r="N32" s="17" t="e">
        <f t="shared" ref="N32" si="38">(L32/E32)^(1/7)-1</f>
        <v>#DIV/0!</v>
      </c>
    </row>
    <row r="33" spans="1:15" x14ac:dyDescent="0.2">
      <c r="A33" s="1" t="str">
        <f>'Income Statement'!A20</f>
        <v>Diluted EPS</v>
      </c>
      <c r="B33" s="1">
        <f>'Income Statement'!B20</f>
        <v>0</v>
      </c>
      <c r="C33" s="1">
        <f>'Income Statement'!C20</f>
        <v>0</v>
      </c>
      <c r="D33" s="1">
        <f>'Income Statement'!D20</f>
        <v>0</v>
      </c>
      <c r="E33" s="1">
        <f>'Income Statement'!E20</f>
        <v>0</v>
      </c>
      <c r="F33" s="1">
        <f>'Income Statement'!F20</f>
        <v>0</v>
      </c>
      <c r="G33" s="1">
        <f>'Income Statement'!G20</f>
        <v>0</v>
      </c>
      <c r="H33" s="1">
        <f>'Income Statement'!H20</f>
        <v>0</v>
      </c>
      <c r="I33" s="1">
        <f>'Income Statement'!I20</f>
        <v>0</v>
      </c>
      <c r="J33" s="1">
        <f>'Income Statement'!J20</f>
        <v>0</v>
      </c>
      <c r="K33" s="1">
        <f>'Income Statement'!K20</f>
        <v>0</v>
      </c>
      <c r="L33" s="1">
        <f>'Income Statement'!L20</f>
        <v>0</v>
      </c>
      <c r="N33" s="17" t="e">
        <f t="shared" ref="N33" si="39">(L33/B33)^(1/4)-1</f>
        <v>#DIV/0!</v>
      </c>
    </row>
    <row r="36" spans="1:15" x14ac:dyDescent="0.2">
      <c r="A36" s="1" t="str">
        <f>A3</f>
        <v>R</v>
      </c>
      <c r="B36" s="1">
        <f t="shared" ref="B36:L36" si="40">B3</f>
        <v>2007</v>
      </c>
      <c r="C36" s="1">
        <f t="shared" si="40"/>
        <v>2008</v>
      </c>
      <c r="D36" s="1">
        <f t="shared" si="40"/>
        <v>2009</v>
      </c>
      <c r="E36" s="1">
        <f t="shared" si="40"/>
        <v>2010</v>
      </c>
      <c r="F36" s="1">
        <f t="shared" si="40"/>
        <v>2011</v>
      </c>
      <c r="G36" s="1">
        <f t="shared" si="40"/>
        <v>2012</v>
      </c>
      <c r="H36" s="1">
        <f t="shared" si="40"/>
        <v>2013</v>
      </c>
      <c r="I36" s="1">
        <f t="shared" si="40"/>
        <v>2014</v>
      </c>
      <c r="J36" s="1">
        <f t="shared" si="40"/>
        <v>2015</v>
      </c>
      <c r="K36" s="1">
        <f t="shared" si="40"/>
        <v>2016</v>
      </c>
      <c r="L36" s="1">
        <f t="shared" si="40"/>
        <v>2017</v>
      </c>
      <c r="N36" s="17"/>
    </row>
    <row r="37" spans="1:15" x14ac:dyDescent="0.2">
      <c r="A37" s="1" t="str">
        <f>A4</f>
        <v>Revenue</v>
      </c>
      <c r="B37" s="1">
        <f t="shared" ref="B37:N37" si="41">B4</f>
        <v>0</v>
      </c>
      <c r="C37" s="1">
        <f t="shared" si="41"/>
        <v>0</v>
      </c>
      <c r="D37" s="1">
        <f t="shared" si="41"/>
        <v>0</v>
      </c>
      <c r="E37" s="89">
        <f t="shared" si="41"/>
        <v>346795197</v>
      </c>
      <c r="F37" s="89">
        <f t="shared" si="41"/>
        <v>337160039</v>
      </c>
      <c r="G37" s="89">
        <f t="shared" si="41"/>
        <v>398970138</v>
      </c>
      <c r="H37" s="89">
        <f t="shared" si="41"/>
        <v>451853632</v>
      </c>
      <c r="I37" s="89">
        <f t="shared" si="41"/>
        <v>441055541</v>
      </c>
      <c r="J37" s="89">
        <f t="shared" si="41"/>
        <v>466653371</v>
      </c>
      <c r="K37" s="89">
        <f t="shared" si="41"/>
        <v>487203247</v>
      </c>
      <c r="L37" s="89">
        <f t="shared" si="41"/>
        <v>441222016</v>
      </c>
      <c r="N37" s="17">
        <f t="shared" si="41"/>
        <v>3.5000562456932727E-2</v>
      </c>
    </row>
    <row r="38" spans="1:15" x14ac:dyDescent="0.2">
      <c r="A38" s="1" t="str">
        <f>A7</f>
        <v>Gross profit</v>
      </c>
      <c r="C38" s="8" t="e">
        <f t="shared" ref="C38:D38" si="42">C9/C7</f>
        <v>#DIV/0!</v>
      </c>
      <c r="D38" s="8" t="e">
        <f t="shared" si="42"/>
        <v>#DIV/0!</v>
      </c>
      <c r="E38" s="8">
        <f>E7/E4</f>
        <v>0.42108868076393802</v>
      </c>
      <c r="F38" s="8">
        <f t="shared" ref="F38:L38" si="43">F7/F4</f>
        <v>0.39348834575262343</v>
      </c>
      <c r="G38" s="8">
        <f t="shared" si="43"/>
        <v>0.43269882268732601</v>
      </c>
      <c r="H38" s="8">
        <f t="shared" si="43"/>
        <v>0.49750124172953425</v>
      </c>
      <c r="I38" s="8">
        <f t="shared" si="43"/>
        <v>0.4029716520441583</v>
      </c>
      <c r="J38" s="8">
        <f t="shared" si="43"/>
        <v>0.39576990862453237</v>
      </c>
      <c r="K38" s="8">
        <f t="shared" si="43"/>
        <v>0.44042185129361422</v>
      </c>
      <c r="L38" s="8">
        <f t="shared" si="43"/>
        <v>0.38721416158889044</v>
      </c>
      <c r="N38" s="17">
        <f t="shared" ref="N38:N40" si="44">(L38/E38)^(1/7)-1</f>
        <v>-1.1909305471407894E-2</v>
      </c>
    </row>
    <row r="39" spans="1:15" x14ac:dyDescent="0.2">
      <c r="A39" s="1" t="str">
        <f>A10</f>
        <v>Operating profit (EBIT)</v>
      </c>
      <c r="C39" s="55">
        <f t="shared" ref="C39:D39" si="45">C13</f>
        <v>0</v>
      </c>
      <c r="D39" s="55">
        <f t="shared" si="45"/>
        <v>0</v>
      </c>
      <c r="E39" s="89">
        <f>E10</f>
        <v>19356456</v>
      </c>
      <c r="F39" s="89">
        <f t="shared" ref="F39:L39" si="46">F10</f>
        <v>12971980</v>
      </c>
      <c r="G39" s="89">
        <f t="shared" si="46"/>
        <v>46170888</v>
      </c>
      <c r="H39" s="89">
        <f t="shared" si="46"/>
        <v>31405035</v>
      </c>
      <c r="I39" s="89">
        <f t="shared" si="46"/>
        <v>32716841</v>
      </c>
      <c r="J39" s="89">
        <f t="shared" si="46"/>
        <v>32570808</v>
      </c>
      <c r="K39" s="89">
        <f t="shared" si="46"/>
        <v>30671614</v>
      </c>
      <c r="L39" s="89">
        <f t="shared" si="46"/>
        <v>19071649</v>
      </c>
      <c r="M39" s="88"/>
      <c r="N39" s="17">
        <f t="shared" si="44"/>
        <v>-2.1153481294396981E-3</v>
      </c>
    </row>
    <row r="40" spans="1:15" x14ac:dyDescent="0.2">
      <c r="A40" s="1" t="str">
        <f>A16</f>
        <v>Profit for the year</v>
      </c>
      <c r="B40" s="8"/>
      <c r="C40" s="8" t="e">
        <f t="shared" ref="C40:D40" si="47">C17/C7</f>
        <v>#DIV/0!</v>
      </c>
      <c r="D40" s="8" t="e">
        <f t="shared" si="47"/>
        <v>#DIV/0!</v>
      </c>
      <c r="E40" s="8">
        <f t="shared" ref="E40:L40" si="48">E16/E4</f>
        <v>4.8821552739094021E-3</v>
      </c>
      <c r="F40" s="8">
        <f t="shared" si="48"/>
        <v>-6.1079628716023491E-3</v>
      </c>
      <c r="G40" s="8">
        <f t="shared" si="48"/>
        <v>0.10887355684750522</v>
      </c>
      <c r="H40" s="8">
        <f t="shared" si="48"/>
        <v>3.5573745260943264E-2</v>
      </c>
      <c r="I40" s="8">
        <f t="shared" si="48"/>
        <v>2.8529499870856401E-2</v>
      </c>
      <c r="J40" s="8">
        <f t="shared" si="48"/>
        <v>3.773616155876864E-2</v>
      </c>
      <c r="K40" s="8">
        <f t="shared" si="48"/>
        <v>7.6886349240607582E-2</v>
      </c>
      <c r="L40" s="8">
        <f t="shared" si="48"/>
        <v>1.3639049688762584E-2</v>
      </c>
      <c r="N40" s="17">
        <f t="shared" si="44"/>
        <v>0.15808098808579496</v>
      </c>
    </row>
    <row r="41" spans="1:15" x14ac:dyDescent="0.2">
      <c r="O41" s="12"/>
    </row>
  </sheetData>
  <mergeCells count="1">
    <mergeCell ref="A1:N1"/>
  </mergeCells>
  <pageMargins left="0.7" right="0.7" top="0.75" bottom="0.75" header="0.3" footer="0.3"/>
  <ignoredErrors>
    <ignoredError sqref="B6:N6 B4:N4 B30:N33 M7:N7 B11:N11 M14:N14 B8:N8 B15:N15 B23:E24 B10:D10 M10:N10 B17:E21 B16:D16 B27:E29" evalError="1"/>
    <ignoredError sqref="M16:N16 F17:N21 F24:N24 F27:N29 F23:M23" evalError="1" formula="1"/>
    <ignoredError sqref="F16:L16 F25:N26 F22:N22" 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O63"/>
  <sheetViews>
    <sheetView showGridLines="0" topLeftCell="A58" workbookViewId="0">
      <selection activeCell="N63" sqref="N63"/>
    </sheetView>
  </sheetViews>
  <sheetFormatPr defaultRowHeight="12.75" x14ac:dyDescent="0.2"/>
  <cols>
    <col min="1" max="1" width="39" style="1" bestFit="1" customWidth="1"/>
    <col min="2" max="4" width="9.28515625" style="1" hidden="1" customWidth="1"/>
    <col min="5" max="12" width="14.28515625" style="1" customWidth="1"/>
    <col min="13" max="13" width="4.7109375" style="1" customWidth="1"/>
    <col min="14" max="14" width="8.28515625" style="1" bestFit="1" customWidth="1"/>
    <col min="15" max="16384" width="9.140625" style="1"/>
  </cols>
  <sheetData>
    <row r="1" spans="1:14" ht="15" x14ac:dyDescent="0.2">
      <c r="A1" s="124" t="s">
        <v>37</v>
      </c>
      <c r="B1" s="124"/>
      <c r="C1" s="124"/>
      <c r="D1" s="124"/>
      <c r="E1" s="124"/>
      <c r="F1" s="124"/>
      <c r="G1" s="124"/>
      <c r="H1" s="124"/>
      <c r="I1" s="124"/>
      <c r="J1" s="124"/>
      <c r="K1" s="124"/>
      <c r="L1" s="124"/>
      <c r="M1" s="124"/>
      <c r="N1" s="124"/>
    </row>
    <row r="3" spans="1:14" s="2" customFormat="1" x14ac:dyDescent="0.2">
      <c r="A3" s="2" t="s">
        <v>163</v>
      </c>
      <c r="B3" s="2">
        <f>'Balance Sheet'!B3</f>
        <v>2007</v>
      </c>
      <c r="C3" s="2">
        <f>'Balance Sheet'!C3</f>
        <v>2008</v>
      </c>
      <c r="D3" s="2">
        <f>'Balance Sheet'!D3</f>
        <v>2009</v>
      </c>
      <c r="E3" s="2">
        <f>'Balance Sheet'!E3</f>
        <v>2010</v>
      </c>
      <c r="F3" s="2">
        <f>'Balance Sheet'!F3</f>
        <v>2011</v>
      </c>
      <c r="G3" s="2">
        <f>'Balance Sheet'!G3</f>
        <v>2012</v>
      </c>
      <c r="H3" s="2">
        <f>'Balance Sheet'!H3</f>
        <v>2013</v>
      </c>
      <c r="I3" s="2">
        <f>'Balance Sheet'!I3</f>
        <v>2014</v>
      </c>
      <c r="J3" s="2">
        <f>'Balance Sheet'!J3</f>
        <v>2015</v>
      </c>
      <c r="K3" s="2">
        <f>'Balance Sheet'!K3</f>
        <v>2016</v>
      </c>
      <c r="L3" s="2">
        <f>'Balance Sheet'!L3</f>
        <v>2017</v>
      </c>
      <c r="N3" s="2" t="str">
        <f>'Income Statement Analysis'!N3</f>
        <v>CAGR</v>
      </c>
    </row>
    <row r="4" spans="1:14" s="2" customFormat="1" x14ac:dyDescent="0.2">
      <c r="A4" s="2" t="str">
        <f>'Balance Sheet'!A4</f>
        <v>ASSETS</v>
      </c>
      <c r="B4" s="55"/>
      <c r="C4" s="55"/>
      <c r="D4" s="55"/>
      <c r="E4" s="55"/>
      <c r="F4" s="55"/>
      <c r="G4" s="55"/>
      <c r="H4" s="55"/>
      <c r="I4" s="55"/>
      <c r="J4" s="55"/>
      <c r="K4" s="55"/>
      <c r="L4" s="55"/>
    </row>
    <row r="5" spans="1:14" s="2" customFormat="1" x14ac:dyDescent="0.2">
      <c r="A5" s="2" t="str">
        <f>'Balance Sheet'!A5</f>
        <v>Non-current assets</v>
      </c>
      <c r="B5" s="55"/>
      <c r="C5" s="55"/>
      <c r="D5" s="55"/>
      <c r="E5" s="55"/>
      <c r="F5" s="55"/>
      <c r="G5" s="55"/>
      <c r="H5" s="55"/>
      <c r="I5" s="55"/>
      <c r="J5" s="55"/>
      <c r="K5" s="55"/>
      <c r="L5" s="55"/>
    </row>
    <row r="6" spans="1:14" x14ac:dyDescent="0.2">
      <c r="A6" s="1" t="str">
        <f>'Balance Sheet'!A6</f>
        <v>Property, plant and equipment</v>
      </c>
      <c r="B6" s="55">
        <f>'Balance Sheet'!B6</f>
        <v>0</v>
      </c>
      <c r="C6" s="55">
        <f>'Balance Sheet'!C6</f>
        <v>0</v>
      </c>
      <c r="D6" s="55">
        <f>'Balance Sheet'!D6</f>
        <v>0</v>
      </c>
      <c r="E6" s="55">
        <f>'Balance Sheet'!E6</f>
        <v>191850928</v>
      </c>
      <c r="F6" s="55">
        <f>'Balance Sheet'!F6</f>
        <v>208615438</v>
      </c>
      <c r="G6" s="55">
        <f>'Balance Sheet'!G6</f>
        <v>257264383</v>
      </c>
      <c r="H6" s="55">
        <f>'Balance Sheet'!H6</f>
        <v>245531259</v>
      </c>
      <c r="I6" s="55">
        <f>'Balance Sheet'!I6</f>
        <v>213073348</v>
      </c>
      <c r="J6" s="55">
        <f>'Balance Sheet'!J6</f>
        <v>207560236</v>
      </c>
      <c r="K6" s="55">
        <f>'Balance Sheet'!K6</f>
        <v>230175371</v>
      </c>
      <c r="L6" s="55">
        <f>'Balance Sheet'!L6</f>
        <v>248478101</v>
      </c>
      <c r="N6" s="17">
        <f t="shared" ref="N6:N13" si="0">(L6/E6)^(1/7)-1</f>
        <v>3.7639071559273374E-2</v>
      </c>
    </row>
    <row r="7" spans="1:14" x14ac:dyDescent="0.2">
      <c r="A7" s="1" t="str">
        <f>'Balance Sheet'!A7</f>
        <v>Intangible assets</v>
      </c>
      <c r="B7" s="55">
        <f>'Balance Sheet'!B7</f>
        <v>0</v>
      </c>
      <c r="C7" s="55">
        <f>'Balance Sheet'!C7</f>
        <v>0</v>
      </c>
      <c r="D7" s="55">
        <f>'Balance Sheet'!D7</f>
        <v>0</v>
      </c>
      <c r="E7" s="55">
        <f>'Balance Sheet'!E7</f>
        <v>3457152</v>
      </c>
      <c r="F7" s="55">
        <f>'Balance Sheet'!F7</f>
        <v>2948386</v>
      </c>
      <c r="G7" s="55">
        <f>'Balance Sheet'!G7</f>
        <v>3147243</v>
      </c>
      <c r="H7" s="55">
        <f>'Balance Sheet'!H7</f>
        <v>2868814</v>
      </c>
      <c r="I7" s="55">
        <f>'Balance Sheet'!I7</f>
        <v>2390352</v>
      </c>
      <c r="J7" s="55">
        <f>'Balance Sheet'!J7</f>
        <v>1450482</v>
      </c>
      <c r="K7" s="55">
        <f>'Balance Sheet'!K7</f>
        <v>1720076</v>
      </c>
      <c r="L7" s="55">
        <f>'Balance Sheet'!L7</f>
        <v>1985443</v>
      </c>
      <c r="N7" s="17">
        <f t="shared" si="0"/>
        <v>-7.6171665139984746E-2</v>
      </c>
    </row>
    <row r="8" spans="1:14" x14ac:dyDescent="0.2">
      <c r="A8" s="1" t="str">
        <f>'Balance Sheet'!A8</f>
        <v>Long term loans and advances</v>
      </c>
      <c r="B8" s="55">
        <f>'Balance Sheet'!B8</f>
        <v>0</v>
      </c>
      <c r="C8" s="55">
        <f>'Balance Sheet'!C8</f>
        <v>0</v>
      </c>
      <c r="D8" s="55">
        <f>'Balance Sheet'!D8</f>
        <v>0</v>
      </c>
      <c r="E8" s="55">
        <f>'Balance Sheet'!E8</f>
        <v>4636</v>
      </c>
      <c r="F8" s="55">
        <f>'Balance Sheet'!F8</f>
        <v>0</v>
      </c>
      <c r="G8" s="55">
        <f>'Balance Sheet'!G8</f>
        <v>0</v>
      </c>
      <c r="H8" s="55">
        <f>'Balance Sheet'!H8</f>
        <v>0</v>
      </c>
      <c r="I8" s="55">
        <f>'Balance Sheet'!I8</f>
        <v>0</v>
      </c>
      <c r="J8" s="55">
        <f>'Balance Sheet'!J8</f>
        <v>0</v>
      </c>
      <c r="K8" s="55">
        <f>'Balance Sheet'!K8</f>
        <v>0</v>
      </c>
      <c r="L8" s="55">
        <f>'Balance Sheet'!L8</f>
        <v>0</v>
      </c>
      <c r="N8" s="17">
        <f t="shared" si="0"/>
        <v>-1</v>
      </c>
    </row>
    <row r="9" spans="1:14" hidden="1" x14ac:dyDescent="0.2">
      <c r="A9" s="1" t="str">
        <f>'Balance Sheet'!A9</f>
        <v>Investment in subsidiaries</v>
      </c>
      <c r="B9" s="55">
        <f>'Balance Sheet'!B9</f>
        <v>0</v>
      </c>
      <c r="C9" s="55">
        <f>'Balance Sheet'!C9</f>
        <v>0</v>
      </c>
      <c r="D9" s="55">
        <f>'Balance Sheet'!D9</f>
        <v>0</v>
      </c>
      <c r="E9" s="55">
        <f>'Balance Sheet'!E9</f>
        <v>0</v>
      </c>
      <c r="F9" s="55">
        <f>'Balance Sheet'!F9</f>
        <v>0</v>
      </c>
      <c r="G9" s="55">
        <f>'Balance Sheet'!G9</f>
        <v>0</v>
      </c>
      <c r="H9" s="55">
        <f>'Balance Sheet'!H9</f>
        <v>0</v>
      </c>
      <c r="I9" s="55">
        <f>'Balance Sheet'!I9</f>
        <v>0</v>
      </c>
      <c r="J9" s="55">
        <f>'Balance Sheet'!J9</f>
        <v>0</v>
      </c>
      <c r="K9" s="55">
        <f>'Balance Sheet'!K9</f>
        <v>0</v>
      </c>
      <c r="L9" s="55">
        <f>'Balance Sheet'!L9</f>
        <v>0</v>
      </c>
      <c r="N9" s="17" t="e">
        <f t="shared" si="0"/>
        <v>#DIV/0!</v>
      </c>
    </row>
    <row r="10" spans="1:14" s="2" customFormat="1" hidden="1" x14ac:dyDescent="0.2">
      <c r="A10" s="1" t="str">
        <f>'Balance Sheet'!A10</f>
        <v>Trade and other receivables</v>
      </c>
      <c r="B10" s="55">
        <f>'Balance Sheet'!B10</f>
        <v>0</v>
      </c>
      <c r="C10" s="55">
        <f>'Balance Sheet'!C10</f>
        <v>0</v>
      </c>
      <c r="D10" s="55">
        <f>'Balance Sheet'!D10</f>
        <v>0</v>
      </c>
      <c r="E10" s="55">
        <f>'Balance Sheet'!E10</f>
        <v>0</v>
      </c>
      <c r="F10" s="55">
        <f>'Balance Sheet'!F10</f>
        <v>0</v>
      </c>
      <c r="G10" s="55">
        <f>'Balance Sheet'!G10</f>
        <v>0</v>
      </c>
      <c r="H10" s="55">
        <f>'Balance Sheet'!H10</f>
        <v>0</v>
      </c>
      <c r="I10" s="55">
        <f>'Balance Sheet'!I10</f>
        <v>0</v>
      </c>
      <c r="J10" s="55">
        <f>'Balance Sheet'!J10</f>
        <v>0</v>
      </c>
      <c r="K10" s="55">
        <f>'Balance Sheet'!K10</f>
        <v>0</v>
      </c>
      <c r="L10" s="55">
        <f>'Balance Sheet'!L10</f>
        <v>0</v>
      </c>
      <c r="N10" s="17" t="e">
        <f t="shared" si="0"/>
        <v>#DIV/0!</v>
      </c>
    </row>
    <row r="11" spans="1:14" hidden="1" x14ac:dyDescent="0.2">
      <c r="A11" s="1" t="str">
        <f>'Balance Sheet'!A11</f>
        <v>Financial receivables</v>
      </c>
      <c r="B11" s="55">
        <f>'Balance Sheet'!B11</f>
        <v>0</v>
      </c>
      <c r="C11" s="55">
        <f>'Balance Sheet'!C11</f>
        <v>0</v>
      </c>
      <c r="D11" s="55">
        <f>'Balance Sheet'!D11</f>
        <v>0</v>
      </c>
      <c r="E11" s="55">
        <f>'Balance Sheet'!E11</f>
        <v>0</v>
      </c>
      <c r="F11" s="55">
        <f>'Balance Sheet'!F11</f>
        <v>0</v>
      </c>
      <c r="G11" s="55">
        <f>'Balance Sheet'!G11</f>
        <v>0</v>
      </c>
      <c r="H11" s="55">
        <f>'Balance Sheet'!H11</f>
        <v>0</v>
      </c>
      <c r="I11" s="55">
        <f>'Balance Sheet'!I11</f>
        <v>0</v>
      </c>
      <c r="J11" s="55">
        <f>'Balance Sheet'!J11</f>
        <v>0</v>
      </c>
      <c r="K11" s="55">
        <f>'Balance Sheet'!K11</f>
        <v>0</v>
      </c>
      <c r="L11" s="55">
        <f>'Balance Sheet'!L11</f>
        <v>0</v>
      </c>
      <c r="N11" s="17" t="e">
        <f t="shared" si="0"/>
        <v>#DIV/0!</v>
      </c>
    </row>
    <row r="12" spans="1:14" s="2" customFormat="1" hidden="1" x14ac:dyDescent="0.2">
      <c r="A12" s="1" t="str">
        <f>'Balance Sheet'!A12</f>
        <v>Deffered tax</v>
      </c>
      <c r="B12" s="55">
        <f>'Balance Sheet'!B12</f>
        <v>0</v>
      </c>
      <c r="C12" s="55">
        <f>'Balance Sheet'!C12</f>
        <v>0</v>
      </c>
      <c r="D12" s="55">
        <f>'Balance Sheet'!D12</f>
        <v>0</v>
      </c>
      <c r="E12" s="55">
        <f>'Balance Sheet'!E12</f>
        <v>0</v>
      </c>
      <c r="F12" s="55">
        <f>'Balance Sheet'!F12</f>
        <v>0</v>
      </c>
      <c r="G12" s="55">
        <f>'Balance Sheet'!G12</f>
        <v>0</v>
      </c>
      <c r="H12" s="55">
        <f>'Balance Sheet'!H12</f>
        <v>0</v>
      </c>
      <c r="I12" s="55">
        <f>'Balance Sheet'!I12</f>
        <v>0</v>
      </c>
      <c r="J12" s="55">
        <f>'Balance Sheet'!J12</f>
        <v>0</v>
      </c>
      <c r="K12" s="55">
        <f>'Balance Sheet'!K12</f>
        <v>0</v>
      </c>
      <c r="L12" s="55">
        <f>'Balance Sheet'!L12</f>
        <v>0</v>
      </c>
      <c r="N12" s="17" t="e">
        <f t="shared" si="0"/>
        <v>#DIV/0!</v>
      </c>
    </row>
    <row r="13" spans="1:14" s="2" customFormat="1" x14ac:dyDescent="0.2">
      <c r="A13" s="2" t="str">
        <f>'Balance Sheet'!A13</f>
        <v>Total non-current assets</v>
      </c>
      <c r="B13" s="56">
        <f>'Balance Sheet'!B13</f>
        <v>0</v>
      </c>
      <c r="C13" s="56">
        <f>'Balance Sheet'!C13</f>
        <v>0</v>
      </c>
      <c r="D13" s="56">
        <f>'Balance Sheet'!D13</f>
        <v>0</v>
      </c>
      <c r="E13" s="56">
        <f>'Balance Sheet'!E13</f>
        <v>195312716</v>
      </c>
      <c r="F13" s="56">
        <f>'Balance Sheet'!F13</f>
        <v>211563824</v>
      </c>
      <c r="G13" s="56">
        <f>'Balance Sheet'!G13</f>
        <v>260411626</v>
      </c>
      <c r="H13" s="56">
        <f>'Balance Sheet'!H13</f>
        <v>248400073</v>
      </c>
      <c r="I13" s="56">
        <f>'Balance Sheet'!I13</f>
        <v>215463700</v>
      </c>
      <c r="J13" s="56">
        <f>'Balance Sheet'!J13</f>
        <v>209010718</v>
      </c>
      <c r="K13" s="56">
        <f>'Balance Sheet'!K13</f>
        <v>231895447</v>
      </c>
      <c r="L13" s="56">
        <f>'Balance Sheet'!L13</f>
        <v>250463544</v>
      </c>
      <c r="N13" s="17">
        <f t="shared" si="0"/>
        <v>3.6168944568454764E-2</v>
      </c>
    </row>
    <row r="14" spans="1:14" s="2" customFormat="1" x14ac:dyDescent="0.2">
      <c r="B14" s="56"/>
      <c r="C14" s="56"/>
      <c r="D14" s="56"/>
      <c r="E14" s="56"/>
      <c r="F14" s="56"/>
      <c r="G14" s="56"/>
      <c r="H14" s="56"/>
      <c r="I14" s="56"/>
      <c r="J14" s="56"/>
      <c r="K14" s="56"/>
      <c r="L14" s="56"/>
      <c r="N14" s="17"/>
    </row>
    <row r="15" spans="1:14" s="2" customFormat="1" x14ac:dyDescent="0.2">
      <c r="A15" s="2" t="str">
        <f>'Balance Sheet'!A15</f>
        <v>Current assets</v>
      </c>
      <c r="B15" s="56">
        <f>'Balance Sheet'!B15</f>
        <v>0</v>
      </c>
      <c r="C15" s="56">
        <f>'Balance Sheet'!C15</f>
        <v>0</v>
      </c>
      <c r="D15" s="56">
        <f>'Balance Sheet'!D15</f>
        <v>0</v>
      </c>
      <c r="E15" s="56"/>
      <c r="F15" s="56"/>
      <c r="G15" s="56"/>
      <c r="H15" s="56"/>
      <c r="I15" s="56"/>
      <c r="J15" s="56"/>
      <c r="K15" s="56"/>
      <c r="L15" s="56"/>
      <c r="N15" s="17"/>
    </row>
    <row r="16" spans="1:14" s="2" customFormat="1" x14ac:dyDescent="0.2">
      <c r="A16" s="1" t="str">
        <f>'Balance Sheet'!A16</f>
        <v>Financial assets</v>
      </c>
      <c r="B16" s="55">
        <f>'Balance Sheet'!B16</f>
        <v>0</v>
      </c>
      <c r="C16" s="55">
        <f>'Balance Sheet'!C16</f>
        <v>0</v>
      </c>
      <c r="D16" s="55">
        <f>'Balance Sheet'!D16</f>
        <v>0</v>
      </c>
      <c r="E16" s="55"/>
      <c r="F16" s="55"/>
      <c r="G16" s="55"/>
      <c r="H16" s="55"/>
      <c r="I16" s="55"/>
      <c r="J16" s="55"/>
      <c r="K16" s="55"/>
      <c r="L16" s="55"/>
      <c r="N16" s="17"/>
    </row>
    <row r="17" spans="1:14" x14ac:dyDescent="0.2">
      <c r="A17" s="1" t="str">
        <f>'Balance Sheet'!A17</f>
        <v>Inventrory</v>
      </c>
      <c r="B17" s="55">
        <f>'Balance Sheet'!B17</f>
        <v>0</v>
      </c>
      <c r="C17" s="55">
        <f>'Balance Sheet'!C17</f>
        <v>0</v>
      </c>
      <c r="D17" s="55">
        <f>'Balance Sheet'!D17</f>
        <v>0</v>
      </c>
      <c r="E17" s="55">
        <f>'Balance Sheet'!E17</f>
        <v>6538871</v>
      </c>
      <c r="F17" s="55">
        <f>'Balance Sheet'!F17</f>
        <v>5722346</v>
      </c>
      <c r="G17" s="55">
        <f>'Balance Sheet'!G17</f>
        <v>5466901</v>
      </c>
      <c r="H17" s="55">
        <f>'Balance Sheet'!H17</f>
        <v>5550527</v>
      </c>
      <c r="I17" s="55">
        <f>'Balance Sheet'!I17</f>
        <v>4491490</v>
      </c>
      <c r="J17" s="55">
        <f>'Balance Sheet'!J17</f>
        <v>5516762</v>
      </c>
      <c r="K17" s="55">
        <f>'Balance Sheet'!K17</f>
        <v>7002424</v>
      </c>
      <c r="L17" s="55">
        <f>'Balance Sheet'!L17</f>
        <v>7970481</v>
      </c>
      <c r="N17" s="17">
        <f t="shared" ref="N17:N23" si="1">(L17/E17)^(1/7)-1</f>
        <v>2.8686661906008215E-2</v>
      </c>
    </row>
    <row r="18" spans="1:14" s="2" customFormat="1" x14ac:dyDescent="0.2">
      <c r="A18" s="1" t="str">
        <f>'Balance Sheet'!A18</f>
        <v>Trade and other receivables</v>
      </c>
      <c r="B18" s="55">
        <f>'Balance Sheet'!B18</f>
        <v>0</v>
      </c>
      <c r="C18" s="55">
        <f>'Balance Sheet'!C18</f>
        <v>0</v>
      </c>
      <c r="D18" s="55">
        <f>'Balance Sheet'!D18</f>
        <v>0</v>
      </c>
      <c r="E18" s="55">
        <f>'Balance Sheet'!E18</f>
        <v>60242726</v>
      </c>
      <c r="F18" s="55">
        <f>'Balance Sheet'!F18</f>
        <v>43914841</v>
      </c>
      <c r="G18" s="55">
        <f>'Balance Sheet'!G18</f>
        <v>45739490</v>
      </c>
      <c r="H18" s="55">
        <f>'Balance Sheet'!H18</f>
        <v>45463717</v>
      </c>
      <c r="I18" s="55">
        <f>'Balance Sheet'!I18</f>
        <v>55005262</v>
      </c>
      <c r="J18" s="55">
        <f>'Balance Sheet'!J18</f>
        <v>52839249</v>
      </c>
      <c r="K18" s="55">
        <f>'Balance Sheet'!K18</f>
        <v>40307612</v>
      </c>
      <c r="L18" s="55">
        <f>'Balance Sheet'!L18</f>
        <v>35359248</v>
      </c>
      <c r="N18" s="17">
        <f t="shared" si="1"/>
        <v>-7.3292603777936227E-2</v>
      </c>
    </row>
    <row r="19" spans="1:14" x14ac:dyDescent="0.2">
      <c r="A19" s="1" t="str">
        <f>'Balance Sheet'!A19</f>
        <v>Short term investments</v>
      </c>
      <c r="B19" s="55">
        <f>'Balance Sheet'!B19</f>
        <v>0</v>
      </c>
      <c r="C19" s="55">
        <f>'Balance Sheet'!C19</f>
        <v>0</v>
      </c>
      <c r="D19" s="55">
        <f>'Balance Sheet'!D19</f>
        <v>0</v>
      </c>
      <c r="E19" s="55">
        <f>'Balance Sheet'!E19</f>
        <v>222888020</v>
      </c>
      <c r="F19" s="55">
        <f>'Balance Sheet'!F19</f>
        <v>246809439</v>
      </c>
      <c r="G19" s="55">
        <f>'Balance Sheet'!G19</f>
        <v>274493109</v>
      </c>
      <c r="H19" s="55">
        <f>'Balance Sheet'!H19</f>
        <v>255293799</v>
      </c>
      <c r="I19" s="55">
        <f>'Balance Sheet'!I19</f>
        <v>333243663</v>
      </c>
      <c r="J19" s="55">
        <f>'Balance Sheet'!J19</f>
        <v>437848120</v>
      </c>
      <c r="K19" s="55">
        <f>'Balance Sheet'!K19</f>
        <v>457658378</v>
      </c>
      <c r="L19" s="55">
        <f>'Balance Sheet'!L19</f>
        <v>413675429</v>
      </c>
      <c r="N19" s="17">
        <f t="shared" si="1"/>
        <v>9.2364483723939905E-2</v>
      </c>
    </row>
    <row r="20" spans="1:14" s="2" customFormat="1" hidden="1" x14ac:dyDescent="0.2">
      <c r="A20" s="1" t="str">
        <f>'Balance Sheet'!A20</f>
        <v>Finance receivable</v>
      </c>
      <c r="B20" s="55">
        <f>'Balance Sheet'!B20</f>
        <v>0</v>
      </c>
      <c r="C20" s="55">
        <f>'Balance Sheet'!C20</f>
        <v>0</v>
      </c>
      <c r="D20" s="55">
        <f>'Balance Sheet'!D20</f>
        <v>0</v>
      </c>
      <c r="E20" s="55">
        <f>'Balance Sheet'!E20</f>
        <v>0</v>
      </c>
      <c r="F20" s="55">
        <f>'Balance Sheet'!F20</f>
        <v>0</v>
      </c>
      <c r="G20" s="55">
        <f>'Balance Sheet'!G20</f>
        <v>0</v>
      </c>
      <c r="H20" s="55">
        <f>'Balance Sheet'!H20</f>
        <v>0</v>
      </c>
      <c r="I20" s="55">
        <f>'Balance Sheet'!I20</f>
        <v>0</v>
      </c>
      <c r="J20" s="55">
        <f>'Balance Sheet'!J20</f>
        <v>0</v>
      </c>
      <c r="K20" s="55">
        <f>'Balance Sheet'!K20</f>
        <v>0</v>
      </c>
      <c r="L20" s="55">
        <f>'Balance Sheet'!L20</f>
        <v>0</v>
      </c>
      <c r="N20" s="17" t="e">
        <f t="shared" si="1"/>
        <v>#DIV/0!</v>
      </c>
    </row>
    <row r="21" spans="1:14" x14ac:dyDescent="0.2">
      <c r="A21" s="1" t="str">
        <f>'Balance Sheet'!A21</f>
        <v>Tax receivable</v>
      </c>
      <c r="B21" s="55">
        <f>'Balance Sheet'!B21</f>
        <v>0</v>
      </c>
      <c r="C21" s="55">
        <f>'Balance Sheet'!C21</f>
        <v>0</v>
      </c>
      <c r="D21" s="55">
        <f>'Balance Sheet'!D21</f>
        <v>0</v>
      </c>
      <c r="E21" s="55">
        <f>'Balance Sheet'!E21</f>
        <v>0</v>
      </c>
      <c r="F21" s="55">
        <f>'Balance Sheet'!F21</f>
        <v>502469</v>
      </c>
      <c r="G21" s="55">
        <f>'Balance Sheet'!G21</f>
        <v>502469</v>
      </c>
      <c r="H21" s="55">
        <f>'Balance Sheet'!H21</f>
        <v>459822</v>
      </c>
      <c r="I21" s="55">
        <f>'Balance Sheet'!I21</f>
        <v>0</v>
      </c>
      <c r="J21" s="55">
        <f>'Balance Sheet'!J21</f>
        <v>0</v>
      </c>
      <c r="K21" s="55">
        <f>'Balance Sheet'!K21</f>
        <v>0</v>
      </c>
      <c r="L21" s="55">
        <f>'Balance Sheet'!L21</f>
        <v>0</v>
      </c>
      <c r="N21" s="17">
        <f>(H21/F21)^(1/2)-1</f>
        <v>-4.3378281557450604E-2</v>
      </c>
    </row>
    <row r="22" spans="1:14" s="2" customFormat="1" x14ac:dyDescent="0.2">
      <c r="A22" s="1" t="str">
        <f>'Balance Sheet'!A22</f>
        <v>Cash and cash equivalents</v>
      </c>
      <c r="B22" s="55">
        <f>'Balance Sheet'!B22</f>
        <v>0</v>
      </c>
      <c r="C22" s="55">
        <f>'Balance Sheet'!C22</f>
        <v>0</v>
      </c>
      <c r="D22" s="55">
        <f>'Balance Sheet'!D22</f>
        <v>0</v>
      </c>
      <c r="E22" s="55">
        <f>'Balance Sheet'!E22</f>
        <v>3760522</v>
      </c>
      <c r="F22" s="55">
        <f>'Balance Sheet'!F22</f>
        <v>20702546</v>
      </c>
      <c r="G22" s="55">
        <f>'Balance Sheet'!G22</f>
        <v>30806130</v>
      </c>
      <c r="H22" s="55">
        <f>'Balance Sheet'!H22</f>
        <v>13071868</v>
      </c>
      <c r="I22" s="55">
        <f>'Balance Sheet'!I22</f>
        <v>38577625</v>
      </c>
      <c r="J22" s="55">
        <f>'Balance Sheet'!J22</f>
        <v>7652361</v>
      </c>
      <c r="K22" s="55">
        <f>'Balance Sheet'!K22</f>
        <v>18589702</v>
      </c>
      <c r="L22" s="55">
        <f>'Balance Sheet'!L22</f>
        <v>48301404</v>
      </c>
      <c r="N22" s="17">
        <f t="shared" si="1"/>
        <v>0.44008250528955895</v>
      </c>
    </row>
    <row r="23" spans="1:14" s="2" customFormat="1" x14ac:dyDescent="0.2">
      <c r="A23" s="2" t="str">
        <f>'Balance Sheet'!A23</f>
        <v>Total current assets</v>
      </c>
      <c r="B23" s="56">
        <f>'Balance Sheet'!B23</f>
        <v>0</v>
      </c>
      <c r="C23" s="56">
        <f>'Balance Sheet'!C23</f>
        <v>0</v>
      </c>
      <c r="D23" s="56">
        <f>'Balance Sheet'!D23</f>
        <v>0</v>
      </c>
      <c r="E23" s="56">
        <f>'Balance Sheet'!E23</f>
        <v>293430139</v>
      </c>
      <c r="F23" s="56">
        <f>'Balance Sheet'!F23</f>
        <v>317651641</v>
      </c>
      <c r="G23" s="56">
        <f>'Balance Sheet'!G23</f>
        <v>357008099</v>
      </c>
      <c r="H23" s="56">
        <f>'Balance Sheet'!H23</f>
        <v>319839733</v>
      </c>
      <c r="I23" s="56">
        <f>'Balance Sheet'!I23</f>
        <v>431318040</v>
      </c>
      <c r="J23" s="56">
        <f>'Balance Sheet'!J23</f>
        <v>503856492</v>
      </c>
      <c r="K23" s="56">
        <f>'Balance Sheet'!K23</f>
        <v>523558116</v>
      </c>
      <c r="L23" s="56">
        <f>'Balance Sheet'!L23</f>
        <v>505306562</v>
      </c>
      <c r="N23" s="17">
        <f t="shared" si="1"/>
        <v>8.0740582527747407E-2</v>
      </c>
    </row>
    <row r="24" spans="1:14" s="2" customFormat="1" x14ac:dyDescent="0.2">
      <c r="B24" s="56"/>
      <c r="C24" s="56"/>
      <c r="D24" s="56"/>
      <c r="E24" s="56"/>
      <c r="F24" s="56"/>
      <c r="G24" s="56"/>
      <c r="H24" s="56"/>
      <c r="I24" s="56"/>
      <c r="J24" s="56"/>
      <c r="K24" s="56"/>
      <c r="L24" s="56"/>
      <c r="N24" s="17"/>
    </row>
    <row r="25" spans="1:14" s="2" customFormat="1" x14ac:dyDescent="0.2">
      <c r="A25" s="2" t="str">
        <f>'Balance Sheet'!A25</f>
        <v>TOTAL ASSETS</v>
      </c>
      <c r="B25" s="56">
        <f>'Balance Sheet'!B25</f>
        <v>0</v>
      </c>
      <c r="C25" s="56">
        <f>'Balance Sheet'!C25</f>
        <v>0</v>
      </c>
      <c r="D25" s="56">
        <f>'Balance Sheet'!D25</f>
        <v>0</v>
      </c>
      <c r="E25" s="56">
        <f>'Balance Sheet'!E25</f>
        <v>488742855</v>
      </c>
      <c r="F25" s="56">
        <f>'Balance Sheet'!F25</f>
        <v>529215465</v>
      </c>
      <c r="G25" s="56">
        <f>'Balance Sheet'!G25</f>
        <v>617419725</v>
      </c>
      <c r="H25" s="56">
        <f>'Balance Sheet'!H25</f>
        <v>568239806</v>
      </c>
      <c r="I25" s="56">
        <f>'Balance Sheet'!I25</f>
        <v>646781740</v>
      </c>
      <c r="J25" s="56">
        <f>'Balance Sheet'!J25</f>
        <v>712867210</v>
      </c>
      <c r="K25" s="56">
        <f>'Balance Sheet'!K25</f>
        <v>755453563</v>
      </c>
      <c r="L25" s="56">
        <f>'Balance Sheet'!L25</f>
        <v>755770106</v>
      </c>
      <c r="N25" s="17">
        <f t="shared" ref="N25" si="2">(L25/E25)^(1/7)-1</f>
        <v>6.425128698183058E-2</v>
      </c>
    </row>
    <row r="26" spans="1:14" s="2" customFormat="1" x14ac:dyDescent="0.2">
      <c r="B26" s="56"/>
      <c r="C26" s="56"/>
      <c r="D26" s="56"/>
      <c r="E26" s="56"/>
      <c r="F26" s="56"/>
      <c r="G26" s="56"/>
      <c r="H26" s="56"/>
      <c r="I26" s="56"/>
      <c r="J26" s="56"/>
      <c r="K26" s="56"/>
      <c r="L26" s="56"/>
      <c r="N26" s="17"/>
    </row>
    <row r="27" spans="1:14" s="2" customFormat="1" x14ac:dyDescent="0.2">
      <c r="A27" s="2" t="str">
        <f>'Balance Sheet'!A27</f>
        <v>EQUITY AND LIABILITIES</v>
      </c>
      <c r="B27" s="56">
        <f>'Balance Sheet'!B27</f>
        <v>0</v>
      </c>
      <c r="C27" s="56">
        <f>'Balance Sheet'!C27</f>
        <v>0</v>
      </c>
      <c r="D27" s="56">
        <f>'Balance Sheet'!D27</f>
        <v>0</v>
      </c>
      <c r="E27" s="56"/>
      <c r="F27" s="56"/>
      <c r="G27" s="56"/>
      <c r="H27" s="56"/>
      <c r="I27" s="56"/>
      <c r="J27" s="56"/>
      <c r="K27" s="56"/>
      <c r="L27" s="56"/>
      <c r="N27" s="17"/>
    </row>
    <row r="28" spans="1:14" s="2" customFormat="1" x14ac:dyDescent="0.2">
      <c r="B28" s="56"/>
      <c r="C28" s="56"/>
      <c r="D28" s="56"/>
      <c r="E28" s="56"/>
      <c r="F28" s="56"/>
      <c r="G28" s="56"/>
      <c r="H28" s="56"/>
      <c r="I28" s="56"/>
      <c r="J28" s="56"/>
      <c r="K28" s="56"/>
      <c r="L28" s="56"/>
      <c r="N28" s="17"/>
    </row>
    <row r="29" spans="1:14" x14ac:dyDescent="0.2">
      <c r="A29" s="2" t="str">
        <f>'Balance Sheet'!A29</f>
        <v>Equity attributable to owners</v>
      </c>
      <c r="B29" s="55">
        <f>'Balance Sheet'!B29</f>
        <v>0</v>
      </c>
      <c r="C29" s="55">
        <f>'Balance Sheet'!C29</f>
        <v>0</v>
      </c>
      <c r="D29" s="55">
        <f>'Balance Sheet'!D29</f>
        <v>0</v>
      </c>
      <c r="E29" s="55"/>
      <c r="F29" s="55"/>
      <c r="G29" s="55"/>
      <c r="H29" s="55"/>
      <c r="I29" s="55"/>
      <c r="J29" s="55"/>
      <c r="K29" s="55"/>
      <c r="L29" s="55"/>
      <c r="N29" s="17"/>
    </row>
    <row r="30" spans="1:14" x14ac:dyDescent="0.2">
      <c r="A30" s="1" t="str">
        <f>'Balance Sheet'!A30</f>
        <v>Reserves</v>
      </c>
      <c r="B30" s="55">
        <f>'Balance Sheet'!B30</f>
        <v>0</v>
      </c>
      <c r="C30" s="55">
        <f>'Balance Sheet'!C30</f>
        <v>0</v>
      </c>
      <c r="D30" s="55">
        <f>'Balance Sheet'!D30</f>
        <v>0</v>
      </c>
      <c r="E30" s="55">
        <f>'Balance Sheet'!E30</f>
        <v>109358306</v>
      </c>
      <c r="F30" s="55">
        <f>'Balance Sheet'!F30</f>
        <v>132945675</v>
      </c>
      <c r="G30" s="55">
        <f>'Balance Sheet'!G30</f>
        <v>131591356</v>
      </c>
      <c r="H30" s="55">
        <f>'Balance Sheet'!H30</f>
        <v>130237037</v>
      </c>
      <c r="I30" s="55">
        <f>'Balance Sheet'!I30</f>
        <v>128882718</v>
      </c>
      <c r="J30" s="55">
        <f>'Balance Sheet'!J30</f>
        <v>127528399</v>
      </c>
      <c r="K30" s="55">
        <f>'Balance Sheet'!K30</f>
        <v>149836771</v>
      </c>
      <c r="L30" s="55">
        <f>'Balance Sheet'!L30</f>
        <v>148306174</v>
      </c>
      <c r="N30" s="17">
        <f t="shared" ref="N30:N35" si="3">(L30/E30)^(1/7)-1</f>
        <v>4.4482253175404551E-2</v>
      </c>
    </row>
    <row r="31" spans="1:14" s="2" customFormat="1" hidden="1" x14ac:dyDescent="0.2">
      <c r="A31" s="1" t="str">
        <f>'Balance Sheet'!A31</f>
        <v>Treasury shares</v>
      </c>
      <c r="B31" s="55">
        <f>'Balance Sheet'!B31</f>
        <v>0</v>
      </c>
      <c r="C31" s="55">
        <f>'Balance Sheet'!C31</f>
        <v>0</v>
      </c>
      <c r="D31" s="55">
        <f>'Balance Sheet'!D31</f>
        <v>0</v>
      </c>
      <c r="E31" s="55">
        <f>'Balance Sheet'!E31</f>
        <v>0</v>
      </c>
      <c r="F31" s="55">
        <f>'Balance Sheet'!F31</f>
        <v>0</v>
      </c>
      <c r="G31" s="55">
        <f>'Balance Sheet'!G31</f>
        <v>0</v>
      </c>
      <c r="H31" s="55">
        <f>'Balance Sheet'!H31</f>
        <v>0</v>
      </c>
      <c r="I31" s="55">
        <f>'Balance Sheet'!I31</f>
        <v>0</v>
      </c>
      <c r="J31" s="55">
        <f>'Balance Sheet'!J31</f>
        <v>0</v>
      </c>
      <c r="K31" s="55">
        <f>'Balance Sheet'!K31</f>
        <v>0</v>
      </c>
      <c r="L31" s="55">
        <f>'Balance Sheet'!L31</f>
        <v>0</v>
      </c>
      <c r="N31" s="17" t="e">
        <f t="shared" si="3"/>
        <v>#DIV/0!</v>
      </c>
    </row>
    <row r="32" spans="1:14" x14ac:dyDescent="0.2">
      <c r="A32" s="1" t="str">
        <f>'Balance Sheet'!A32</f>
        <v>Retained income</v>
      </c>
      <c r="B32" s="55">
        <f>'Balance Sheet'!B32</f>
        <v>0</v>
      </c>
      <c r="C32" s="55">
        <f>'Balance Sheet'!C32</f>
        <v>0</v>
      </c>
      <c r="D32" s="55">
        <f>'Balance Sheet'!D32</f>
        <v>0</v>
      </c>
      <c r="E32" s="55">
        <f>'Balance Sheet'!E32</f>
        <v>232698048</v>
      </c>
      <c r="F32" s="55">
        <f>'Balance Sheet'!F32</f>
        <v>231536476</v>
      </c>
      <c r="G32" s="55">
        <f>'Balance Sheet'!G32</f>
        <v>276328093</v>
      </c>
      <c r="H32" s="55">
        <f>'Balance Sheet'!H32</f>
        <v>293756502</v>
      </c>
      <c r="I32" s="55">
        <f>'Balance Sheet'!I32</f>
        <v>307693915</v>
      </c>
      <c r="J32" s="55">
        <f>'Balance Sheet'!J32</f>
        <v>326657941</v>
      </c>
      <c r="K32" s="55">
        <f>'Balance Sheet'!K32</f>
        <v>341808848</v>
      </c>
      <c r="L32" s="55">
        <f>'Balance Sheet'!L32</f>
        <v>349357294</v>
      </c>
      <c r="N32" s="17">
        <f t="shared" si="3"/>
        <v>5.9768509908215917E-2</v>
      </c>
    </row>
    <row r="33" spans="1:15" s="2" customFormat="1" hidden="1" x14ac:dyDescent="0.2">
      <c r="A33" s="1" t="str">
        <f>'Balance Sheet'!A33</f>
        <v>Other reserves</v>
      </c>
      <c r="B33" s="55">
        <f>'Balance Sheet'!B33</f>
        <v>0</v>
      </c>
      <c r="C33" s="55">
        <f>'Balance Sheet'!C33</f>
        <v>0</v>
      </c>
      <c r="D33" s="55">
        <f>'Balance Sheet'!D33</f>
        <v>0</v>
      </c>
      <c r="E33" s="55">
        <f>'Balance Sheet'!E33</f>
        <v>0</v>
      </c>
      <c r="F33" s="55">
        <f>'Balance Sheet'!F33</f>
        <v>0</v>
      </c>
      <c r="G33" s="55">
        <f>'Balance Sheet'!G33</f>
        <v>0</v>
      </c>
      <c r="H33" s="55">
        <f>'Balance Sheet'!H33</f>
        <v>0</v>
      </c>
      <c r="I33" s="55">
        <f>'Balance Sheet'!I33</f>
        <v>0</v>
      </c>
      <c r="J33" s="55">
        <f>'Balance Sheet'!J33</f>
        <v>0</v>
      </c>
      <c r="K33" s="55">
        <f>'Balance Sheet'!K33</f>
        <v>0</v>
      </c>
      <c r="L33" s="55">
        <f>'Balance Sheet'!L33</f>
        <v>0</v>
      </c>
      <c r="N33" s="17" t="e">
        <f t="shared" si="3"/>
        <v>#DIV/0!</v>
      </c>
    </row>
    <row r="34" spans="1:15" hidden="1" x14ac:dyDescent="0.2">
      <c r="A34" s="1" t="str">
        <f>'Balance Sheet'!A34</f>
        <v>Non-controling interest</v>
      </c>
      <c r="B34" s="55">
        <f>'Balance Sheet'!B34</f>
        <v>0</v>
      </c>
      <c r="C34" s="55">
        <f>'Balance Sheet'!C34</f>
        <v>0</v>
      </c>
      <c r="D34" s="55">
        <f>'Balance Sheet'!D34</f>
        <v>0</v>
      </c>
      <c r="E34" s="55">
        <f>'Balance Sheet'!E34</f>
        <v>0</v>
      </c>
      <c r="F34" s="55">
        <f>'Balance Sheet'!F34</f>
        <v>0</v>
      </c>
      <c r="G34" s="55">
        <f>'Balance Sheet'!G34</f>
        <v>0</v>
      </c>
      <c r="H34" s="55">
        <f>'Balance Sheet'!H34</f>
        <v>0</v>
      </c>
      <c r="I34" s="55">
        <f>'Balance Sheet'!I34</f>
        <v>0</v>
      </c>
      <c r="J34" s="55">
        <f>'Balance Sheet'!J34</f>
        <v>0</v>
      </c>
      <c r="K34" s="55">
        <f>'Balance Sheet'!K34</f>
        <v>0</v>
      </c>
      <c r="L34" s="55">
        <f>'Balance Sheet'!L34</f>
        <v>0</v>
      </c>
      <c r="N34" s="17" t="e">
        <f t="shared" si="3"/>
        <v>#DIV/0!</v>
      </c>
    </row>
    <row r="35" spans="1:15" s="2" customFormat="1" x14ac:dyDescent="0.2">
      <c r="A35" s="2" t="str">
        <f>'Balance Sheet'!A35</f>
        <v>Total equity</v>
      </c>
      <c r="B35" s="56">
        <f>'Balance Sheet'!B35</f>
        <v>0</v>
      </c>
      <c r="C35" s="56">
        <f>'Balance Sheet'!C35</f>
        <v>0</v>
      </c>
      <c r="D35" s="56">
        <f>'Balance Sheet'!D35</f>
        <v>0</v>
      </c>
      <c r="E35" s="56">
        <f>'Balance Sheet'!E35</f>
        <v>342056354</v>
      </c>
      <c r="F35" s="56">
        <f>'Balance Sheet'!F35</f>
        <v>364482151</v>
      </c>
      <c r="G35" s="56">
        <f>'Balance Sheet'!G35</f>
        <v>407919449</v>
      </c>
      <c r="H35" s="56">
        <f>'Balance Sheet'!H35</f>
        <v>423993539</v>
      </c>
      <c r="I35" s="56">
        <f>'Balance Sheet'!I35</f>
        <v>436576633</v>
      </c>
      <c r="J35" s="56">
        <f>'Balance Sheet'!J35</f>
        <v>454186340</v>
      </c>
      <c r="K35" s="56">
        <f>'Balance Sheet'!K35</f>
        <v>491645619</v>
      </c>
      <c r="L35" s="56">
        <f>'Balance Sheet'!L35</f>
        <v>497663468</v>
      </c>
      <c r="N35" s="17">
        <f t="shared" si="3"/>
        <v>5.5024598630699195E-2</v>
      </c>
    </row>
    <row r="36" spans="1:15" s="2" customFormat="1" x14ac:dyDescent="0.2">
      <c r="B36" s="56"/>
      <c r="C36" s="56"/>
      <c r="D36" s="56"/>
      <c r="E36" s="56"/>
      <c r="F36" s="56"/>
      <c r="G36" s="56"/>
      <c r="H36" s="56"/>
      <c r="I36" s="56"/>
      <c r="J36" s="56"/>
      <c r="K36" s="56"/>
      <c r="L36" s="56"/>
      <c r="N36" s="17"/>
    </row>
    <row r="37" spans="1:15" s="2" customFormat="1" x14ac:dyDescent="0.2">
      <c r="A37" s="2" t="str">
        <f>'Balance Sheet'!A37</f>
        <v>Non-current liabilities</v>
      </c>
      <c r="B37" s="56"/>
      <c r="C37" s="56"/>
      <c r="D37" s="56"/>
      <c r="E37" s="56"/>
      <c r="F37" s="56"/>
      <c r="G37" s="56"/>
      <c r="H37" s="56"/>
      <c r="I37" s="56"/>
      <c r="J37" s="56"/>
      <c r="K37" s="56"/>
      <c r="L37" s="56"/>
      <c r="N37" s="17"/>
    </row>
    <row r="38" spans="1:15" hidden="1" x14ac:dyDescent="0.2">
      <c r="A38" s="1" t="str">
        <f>'Balance Sheet'!A38</f>
        <v>Finance lease obligation</v>
      </c>
      <c r="B38" s="55">
        <f>'Balance Sheet'!B38</f>
        <v>0</v>
      </c>
      <c r="C38" s="55">
        <f>'Balance Sheet'!C38</f>
        <v>0</v>
      </c>
      <c r="D38" s="55">
        <f>'Balance Sheet'!D38</f>
        <v>0</v>
      </c>
      <c r="E38" s="55">
        <f>'Balance Sheet'!E38</f>
        <v>0</v>
      </c>
      <c r="F38" s="55">
        <f>'Balance Sheet'!F38</f>
        <v>0</v>
      </c>
      <c r="G38" s="55">
        <f>'Balance Sheet'!G38</f>
        <v>0</v>
      </c>
      <c r="H38" s="55">
        <f>'Balance Sheet'!H38</f>
        <v>0</v>
      </c>
      <c r="I38" s="55">
        <f>'Balance Sheet'!I38</f>
        <v>0</v>
      </c>
      <c r="J38" s="55">
        <f>'Balance Sheet'!J38</f>
        <v>0</v>
      </c>
      <c r="K38" s="55">
        <f>'Balance Sheet'!K38</f>
        <v>0</v>
      </c>
      <c r="L38" s="55">
        <f>'Balance Sheet'!L38</f>
        <v>0</v>
      </c>
      <c r="N38" s="17" t="e">
        <f t="shared" ref="N38:N42" si="4">(L38/E38)^(1/7)-1</f>
        <v>#DIV/0!</v>
      </c>
    </row>
    <row r="39" spans="1:15" s="2" customFormat="1" x14ac:dyDescent="0.2">
      <c r="A39" s="1" t="str">
        <f>'Balance Sheet'!A39</f>
        <v>Trade and other payables</v>
      </c>
      <c r="B39" s="55">
        <f>'Balance Sheet'!B39</f>
        <v>0</v>
      </c>
      <c r="C39" s="55">
        <f>'Balance Sheet'!C39</f>
        <v>0</v>
      </c>
      <c r="D39" s="55">
        <f>'Balance Sheet'!D39</f>
        <v>0</v>
      </c>
      <c r="E39" s="55">
        <f>'Balance Sheet'!E39</f>
        <v>422532</v>
      </c>
      <c r="F39" s="55">
        <f>'Balance Sheet'!F39</f>
        <v>0</v>
      </c>
      <c r="G39" s="55">
        <f>'Balance Sheet'!G39</f>
        <v>0</v>
      </c>
      <c r="H39" s="55">
        <f>'Balance Sheet'!H39</f>
        <v>0</v>
      </c>
      <c r="I39" s="55">
        <f>'Balance Sheet'!I39</f>
        <v>0</v>
      </c>
      <c r="J39" s="55">
        <f>'Balance Sheet'!J39</f>
        <v>0</v>
      </c>
      <c r="K39" s="55">
        <f>'Balance Sheet'!K39</f>
        <v>0</v>
      </c>
      <c r="L39" s="55">
        <f>'Balance Sheet'!L39</f>
        <v>0</v>
      </c>
      <c r="N39" s="17"/>
    </row>
    <row r="40" spans="1:15" x14ac:dyDescent="0.2">
      <c r="A40" s="1" t="str">
        <f>'Balance Sheet'!A40</f>
        <v>Retirement benefit obligation</v>
      </c>
      <c r="B40" s="55">
        <f>'Balance Sheet'!B40</f>
        <v>0</v>
      </c>
      <c r="C40" s="55">
        <f>'Balance Sheet'!C40</f>
        <v>0</v>
      </c>
      <c r="D40" s="55">
        <f>'Balance Sheet'!D40</f>
        <v>0</v>
      </c>
      <c r="E40" s="55">
        <f>'Balance Sheet'!E40</f>
        <v>30545000</v>
      </c>
      <c r="F40" s="55">
        <f>'Balance Sheet'!F40</f>
        <v>28287105</v>
      </c>
      <c r="G40" s="55">
        <f>'Balance Sheet'!G40</f>
        <v>28286244</v>
      </c>
      <c r="H40" s="55">
        <f>'Balance Sheet'!H40</f>
        <v>29400140</v>
      </c>
      <c r="I40" s="55">
        <f>'Balance Sheet'!I40</f>
        <v>29387260</v>
      </c>
      <c r="J40" s="55">
        <f>'Balance Sheet'!J40</f>
        <v>29405623</v>
      </c>
      <c r="K40" s="55">
        <f>'Balance Sheet'!K40</f>
        <v>26284506</v>
      </c>
      <c r="L40" s="55">
        <f>'Balance Sheet'!L40</f>
        <v>24114428</v>
      </c>
      <c r="N40" s="17">
        <f t="shared" si="4"/>
        <v>-3.3206251235250894E-2</v>
      </c>
    </row>
    <row r="41" spans="1:15" s="2" customFormat="1" hidden="1" x14ac:dyDescent="0.2">
      <c r="A41" s="1" t="str">
        <f>'Balance Sheet'!A41</f>
        <v>Deferred tax</v>
      </c>
      <c r="B41" s="55">
        <f>'Balance Sheet'!B41</f>
        <v>0</v>
      </c>
      <c r="C41" s="55">
        <f>'Balance Sheet'!C41</f>
        <v>0</v>
      </c>
      <c r="D41" s="55">
        <f>'Balance Sheet'!D41</f>
        <v>0</v>
      </c>
      <c r="E41" s="55">
        <f>'Balance Sheet'!E41</f>
        <v>0</v>
      </c>
      <c r="F41" s="55">
        <f>'Balance Sheet'!F41</f>
        <v>0</v>
      </c>
      <c r="G41" s="55">
        <f>'Balance Sheet'!G41</f>
        <v>0</v>
      </c>
      <c r="H41" s="55">
        <f>'Balance Sheet'!H41</f>
        <v>0</v>
      </c>
      <c r="I41" s="55">
        <f>'Balance Sheet'!I41</f>
        <v>0</v>
      </c>
      <c r="J41" s="55">
        <f>'Balance Sheet'!J41</f>
        <v>0</v>
      </c>
      <c r="K41" s="55">
        <f>'Balance Sheet'!K41</f>
        <v>0</v>
      </c>
      <c r="L41" s="55">
        <f>'Balance Sheet'!L41</f>
        <v>0</v>
      </c>
      <c r="N41" s="17" t="e">
        <f t="shared" si="4"/>
        <v>#DIV/0!</v>
      </c>
    </row>
    <row r="42" spans="1:15" x14ac:dyDescent="0.2">
      <c r="A42" s="2" t="str">
        <f>'Balance Sheet'!A42</f>
        <v>Total non-current liabilities</v>
      </c>
      <c r="B42" s="56">
        <f>'Balance Sheet'!B42</f>
        <v>0</v>
      </c>
      <c r="C42" s="56">
        <f>'Balance Sheet'!C42</f>
        <v>0</v>
      </c>
      <c r="D42" s="56">
        <f>'Balance Sheet'!D42</f>
        <v>0</v>
      </c>
      <c r="E42" s="56">
        <f>'Balance Sheet'!E42</f>
        <v>30967532</v>
      </c>
      <c r="F42" s="56">
        <f>'Balance Sheet'!F42</f>
        <v>28287105</v>
      </c>
      <c r="G42" s="56">
        <f>'Balance Sheet'!G42</f>
        <v>28286244</v>
      </c>
      <c r="H42" s="56">
        <f>'Balance Sheet'!H42</f>
        <v>29400140</v>
      </c>
      <c r="I42" s="56">
        <f>'Balance Sheet'!I42</f>
        <v>29387260</v>
      </c>
      <c r="J42" s="56">
        <f>'Balance Sheet'!J42</f>
        <v>29405623</v>
      </c>
      <c r="K42" s="56">
        <f>'Balance Sheet'!K42</f>
        <v>26284506</v>
      </c>
      <c r="L42" s="56">
        <f>'Balance Sheet'!L42</f>
        <v>24114428</v>
      </c>
      <c r="N42" s="17">
        <f t="shared" si="4"/>
        <v>-3.510183296825975E-2</v>
      </c>
    </row>
    <row r="43" spans="1:15" x14ac:dyDescent="0.2">
      <c r="B43" s="55"/>
      <c r="C43" s="55"/>
      <c r="D43" s="55"/>
      <c r="E43" s="55"/>
      <c r="F43" s="55"/>
      <c r="G43" s="55"/>
      <c r="H43" s="55"/>
      <c r="I43" s="55"/>
      <c r="J43" s="55"/>
      <c r="K43" s="55"/>
      <c r="L43" s="55"/>
      <c r="N43" s="17"/>
    </row>
    <row r="44" spans="1:15" x14ac:dyDescent="0.2">
      <c r="A44" s="2" t="str">
        <f>'Balance Sheet'!A44</f>
        <v>Current Liabilities</v>
      </c>
      <c r="B44" s="55"/>
      <c r="C44" s="55"/>
      <c r="D44" s="55"/>
      <c r="E44" s="55"/>
      <c r="F44" s="55"/>
      <c r="G44" s="55"/>
      <c r="H44" s="55"/>
      <c r="I44" s="55"/>
      <c r="J44" s="55"/>
      <c r="K44" s="55"/>
      <c r="L44" s="55"/>
      <c r="N44" s="17"/>
    </row>
    <row r="45" spans="1:15" hidden="1" x14ac:dyDescent="0.2">
      <c r="A45" s="1" t="str">
        <f>'Balance Sheet'!A45</f>
        <v>Loan from group companies</v>
      </c>
      <c r="B45" s="55">
        <f>'Balance Sheet'!B45</f>
        <v>0</v>
      </c>
      <c r="C45" s="55">
        <f>'Balance Sheet'!C45</f>
        <v>0</v>
      </c>
      <c r="D45" s="55">
        <f>'Balance Sheet'!D45</f>
        <v>0</v>
      </c>
      <c r="E45" s="55">
        <f>'Balance Sheet'!E45</f>
        <v>0</v>
      </c>
      <c r="F45" s="55">
        <f>'Balance Sheet'!F45</f>
        <v>0</v>
      </c>
      <c r="G45" s="55">
        <f>'Balance Sheet'!G45</f>
        <v>0</v>
      </c>
      <c r="H45" s="55">
        <f>'Balance Sheet'!H45</f>
        <v>0</v>
      </c>
      <c r="I45" s="55">
        <f>'Balance Sheet'!I45</f>
        <v>0</v>
      </c>
      <c r="J45" s="55">
        <f>'Balance Sheet'!J45</f>
        <v>0</v>
      </c>
      <c r="K45" s="55">
        <f>'Balance Sheet'!K45</f>
        <v>0</v>
      </c>
      <c r="L45" s="55">
        <f>'Balance Sheet'!L45</f>
        <v>0</v>
      </c>
      <c r="N45" s="17" t="e">
        <f t="shared" ref="N45:N51" si="5">(L45/E45)^(1/7)-1</f>
        <v>#DIV/0!</v>
      </c>
    </row>
    <row r="46" spans="1:15" x14ac:dyDescent="0.2">
      <c r="A46" s="1" t="str">
        <f>'Balance Sheet'!A46</f>
        <v>Trade and other payables</v>
      </c>
      <c r="B46" s="55">
        <f>'Balance Sheet'!B46</f>
        <v>0</v>
      </c>
      <c r="C46" s="55">
        <f>'Balance Sheet'!C46</f>
        <v>0</v>
      </c>
      <c r="D46" s="55">
        <f>'Balance Sheet'!D46</f>
        <v>0</v>
      </c>
      <c r="E46" s="55">
        <f>'Balance Sheet'!E46</f>
        <v>38820531</v>
      </c>
      <c r="F46" s="55">
        <f>'Balance Sheet'!F46</f>
        <v>35007518</v>
      </c>
      <c r="G46" s="55">
        <f>'Balance Sheet'!G46</f>
        <v>64090001</v>
      </c>
      <c r="H46" s="55">
        <f>'Balance Sheet'!H46</f>
        <v>43953051</v>
      </c>
      <c r="I46" s="55">
        <f>'Balance Sheet'!I46</f>
        <v>56911213</v>
      </c>
      <c r="J46" s="55">
        <f>'Balance Sheet'!J46</f>
        <v>64350697</v>
      </c>
      <c r="K46" s="55">
        <f>'Balance Sheet'!K46</f>
        <v>67134810</v>
      </c>
      <c r="L46" s="55">
        <f>'Balance Sheet'!L46</f>
        <v>57488163</v>
      </c>
      <c r="N46" s="17">
        <f t="shared" si="5"/>
        <v>5.7692843038967601E-2</v>
      </c>
    </row>
    <row r="47" spans="1:15" s="2" customFormat="1" x14ac:dyDescent="0.2">
      <c r="A47" s="1" t="str">
        <f>'Balance Sheet'!A47</f>
        <v>Diferred income</v>
      </c>
      <c r="B47" s="55">
        <f>'Balance Sheet'!B47</f>
        <v>0</v>
      </c>
      <c r="C47" s="55">
        <f>'Balance Sheet'!C47</f>
        <v>0</v>
      </c>
      <c r="D47" s="55">
        <f>'Balance Sheet'!D47</f>
        <v>0</v>
      </c>
      <c r="E47" s="55">
        <f>'Balance Sheet'!E47</f>
        <v>76373594</v>
      </c>
      <c r="F47" s="55">
        <f>'Balance Sheet'!F47</f>
        <v>100870259</v>
      </c>
      <c r="G47" s="55">
        <f>'Balance Sheet'!G47</f>
        <v>116811875</v>
      </c>
      <c r="H47" s="55">
        <f>'Balance Sheet'!H47</f>
        <v>70582211</v>
      </c>
      <c r="I47" s="55">
        <f>'Balance Sheet'!I47</f>
        <v>123288108</v>
      </c>
      <c r="J47" s="55">
        <f>'Balance Sheet'!J47</f>
        <v>164665210</v>
      </c>
      <c r="K47" s="55">
        <f>'Balance Sheet'!K47</f>
        <v>169869646</v>
      </c>
      <c r="L47" s="55">
        <f>'Balance Sheet'!L47</f>
        <v>175447940</v>
      </c>
      <c r="N47" s="17">
        <f t="shared" si="5"/>
        <v>0.12616161584825991</v>
      </c>
    </row>
    <row r="48" spans="1:15" x14ac:dyDescent="0.2">
      <c r="A48" s="1" t="str">
        <f>'Balance Sheet'!A48</f>
        <v>Tax payable</v>
      </c>
      <c r="B48" s="55">
        <f>'Balance Sheet'!B48</f>
        <v>0</v>
      </c>
      <c r="C48" s="55">
        <f>'Balance Sheet'!C48</f>
        <v>0</v>
      </c>
      <c r="D48" s="55">
        <f>'Balance Sheet'!D48</f>
        <v>0</v>
      </c>
      <c r="E48" s="55">
        <f>'Balance Sheet'!E48</f>
        <v>160306</v>
      </c>
      <c r="F48" s="55">
        <f>'Balance Sheet'!F48</f>
        <v>0</v>
      </c>
      <c r="G48" s="55">
        <f>'Balance Sheet'!G48</f>
        <v>0</v>
      </c>
      <c r="H48" s="55">
        <f>'Balance Sheet'!H48</f>
        <v>0</v>
      </c>
      <c r="I48" s="55">
        <f>'Balance Sheet'!I48</f>
        <v>0</v>
      </c>
      <c r="J48" s="55">
        <f>'Balance Sheet'!J48</f>
        <v>0</v>
      </c>
      <c r="K48" s="55">
        <f>'Balance Sheet'!K48</f>
        <v>0</v>
      </c>
      <c r="L48" s="55">
        <f>'Balance Sheet'!L48</f>
        <v>0</v>
      </c>
      <c r="N48" s="17"/>
      <c r="O48" s="2"/>
    </row>
    <row r="49" spans="1:15" x14ac:dyDescent="0.2">
      <c r="A49" s="1" t="str">
        <f>'Balance Sheet'!A49</f>
        <v>Provisions</v>
      </c>
      <c r="B49" s="55">
        <f>'Balance Sheet'!B49</f>
        <v>0</v>
      </c>
      <c r="C49" s="55">
        <f>'Balance Sheet'!C49</f>
        <v>0</v>
      </c>
      <c r="D49" s="55">
        <f>'Balance Sheet'!D49</f>
        <v>0</v>
      </c>
      <c r="E49" s="55">
        <f>'Balance Sheet'!E49</f>
        <v>364538</v>
      </c>
      <c r="F49" s="55">
        <f>'Balance Sheet'!F49</f>
        <v>568432</v>
      </c>
      <c r="G49" s="55">
        <f>'Balance Sheet'!G49</f>
        <v>312156</v>
      </c>
      <c r="H49" s="55">
        <f>'Balance Sheet'!H49</f>
        <v>310865</v>
      </c>
      <c r="I49" s="55">
        <f>'Balance Sheet'!I49</f>
        <v>618526</v>
      </c>
      <c r="J49" s="55">
        <f>'Balance Sheet'!J49</f>
        <v>256340</v>
      </c>
      <c r="K49" s="55">
        <f>'Balance Sheet'!K49</f>
        <v>518982</v>
      </c>
      <c r="L49" s="55">
        <f>'Balance Sheet'!L49</f>
        <v>1056107</v>
      </c>
      <c r="N49" s="17">
        <f t="shared" si="5"/>
        <v>0.16411267089350123</v>
      </c>
      <c r="O49" s="2"/>
    </row>
    <row r="50" spans="1:15" hidden="1" x14ac:dyDescent="0.2">
      <c r="A50" s="1" t="str">
        <f>'Balance Sheet'!A50</f>
        <v>Bank overdrafts</v>
      </c>
      <c r="B50" s="55">
        <f>'Balance Sheet'!B50</f>
        <v>0</v>
      </c>
      <c r="C50" s="55">
        <f>'Balance Sheet'!C50</f>
        <v>0</v>
      </c>
      <c r="D50" s="55">
        <f>'Balance Sheet'!D50</f>
        <v>0</v>
      </c>
      <c r="E50" s="55">
        <f>'Balance Sheet'!E50</f>
        <v>0</v>
      </c>
      <c r="F50" s="55">
        <f>'Balance Sheet'!F50</f>
        <v>0</v>
      </c>
      <c r="G50" s="55">
        <f>'Balance Sheet'!G50</f>
        <v>0</v>
      </c>
      <c r="H50" s="55">
        <f>'Balance Sheet'!H50</f>
        <v>0</v>
      </c>
      <c r="I50" s="55">
        <f>'Balance Sheet'!I50</f>
        <v>0</v>
      </c>
      <c r="J50" s="55">
        <f>'Balance Sheet'!J50</f>
        <v>0</v>
      </c>
      <c r="K50" s="55">
        <f>'Balance Sheet'!K50</f>
        <v>0</v>
      </c>
      <c r="L50" s="55">
        <f>'Balance Sheet'!L50</f>
        <v>0</v>
      </c>
      <c r="N50" s="17" t="e">
        <f t="shared" si="5"/>
        <v>#DIV/0!</v>
      </c>
      <c r="O50" s="2"/>
    </row>
    <row r="51" spans="1:15" s="2" customFormat="1" x14ac:dyDescent="0.2">
      <c r="A51" s="2" t="str">
        <f>'Balance Sheet'!A51</f>
        <v>Total current liabilities</v>
      </c>
      <c r="B51" s="56">
        <f>'Balance Sheet'!B51</f>
        <v>0</v>
      </c>
      <c r="C51" s="56">
        <f>'Balance Sheet'!C51</f>
        <v>0</v>
      </c>
      <c r="D51" s="56">
        <f>'Balance Sheet'!D51</f>
        <v>0</v>
      </c>
      <c r="E51" s="56">
        <f>'Balance Sheet'!E51</f>
        <v>115718969</v>
      </c>
      <c r="F51" s="56">
        <f>'Balance Sheet'!F51</f>
        <v>136446209</v>
      </c>
      <c r="G51" s="56">
        <f>'Balance Sheet'!G51</f>
        <v>181214032</v>
      </c>
      <c r="H51" s="56">
        <f>'Balance Sheet'!H51</f>
        <v>114846127</v>
      </c>
      <c r="I51" s="56">
        <f>'Balance Sheet'!I51</f>
        <v>180817847</v>
      </c>
      <c r="J51" s="56">
        <f>'Balance Sheet'!J51</f>
        <v>229272247</v>
      </c>
      <c r="K51" s="56">
        <f>'Balance Sheet'!K51</f>
        <v>237523438</v>
      </c>
      <c r="L51" s="56">
        <f>'Balance Sheet'!L51</f>
        <v>233992210</v>
      </c>
      <c r="N51" s="17">
        <f t="shared" si="5"/>
        <v>0.10582209554571986</v>
      </c>
    </row>
    <row r="52" spans="1:15" s="2" customFormat="1" x14ac:dyDescent="0.2">
      <c r="B52" s="56"/>
      <c r="C52" s="56"/>
      <c r="D52" s="56"/>
      <c r="E52" s="56"/>
      <c r="F52" s="56"/>
      <c r="G52" s="56"/>
      <c r="H52" s="56"/>
      <c r="I52" s="56"/>
      <c r="J52" s="56"/>
      <c r="K52" s="56"/>
      <c r="L52" s="56"/>
      <c r="N52" s="17"/>
    </row>
    <row r="53" spans="1:15" s="2" customFormat="1" x14ac:dyDescent="0.2">
      <c r="A53" s="2" t="str">
        <f>'Balance Sheet'!A53</f>
        <v>TOTAL LIABILITIES</v>
      </c>
      <c r="B53" s="56">
        <f>'Balance Sheet'!B53</f>
        <v>0</v>
      </c>
      <c r="C53" s="56">
        <f>'Balance Sheet'!C53</f>
        <v>0</v>
      </c>
      <c r="D53" s="56">
        <f>'Balance Sheet'!D53</f>
        <v>0</v>
      </c>
      <c r="E53" s="56">
        <f>'Balance Sheet'!E53</f>
        <v>146686501</v>
      </c>
      <c r="F53" s="56">
        <f>'Balance Sheet'!F53</f>
        <v>164733314</v>
      </c>
      <c r="G53" s="56">
        <f>'Balance Sheet'!G53</f>
        <v>209500276</v>
      </c>
      <c r="H53" s="56">
        <f>'Balance Sheet'!H53</f>
        <v>144246267</v>
      </c>
      <c r="I53" s="56">
        <f>'Balance Sheet'!I53</f>
        <v>210205107</v>
      </c>
      <c r="J53" s="56">
        <f>'Balance Sheet'!J53</f>
        <v>258677870</v>
      </c>
      <c r="K53" s="56">
        <f>'Balance Sheet'!K53</f>
        <v>263807944</v>
      </c>
      <c r="L53" s="56">
        <f>'Balance Sheet'!L53</f>
        <v>258106638</v>
      </c>
      <c r="N53" s="17">
        <f t="shared" ref="N53" si="6">(L53/E53)^(1/7)-1</f>
        <v>8.407276064470981E-2</v>
      </c>
    </row>
    <row r="54" spans="1:15" s="2" customFormat="1" x14ac:dyDescent="0.2">
      <c r="B54" s="56"/>
      <c r="C54" s="56"/>
      <c r="D54" s="56"/>
      <c r="E54" s="56"/>
      <c r="F54" s="56"/>
      <c r="G54" s="56"/>
      <c r="H54" s="56"/>
      <c r="I54" s="56"/>
      <c r="J54" s="56"/>
      <c r="K54" s="56"/>
      <c r="L54" s="56"/>
      <c r="N54" s="17"/>
    </row>
    <row r="55" spans="1:15" s="2" customFormat="1" x14ac:dyDescent="0.2">
      <c r="A55" s="2" t="str">
        <f>'Balance Sheet'!A55</f>
        <v>TOTAL EQUITY AND LIABILITIES</v>
      </c>
      <c r="B55" s="56">
        <f>'Balance Sheet'!B55</f>
        <v>0</v>
      </c>
      <c r="C55" s="56">
        <f>'Balance Sheet'!C55</f>
        <v>0</v>
      </c>
      <c r="D55" s="56">
        <f>'Balance Sheet'!D55</f>
        <v>0</v>
      </c>
      <c r="E55" s="56">
        <f>'Balance Sheet'!E55</f>
        <v>488742855</v>
      </c>
      <c r="F55" s="56">
        <f>'Balance Sheet'!F55</f>
        <v>529215465</v>
      </c>
      <c r="G55" s="56">
        <f>'Balance Sheet'!G55</f>
        <v>617419725</v>
      </c>
      <c r="H55" s="56">
        <f>'Balance Sheet'!H55</f>
        <v>568239806</v>
      </c>
      <c r="I55" s="56">
        <f>'Balance Sheet'!I55</f>
        <v>646781740</v>
      </c>
      <c r="J55" s="56">
        <f>'Balance Sheet'!J55</f>
        <v>712864210</v>
      </c>
      <c r="K55" s="56">
        <f>'Balance Sheet'!K55</f>
        <v>755453563</v>
      </c>
      <c r="L55" s="56">
        <f>'Balance Sheet'!L55</f>
        <v>755770106</v>
      </c>
      <c r="N55" s="17">
        <f t="shared" ref="N55" si="7">(L55/E55)^(1/7)-1</f>
        <v>6.425128698183058E-2</v>
      </c>
    </row>
    <row r="58" spans="1:15" x14ac:dyDescent="0.2">
      <c r="A58" s="1" t="str">
        <f>A3</f>
        <v>R</v>
      </c>
      <c r="B58" s="1">
        <f t="shared" ref="B58:N58" si="8">B3</f>
        <v>2007</v>
      </c>
      <c r="C58" s="1">
        <f t="shared" si="8"/>
        <v>2008</v>
      </c>
      <c r="D58" s="1">
        <f t="shared" si="8"/>
        <v>2009</v>
      </c>
      <c r="E58" s="1">
        <f t="shared" si="8"/>
        <v>2010</v>
      </c>
      <c r="F58" s="1">
        <f t="shared" si="8"/>
        <v>2011</v>
      </c>
      <c r="G58" s="1">
        <f t="shared" si="8"/>
        <v>2012</v>
      </c>
      <c r="H58" s="1">
        <f t="shared" si="8"/>
        <v>2013</v>
      </c>
      <c r="I58" s="1">
        <f t="shared" si="8"/>
        <v>2014</v>
      </c>
      <c r="J58" s="1">
        <f t="shared" si="8"/>
        <v>2015</v>
      </c>
      <c r="K58" s="1">
        <f t="shared" si="8"/>
        <v>2016</v>
      </c>
      <c r="L58" s="1">
        <f t="shared" si="8"/>
        <v>2017</v>
      </c>
      <c r="N58" s="1" t="str">
        <f t="shared" si="8"/>
        <v>CAGR</v>
      </c>
    </row>
    <row r="59" spans="1:15" x14ac:dyDescent="0.2">
      <c r="A59" s="1" t="str">
        <f>A25</f>
        <v>TOTAL ASSETS</v>
      </c>
      <c r="B59" s="1">
        <f t="shared" ref="B59:L59" si="9">B25</f>
        <v>0</v>
      </c>
      <c r="C59" s="1">
        <f t="shared" si="9"/>
        <v>0</v>
      </c>
      <c r="D59" s="1">
        <f t="shared" si="9"/>
        <v>0</v>
      </c>
      <c r="E59" s="89">
        <f t="shared" si="9"/>
        <v>488742855</v>
      </c>
      <c r="F59" s="89">
        <f t="shared" si="9"/>
        <v>529215465</v>
      </c>
      <c r="G59" s="89">
        <f t="shared" si="9"/>
        <v>617419725</v>
      </c>
      <c r="H59" s="89">
        <f t="shared" si="9"/>
        <v>568239806</v>
      </c>
      <c r="I59" s="89">
        <f t="shared" si="9"/>
        <v>646781740</v>
      </c>
      <c r="J59" s="89">
        <f t="shared" si="9"/>
        <v>712867210</v>
      </c>
      <c r="K59" s="89">
        <f t="shared" si="9"/>
        <v>755453563</v>
      </c>
      <c r="L59" s="89">
        <f t="shared" si="9"/>
        <v>755770106</v>
      </c>
      <c r="N59" s="17">
        <f t="shared" ref="N59:N63" si="10">(L59/E59)^(1/7)-1</f>
        <v>6.425128698183058E-2</v>
      </c>
    </row>
    <row r="60" spans="1:15" x14ac:dyDescent="0.2">
      <c r="A60" s="1" t="str">
        <f>A35</f>
        <v>Total equity</v>
      </c>
      <c r="B60" s="1">
        <f t="shared" ref="B60:L60" si="11">B35</f>
        <v>0</v>
      </c>
      <c r="C60" s="1">
        <f t="shared" si="11"/>
        <v>0</v>
      </c>
      <c r="D60" s="1">
        <f t="shared" si="11"/>
        <v>0</v>
      </c>
      <c r="E60" s="89">
        <f t="shared" si="11"/>
        <v>342056354</v>
      </c>
      <c r="F60" s="89">
        <f t="shared" si="11"/>
        <v>364482151</v>
      </c>
      <c r="G60" s="89">
        <f t="shared" si="11"/>
        <v>407919449</v>
      </c>
      <c r="H60" s="89">
        <f t="shared" si="11"/>
        <v>423993539</v>
      </c>
      <c r="I60" s="89">
        <f t="shared" si="11"/>
        <v>436576633</v>
      </c>
      <c r="J60" s="89">
        <f t="shared" si="11"/>
        <v>454186340</v>
      </c>
      <c r="K60" s="89">
        <f t="shared" si="11"/>
        <v>491645619</v>
      </c>
      <c r="L60" s="89">
        <f t="shared" si="11"/>
        <v>497663468</v>
      </c>
      <c r="N60" s="17">
        <f t="shared" si="10"/>
        <v>5.5024598630699195E-2</v>
      </c>
    </row>
    <row r="61" spans="1:15" x14ac:dyDescent="0.2">
      <c r="A61" s="1" t="str">
        <f>A53</f>
        <v>TOTAL LIABILITIES</v>
      </c>
      <c r="B61" s="1">
        <f t="shared" ref="B61:L61" si="12">B53</f>
        <v>0</v>
      </c>
      <c r="C61" s="1">
        <f t="shared" si="12"/>
        <v>0</v>
      </c>
      <c r="D61" s="1">
        <f t="shared" si="12"/>
        <v>0</v>
      </c>
      <c r="E61" s="89">
        <f t="shared" si="12"/>
        <v>146686501</v>
      </c>
      <c r="F61" s="89">
        <f t="shared" si="12"/>
        <v>164733314</v>
      </c>
      <c r="G61" s="89">
        <f t="shared" si="12"/>
        <v>209500276</v>
      </c>
      <c r="H61" s="89">
        <f t="shared" si="12"/>
        <v>144246267</v>
      </c>
      <c r="I61" s="89">
        <f t="shared" si="12"/>
        <v>210205107</v>
      </c>
      <c r="J61" s="89">
        <f t="shared" si="12"/>
        <v>258677870</v>
      </c>
      <c r="K61" s="89">
        <f t="shared" si="12"/>
        <v>263807944</v>
      </c>
      <c r="L61" s="89">
        <f t="shared" si="12"/>
        <v>258106638</v>
      </c>
      <c r="N61" s="17">
        <f t="shared" si="10"/>
        <v>8.407276064470981E-2</v>
      </c>
    </row>
    <row r="63" spans="1:15" x14ac:dyDescent="0.2">
      <c r="A63" s="1" t="s">
        <v>318</v>
      </c>
      <c r="E63" s="89">
        <f>-'Cashflow Analysis'!E21:L21</f>
        <v>91907522</v>
      </c>
      <c r="F63" s="89">
        <f>-'Cashflow Analysis'!F21:M21</f>
        <v>27882387</v>
      </c>
      <c r="G63" s="89">
        <f>-'Cashflow Analysis'!G21:N21</f>
        <v>77143941</v>
      </c>
      <c r="H63" s="89">
        <f>-'Cashflow Analysis'!H21:O21</f>
        <v>-18943000</v>
      </c>
      <c r="I63" s="89">
        <f>-'Cashflow Analysis'!I21:P21</f>
        <v>61503043</v>
      </c>
      <c r="J63" s="89">
        <f>-'Cashflow Analysis'!J21:Q21</f>
        <v>108925750</v>
      </c>
      <c r="K63" s="89">
        <f>-'Cashflow Analysis'!K21:R21</f>
        <v>32478033</v>
      </c>
      <c r="L63" s="89">
        <f>-'Cashflow Analysis'!L21:S21</f>
        <v>-15963239</v>
      </c>
      <c r="N63" s="17">
        <f t="shared" si="10"/>
        <v>-1.7787457839265204</v>
      </c>
    </row>
  </sheetData>
  <mergeCells count="1">
    <mergeCell ref="A1:N1"/>
  </mergeCells>
  <pageMargins left="0.7" right="0.7" top="0.75" bottom="0.75" header="0.3" footer="0.3"/>
  <pageSetup paperSize="9" orientation="portrait" r:id="rId1"/>
  <ignoredErrors>
    <ignoredError sqref="N6:N14 N17:N20 N22:N26 N30:N38 N40:N47 N49:N55" evalError="1"/>
    <ignoredError sqref="N21"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O54"/>
  <sheetViews>
    <sheetView showGridLines="0" workbookViewId="0">
      <selection sqref="A1:N1"/>
    </sheetView>
  </sheetViews>
  <sheetFormatPr defaultRowHeight="12.75" x14ac:dyDescent="0.2"/>
  <cols>
    <col min="1" max="1" width="49.140625" style="1" bestFit="1" customWidth="1"/>
    <col min="2" max="4" width="9.28515625" style="1" hidden="1" customWidth="1"/>
    <col min="5" max="12" width="14.28515625" style="1" customWidth="1"/>
    <col min="13" max="13" width="4.5703125" style="1" customWidth="1"/>
    <col min="14" max="14" width="8.28515625" style="1" bestFit="1" customWidth="1"/>
    <col min="15" max="16384" width="9.140625" style="1"/>
  </cols>
  <sheetData>
    <row r="1" spans="1:14" ht="15" x14ac:dyDescent="0.2">
      <c r="A1" s="124" t="s">
        <v>38</v>
      </c>
      <c r="B1" s="124"/>
      <c r="C1" s="124"/>
      <c r="D1" s="124"/>
      <c r="E1" s="124"/>
      <c r="F1" s="124"/>
      <c r="G1" s="124"/>
      <c r="H1" s="124"/>
      <c r="I1" s="124"/>
      <c r="J1" s="124"/>
      <c r="K1" s="124"/>
      <c r="L1" s="124"/>
      <c r="M1" s="124"/>
      <c r="N1" s="124"/>
    </row>
    <row r="3" spans="1:14" x14ac:dyDescent="0.2">
      <c r="A3" s="2" t="s">
        <v>163</v>
      </c>
      <c r="B3" s="2">
        <f>'Cashflow Statement'!B3</f>
        <v>2007</v>
      </c>
      <c r="C3" s="2">
        <f>'Cashflow Statement'!C3</f>
        <v>2008</v>
      </c>
      <c r="D3" s="2">
        <f>'Cashflow Statement'!D3</f>
        <v>2009</v>
      </c>
      <c r="E3" s="2">
        <f>'Cashflow Statement'!E3</f>
        <v>2010</v>
      </c>
      <c r="F3" s="2">
        <f>'Cashflow Statement'!F3</f>
        <v>2011</v>
      </c>
      <c r="G3" s="2">
        <f>'Cashflow Statement'!G3</f>
        <v>2012</v>
      </c>
      <c r="H3" s="2">
        <f>'Cashflow Statement'!H3</f>
        <v>2013</v>
      </c>
      <c r="I3" s="2">
        <f>'Cashflow Statement'!I3</f>
        <v>2014</v>
      </c>
      <c r="J3" s="2">
        <f>'Cashflow Statement'!J3</f>
        <v>2015</v>
      </c>
      <c r="K3" s="2">
        <f>'Cashflow Statement'!K3</f>
        <v>2016</v>
      </c>
      <c r="L3" s="2">
        <f>'Cashflow Statement'!L3</f>
        <v>2017</v>
      </c>
      <c r="M3" s="2"/>
      <c r="N3" s="2" t="str">
        <f>'Income Statement Analysis'!N3</f>
        <v>CAGR</v>
      </c>
    </row>
    <row r="4" spans="1:14" s="2" customFormat="1" x14ac:dyDescent="0.2">
      <c r="A4" s="2" t="str">
        <f>'Cashflow Statement'!A4</f>
        <v>Cashflow from operating activities</v>
      </c>
    </row>
    <row r="5" spans="1:14" x14ac:dyDescent="0.2">
      <c r="A5" s="1" t="str">
        <f>'Cashflow Statement'!A5</f>
        <v>Cash receipts from customers</v>
      </c>
      <c r="B5" s="55">
        <f>'Cashflow Statement'!B5</f>
        <v>0</v>
      </c>
      <c r="C5" s="55">
        <f>'Cashflow Statement'!C5</f>
        <v>0</v>
      </c>
      <c r="D5" s="55">
        <f>'Cashflow Statement'!D5</f>
        <v>0</v>
      </c>
      <c r="E5" s="55">
        <f>'Cashflow Statement'!E5</f>
        <v>376288632</v>
      </c>
      <c r="F5" s="55">
        <f>'Cashflow Statement'!F5</f>
        <v>385296486</v>
      </c>
      <c r="G5" s="55">
        <f>'Cashflow Statement'!G5</f>
        <v>416946963</v>
      </c>
      <c r="H5" s="55">
        <f>'Cashflow Statement'!H5</f>
        <v>409397192</v>
      </c>
      <c r="I5" s="55">
        <f>'Cashflow Statement'!I5</f>
        <v>487871479</v>
      </c>
      <c r="J5" s="55">
        <f>'Cashflow Statement'!J5</f>
        <v>528459039</v>
      </c>
      <c r="K5" s="55">
        <f>'Cashflow Statement'!K5</f>
        <v>511453061</v>
      </c>
      <c r="L5" s="55">
        <f>'Cashflow Statement'!L5</f>
        <v>458339300</v>
      </c>
      <c r="N5" s="17">
        <f>(L5/E5)^(1/7)-1</f>
        <v>2.8579820802028699E-2</v>
      </c>
    </row>
    <row r="6" spans="1:14" hidden="1" x14ac:dyDescent="0.2">
      <c r="A6" s="1" t="str">
        <f>'Cashflow Statement'!A6</f>
        <v>Tax paid</v>
      </c>
      <c r="B6" s="55">
        <f>'Cashflow Statement'!B6</f>
        <v>0</v>
      </c>
      <c r="C6" s="55">
        <f>'Cashflow Statement'!C6</f>
        <v>0</v>
      </c>
      <c r="D6" s="55">
        <f>'Cashflow Statement'!D6</f>
        <v>0</v>
      </c>
      <c r="E6" s="55">
        <f>'Cashflow Statement'!E6</f>
        <v>0</v>
      </c>
      <c r="F6" s="55">
        <f>'Cashflow Statement'!F6</f>
        <v>0</v>
      </c>
      <c r="G6" s="55">
        <f>'Cashflow Statement'!G6</f>
        <v>0</v>
      </c>
      <c r="H6" s="55">
        <f>'Cashflow Statement'!H6</f>
        <v>0</v>
      </c>
      <c r="I6" s="55">
        <f>'Cashflow Statement'!I6</f>
        <v>0</v>
      </c>
      <c r="J6" s="55">
        <f>'Cashflow Statement'!J6</f>
        <v>0</v>
      </c>
      <c r="K6" s="55">
        <f>'Cashflow Statement'!K6</f>
        <v>0</v>
      </c>
      <c r="L6" s="55">
        <f>'Cashflow Statement'!L6</f>
        <v>0</v>
      </c>
      <c r="N6" s="17" t="e">
        <f t="shared" ref="N6:N12" si="0">(L6/E6)^(1/7)-1</f>
        <v>#DIV/0!</v>
      </c>
    </row>
    <row r="7" spans="1:14" x14ac:dyDescent="0.2">
      <c r="A7" s="1" t="str">
        <f>'Cashflow Statement'!A7</f>
        <v>Cash paid to suppliers and employees</v>
      </c>
      <c r="B7" s="55">
        <f>'Cashflow Statement'!B7</f>
        <v>0</v>
      </c>
      <c r="C7" s="55">
        <f>'Cashflow Statement'!C7</f>
        <v>0</v>
      </c>
      <c r="D7" s="55">
        <f>'Cashflow Statement'!D7</f>
        <v>0</v>
      </c>
      <c r="E7" s="55">
        <f>'Cashflow Statement'!E7</f>
        <v>-373496106</v>
      </c>
      <c r="F7" s="55">
        <f>'Cashflow Statement'!F7</f>
        <v>-351974019</v>
      </c>
      <c r="G7" s="55">
        <f>'Cashflow Statement'!G7</f>
        <v>-342614764</v>
      </c>
      <c r="H7" s="55">
        <f>'Cashflow Statement'!H7</f>
        <v>-459227531</v>
      </c>
      <c r="I7" s="55">
        <f>'Cashflow Statement'!I7</f>
        <v>-413415979</v>
      </c>
      <c r="J7" s="55">
        <f>'Cashflow Statement'!J7</f>
        <v>-471234641</v>
      </c>
      <c r="K7" s="55">
        <f>'Cashflow Statement'!K7</f>
        <v>-498080821</v>
      </c>
      <c r="L7" s="55">
        <f>'Cashflow Statement'!L7</f>
        <v>-472560851</v>
      </c>
      <c r="N7" s="17">
        <f t="shared" si="0"/>
        <v>3.4179564136774809E-2</v>
      </c>
    </row>
    <row r="8" spans="1:14" x14ac:dyDescent="0.2">
      <c r="A8" s="1" t="str">
        <f>'Cashflow Statement'!A8</f>
        <v>Interest received</v>
      </c>
      <c r="B8" s="55">
        <f>'Cashflow Statement'!B8</f>
        <v>0</v>
      </c>
      <c r="C8" s="55">
        <f>'Cashflow Statement'!C8</f>
        <v>0</v>
      </c>
      <c r="D8" s="55">
        <f>'Cashflow Statement'!D8</f>
        <v>0</v>
      </c>
      <c r="E8" s="55">
        <f>'Cashflow Statement'!E8</f>
        <v>19283636</v>
      </c>
      <c r="F8" s="55">
        <f>'Cashflow Statement'!F8</f>
        <v>14556425</v>
      </c>
      <c r="G8" s="55">
        <f>'Cashflow Statement'!G8</f>
        <v>15718249</v>
      </c>
      <c r="H8" s="55">
        <f>'Cashflow Statement'!H8</f>
        <v>14686482</v>
      </c>
      <c r="I8" s="55">
        <f>'Cashflow Statement'!I8</f>
        <v>15976216</v>
      </c>
      <c r="J8" s="55">
        <f>'Cashflow Statement'!J8</f>
        <v>25048956</v>
      </c>
      <c r="K8" s="55">
        <f>'Cashflow Statement'!K8</f>
        <v>32059094</v>
      </c>
      <c r="L8" s="55">
        <f>'Cashflow Statement'!L8</f>
        <v>31324518</v>
      </c>
      <c r="N8" s="17">
        <f t="shared" si="0"/>
        <v>7.1764463747803431E-2</v>
      </c>
    </row>
    <row r="9" spans="1:14" x14ac:dyDescent="0.2">
      <c r="A9" s="1" t="str">
        <f>'Cashflow Statement'!A9</f>
        <v>Provision utilised</v>
      </c>
      <c r="B9" s="55">
        <f>'Cashflow Statement'!B9</f>
        <v>0</v>
      </c>
      <c r="C9" s="55">
        <f>'Cashflow Statement'!C9</f>
        <v>0</v>
      </c>
      <c r="D9" s="55">
        <f>'Cashflow Statement'!D9</f>
        <v>0</v>
      </c>
      <c r="E9" s="55">
        <f>'Cashflow Statement'!E9</f>
        <v>-1616568</v>
      </c>
      <c r="F9" s="55">
        <f>'Cashflow Statement'!F9</f>
        <v>-1053229</v>
      </c>
      <c r="G9" s="55">
        <f>'Cashflow Statement'!G9</f>
        <v>-1395594</v>
      </c>
      <c r="H9" s="55">
        <f>'Cashflow Statement'!H9</f>
        <v>-395336</v>
      </c>
      <c r="I9" s="55">
        <f>'Cashflow Statement'!I9</f>
        <v>-310865</v>
      </c>
      <c r="J9" s="55">
        <f>'Cashflow Statement'!J9</f>
        <v>-618526</v>
      </c>
      <c r="K9" s="55">
        <f>'Cashflow Statement'!K9</f>
        <v>0</v>
      </c>
      <c r="L9" s="55">
        <f>'Cashflow Statement'!L9</f>
        <v>0</v>
      </c>
      <c r="N9" s="17">
        <f>(J9/E9)^(1/5)-1</f>
        <v>-0.17481220386058283</v>
      </c>
    </row>
    <row r="10" spans="1:14" x14ac:dyDescent="0.2">
      <c r="A10" s="1" t="str">
        <f>'Cashflow Statement'!A10</f>
        <v>Finance costs</v>
      </c>
      <c r="B10" s="55">
        <f>'Cashflow Statement'!B10</f>
        <v>0</v>
      </c>
      <c r="C10" s="55">
        <f>'Cashflow Statement'!C10</f>
        <v>0</v>
      </c>
      <c r="D10" s="55">
        <f>'Cashflow Statement'!D10</f>
        <v>0</v>
      </c>
      <c r="E10" s="55">
        <f>'Cashflow Statement'!E10</f>
        <v>-93668</v>
      </c>
      <c r="F10" s="55">
        <f>'Cashflow Statement'!F10</f>
        <v>-44594</v>
      </c>
      <c r="G10" s="55">
        <f>'Cashflow Statement'!G10</f>
        <v>-12332</v>
      </c>
      <c r="H10" s="55">
        <f>'Cashflow Statement'!H10</f>
        <v>-6279</v>
      </c>
      <c r="I10" s="55">
        <f>'Cashflow Statement'!I10</f>
        <v>-45967</v>
      </c>
      <c r="J10" s="55">
        <f>'Cashflow Statement'!J10</f>
        <v>-24584</v>
      </c>
      <c r="K10" s="55">
        <f>'Cashflow Statement'!K10</f>
        <v>-5290</v>
      </c>
      <c r="L10" s="55">
        <f>'Cashflow Statement'!L10</f>
        <v>-6210</v>
      </c>
      <c r="N10" s="17">
        <f t="shared" si="0"/>
        <v>-0.32135460334753818</v>
      </c>
    </row>
    <row r="11" spans="1:14" x14ac:dyDescent="0.2">
      <c r="A11" s="1" t="str">
        <f>'Cashflow Statement'!A11</f>
        <v>Tax received</v>
      </c>
      <c r="B11" s="55">
        <f>'Cashflow Statement'!B11</f>
        <v>0</v>
      </c>
      <c r="C11" s="55">
        <f>'Cashflow Statement'!C11</f>
        <v>0</v>
      </c>
      <c r="D11" s="55">
        <f>'Cashflow Statement'!D11</f>
        <v>0</v>
      </c>
      <c r="E11" s="55">
        <f>'Cashflow Statement'!E11</f>
        <v>0</v>
      </c>
      <c r="F11" s="55">
        <f>'Cashflow Statement'!F11</f>
        <v>0</v>
      </c>
      <c r="G11" s="55">
        <f>'Cashflow Statement'!G11</f>
        <v>0</v>
      </c>
      <c r="H11" s="55">
        <f>'Cashflow Statement'!H11</f>
        <v>42647</v>
      </c>
      <c r="I11" s="55">
        <f>'Cashflow Statement'!I11</f>
        <v>0</v>
      </c>
      <c r="J11" s="55">
        <f>'Cashflow Statement'!J11</f>
        <v>0</v>
      </c>
      <c r="K11" s="55">
        <f>'Cashflow Statement'!K11</f>
        <v>0</v>
      </c>
      <c r="L11" s="55">
        <f>'Cashflow Statement'!L11</f>
        <v>0</v>
      </c>
      <c r="N11" s="17"/>
    </row>
    <row r="12" spans="1:14" s="2" customFormat="1" x14ac:dyDescent="0.2">
      <c r="A12" s="2" t="str">
        <f>'Cashflow Statement'!A12</f>
        <v>Cash provided by operating activities</v>
      </c>
      <c r="B12" s="56">
        <f>'Cashflow Statement'!B12</f>
        <v>0</v>
      </c>
      <c r="C12" s="56">
        <f>'Cashflow Statement'!C12</f>
        <v>0</v>
      </c>
      <c r="D12" s="56">
        <f>'Cashflow Statement'!D12</f>
        <v>0</v>
      </c>
      <c r="E12" s="56">
        <f>'Cashflow Statement'!E12</f>
        <v>20365926</v>
      </c>
      <c r="F12" s="56">
        <f>'Cashflow Statement'!F12</f>
        <v>46781069</v>
      </c>
      <c r="G12" s="56">
        <f>'Cashflow Statement'!G12</f>
        <v>88642522</v>
      </c>
      <c r="H12" s="56">
        <f>'Cashflow Statement'!H12</f>
        <v>-35502825</v>
      </c>
      <c r="I12" s="56">
        <f>'Cashflow Statement'!I12</f>
        <v>90074884</v>
      </c>
      <c r="J12" s="56">
        <f>'Cashflow Statement'!J12</f>
        <v>81630244</v>
      </c>
      <c r="K12" s="56">
        <f>'Cashflow Statement'!K12</f>
        <v>45426044</v>
      </c>
      <c r="L12" s="56">
        <f>'Cashflow Statement'!L12</f>
        <v>17096757</v>
      </c>
      <c r="N12" s="17">
        <f t="shared" si="0"/>
        <v>-2.468652304523089E-2</v>
      </c>
    </row>
    <row r="13" spans="1:14" s="2" customFormat="1" x14ac:dyDescent="0.2">
      <c r="B13" s="56"/>
      <c r="C13" s="56"/>
      <c r="D13" s="56"/>
      <c r="E13" s="56"/>
      <c r="F13" s="56"/>
      <c r="G13" s="56"/>
      <c r="H13" s="56"/>
      <c r="I13" s="56"/>
      <c r="J13" s="56"/>
      <c r="K13" s="56"/>
      <c r="L13" s="56"/>
    </row>
    <row r="14" spans="1:14" s="2" customFormat="1" x14ac:dyDescent="0.2">
      <c r="A14" s="2" t="str">
        <f>'Cashflow Statement'!A14</f>
        <v>Cashflow from investment activities</v>
      </c>
      <c r="B14" s="56"/>
      <c r="C14" s="56"/>
      <c r="D14" s="56"/>
      <c r="E14" s="56"/>
      <c r="F14" s="56"/>
      <c r="G14" s="56"/>
      <c r="H14" s="56"/>
      <c r="I14" s="56"/>
      <c r="J14" s="56"/>
      <c r="K14" s="56"/>
      <c r="L14" s="56"/>
    </row>
    <row r="15" spans="1:14" x14ac:dyDescent="0.2">
      <c r="A15" s="1" t="str">
        <f>'Cashflow Statement'!A15</f>
        <v>Additions to property, plant and equipment and intangible assets</v>
      </c>
      <c r="B15" s="55">
        <f>'Cashflow Statement'!B15</f>
        <v>0</v>
      </c>
      <c r="C15" s="55">
        <f>'Cashflow Statement'!C15</f>
        <v>0</v>
      </c>
      <c r="D15" s="55">
        <f>'Cashflow Statement'!D15</f>
        <v>0</v>
      </c>
      <c r="E15" s="55">
        <f>'Cashflow Statement'!E15</f>
        <v>-25119794</v>
      </c>
      <c r="F15" s="55">
        <f>'Cashflow Statement'!F15</f>
        <v>-62575991</v>
      </c>
      <c r="G15" s="55">
        <f>'Cashflow Statement'!G15</f>
        <v>-70482066</v>
      </c>
      <c r="H15" s="55">
        <f>'Cashflow Statement'!H15</f>
        <v>-60191855</v>
      </c>
      <c r="I15" s="55">
        <f>'Cashflow Statement'!I15</f>
        <v>-41499979</v>
      </c>
      <c r="J15" s="55">
        <f>'Cashflow Statement'!J15</f>
        <v>-37027319</v>
      </c>
      <c r="K15" s="55">
        <f>'Cashflow Statement'!K15</f>
        <v>-59054569</v>
      </c>
      <c r="L15" s="55">
        <f>'Cashflow Statement'!L15</f>
        <v>-55117858</v>
      </c>
      <c r="N15" s="17">
        <f t="shared" ref="N15:N21" si="1">(L15/E15)^(1/7)-1</f>
        <v>0.11880333210040184</v>
      </c>
    </row>
    <row r="16" spans="1:14" s="2" customFormat="1" x14ac:dyDescent="0.2">
      <c r="A16" s="1" t="str">
        <f>'Cashflow Statement'!A16</f>
        <v>Additions to intangible assets</v>
      </c>
      <c r="B16" s="55">
        <f>'Cashflow Statement'!B16</f>
        <v>0</v>
      </c>
      <c r="C16" s="55">
        <f>'Cashflow Statement'!C16</f>
        <v>0</v>
      </c>
      <c r="D16" s="55">
        <f>'Cashflow Statement'!D16</f>
        <v>0</v>
      </c>
      <c r="E16" s="55">
        <f>'Cashflow Statement'!E16</f>
        <v>-533633</v>
      </c>
      <c r="F16" s="55">
        <f>'Cashflow Statement'!F16</f>
        <v>-1212571</v>
      </c>
      <c r="G16" s="55">
        <f>'Cashflow Statement'!G16</f>
        <v>-36330</v>
      </c>
      <c r="H16" s="55">
        <f>'Cashflow Statement'!H16</f>
        <v>-430780</v>
      </c>
      <c r="I16" s="55">
        <f>'Cashflow Statement'!I16</f>
        <v>-516212</v>
      </c>
      <c r="J16" s="55">
        <f>'Cashflow Statement'!J16</f>
        <v>-126607</v>
      </c>
      <c r="K16" s="55">
        <f>'Cashflow Statement'!K16</f>
        <v>-641456</v>
      </c>
      <c r="L16" s="55">
        <f>'Cashflow Statement'!L16</f>
        <v>-441495</v>
      </c>
      <c r="M16" s="1"/>
      <c r="N16" s="17">
        <f t="shared" si="1"/>
        <v>-2.6714071726143929E-2</v>
      </c>
    </row>
    <row r="17" spans="1:15" x14ac:dyDescent="0.2">
      <c r="A17" s="1" t="str">
        <f>'Cashflow Statement'!A18</f>
        <v>Funding received towards purchasing of property, plant and equipment</v>
      </c>
      <c r="B17" s="55">
        <f>'Cashflow Statement'!B18</f>
        <v>0</v>
      </c>
      <c r="C17" s="55">
        <f>'Cashflow Statement'!C18</f>
        <v>0</v>
      </c>
      <c r="D17" s="55">
        <f>'Cashflow Statement'!D18</f>
        <v>0</v>
      </c>
      <c r="E17" s="55">
        <f>'Cashflow Statement'!E18</f>
        <v>20381777</v>
      </c>
      <c r="F17" s="55">
        <f>'Cashflow Statement'!F18</f>
        <v>59416858</v>
      </c>
      <c r="G17" s="55">
        <f>'Cashflow Statement'!G18</f>
        <v>21058125</v>
      </c>
      <c r="H17" s="55">
        <f>'Cashflow Statement'!H18</f>
        <v>60366325</v>
      </c>
      <c r="I17" s="55">
        <f>'Cashflow Statement'!I18</f>
        <v>58463012</v>
      </c>
      <c r="J17" s="55">
        <f>'Cashflow Statement'!J18</f>
        <v>32832633</v>
      </c>
      <c r="K17" s="55">
        <f>'Cashflow Statement'!K18</f>
        <v>46468250</v>
      </c>
      <c r="L17" s="55">
        <f>'Cashflow Statement'!L18</f>
        <v>27539643</v>
      </c>
      <c r="N17" s="17">
        <f t="shared" si="1"/>
        <v>4.3935704512121809E-2</v>
      </c>
    </row>
    <row r="18" spans="1:15" s="2" customFormat="1" x14ac:dyDescent="0.2">
      <c r="A18" s="1" t="str">
        <f>'Cashflow Statement'!A19</f>
        <v>Funding received towards intangible assets</v>
      </c>
      <c r="B18" s="55">
        <f>'Cashflow Statement'!B19</f>
        <v>0</v>
      </c>
      <c r="C18" s="55">
        <f>'Cashflow Statement'!C19</f>
        <v>0</v>
      </c>
      <c r="D18" s="55">
        <f>'Cashflow Statement'!D19</f>
        <v>0</v>
      </c>
      <c r="E18" s="55">
        <f>'Cashflow Statement'!E19</f>
        <v>46000</v>
      </c>
      <c r="F18" s="55">
        <f>'Cashflow Statement'!F19</f>
        <v>410736</v>
      </c>
      <c r="G18" s="55">
        <f>'Cashflow Statement'!G19</f>
        <v>0</v>
      </c>
      <c r="H18" s="55">
        <f>'Cashflow Statement'!H19</f>
        <v>0</v>
      </c>
      <c r="I18" s="55">
        <f>'Cashflow Statement'!I19</f>
        <v>0</v>
      </c>
      <c r="J18" s="55">
        <f>'Cashflow Statement'!J19</f>
        <v>0</v>
      </c>
      <c r="K18" s="55">
        <f>'Cashflow Statement'!K19</f>
        <v>0</v>
      </c>
      <c r="L18" s="55">
        <f>'Cashflow Statement'!L19</f>
        <v>0</v>
      </c>
      <c r="M18" s="1"/>
      <c r="N18" s="17">
        <f>(F18/E18)^(1/1)-1</f>
        <v>7.9290434782608692</v>
      </c>
    </row>
    <row r="19" spans="1:15" x14ac:dyDescent="0.2">
      <c r="A19" s="1" t="str">
        <f>'Cashflow Statement'!A20</f>
        <v>Increase in investments</v>
      </c>
      <c r="B19" s="55">
        <f>'Cashflow Statement'!B20</f>
        <v>0</v>
      </c>
      <c r="C19" s="55">
        <f>'Cashflow Statement'!C20</f>
        <v>0</v>
      </c>
      <c r="D19" s="55">
        <f>'Cashflow Statement'!D20</f>
        <v>0</v>
      </c>
      <c r="E19" s="55">
        <f>'Cashflow Statement'!E20</f>
        <v>-86681872</v>
      </c>
      <c r="F19" s="55">
        <f>'Cashflow Statement'!F20</f>
        <v>-23921419</v>
      </c>
      <c r="G19" s="55">
        <f>'Cashflow Statement'!G20</f>
        <v>-27683670</v>
      </c>
      <c r="H19" s="55">
        <f>'Cashflow Statement'!H20</f>
        <v>19199310</v>
      </c>
      <c r="I19" s="55">
        <f>'Cashflow Statement'!I20</f>
        <v>-77949864</v>
      </c>
      <c r="J19" s="55">
        <f>'Cashflow Statement'!J20</f>
        <v>-104604457</v>
      </c>
      <c r="K19" s="55">
        <f>'Cashflow Statement'!K20</f>
        <v>-19810258</v>
      </c>
      <c r="L19" s="55">
        <f>'Cashflow Statement'!L20</f>
        <v>43982949</v>
      </c>
      <c r="N19" s="17">
        <f t="shared" si="1"/>
        <v>-1.9076282586317053</v>
      </c>
    </row>
    <row r="20" spans="1:15" hidden="1" x14ac:dyDescent="0.2">
      <c r="B20" s="55"/>
      <c r="C20" s="55"/>
      <c r="D20" s="55"/>
      <c r="E20" s="55"/>
      <c r="F20" s="55"/>
      <c r="G20" s="55"/>
      <c r="H20" s="55"/>
      <c r="I20" s="55"/>
      <c r="J20" s="55"/>
      <c r="K20" s="55"/>
      <c r="L20" s="55"/>
      <c r="N20" s="17"/>
    </row>
    <row r="21" spans="1:15" s="2" customFormat="1" x14ac:dyDescent="0.2">
      <c r="A21" s="2" t="str">
        <f>'Cashflow Statement'!A22</f>
        <v>Cash provided by investment activities</v>
      </c>
      <c r="B21" s="56">
        <f>'Cashflow Statement'!B22</f>
        <v>0</v>
      </c>
      <c r="C21" s="56">
        <f>'Cashflow Statement'!C22</f>
        <v>0</v>
      </c>
      <c r="D21" s="56">
        <f>'Cashflow Statement'!D22</f>
        <v>0</v>
      </c>
      <c r="E21" s="56">
        <f>'Cashflow Statement'!E22</f>
        <v>-91907522</v>
      </c>
      <c r="F21" s="56">
        <f>'Cashflow Statement'!F22</f>
        <v>-27882387</v>
      </c>
      <c r="G21" s="56">
        <f>'Cashflow Statement'!G22</f>
        <v>-77143941</v>
      </c>
      <c r="H21" s="56">
        <f>'Cashflow Statement'!H22</f>
        <v>18943000</v>
      </c>
      <c r="I21" s="56">
        <f>'Cashflow Statement'!I22</f>
        <v>-61503043</v>
      </c>
      <c r="J21" s="56">
        <f>'Cashflow Statement'!J22</f>
        <v>-108925750</v>
      </c>
      <c r="K21" s="56">
        <f>'Cashflow Statement'!K22</f>
        <v>-32478033</v>
      </c>
      <c r="L21" s="56">
        <f>'Cashflow Statement'!L22</f>
        <v>15963239</v>
      </c>
      <c r="N21" s="17">
        <f t="shared" si="1"/>
        <v>-1.7787457839265204</v>
      </c>
    </row>
    <row r="22" spans="1:15" s="2" customFormat="1" x14ac:dyDescent="0.2">
      <c r="B22" s="56"/>
      <c r="C22" s="56"/>
      <c r="D22" s="56"/>
      <c r="E22" s="56"/>
      <c r="F22" s="56"/>
      <c r="G22" s="56"/>
      <c r="H22" s="56"/>
      <c r="I22" s="56"/>
      <c r="J22" s="56"/>
      <c r="K22" s="56"/>
      <c r="L22" s="56"/>
      <c r="N22" s="17"/>
    </row>
    <row r="23" spans="1:15" s="2" customFormat="1" x14ac:dyDescent="0.2">
      <c r="A23" s="2" t="str">
        <f>'Cashflow Statement'!A24</f>
        <v>Cashflow from financing activities</v>
      </c>
      <c r="B23" s="56"/>
      <c r="C23" s="56"/>
      <c r="D23" s="56"/>
      <c r="E23" s="56"/>
      <c r="F23" s="56"/>
      <c r="G23" s="56"/>
      <c r="H23" s="56"/>
      <c r="I23" s="56"/>
      <c r="J23" s="56"/>
      <c r="K23" s="56"/>
      <c r="L23" s="56"/>
      <c r="N23" s="17"/>
    </row>
    <row r="24" spans="1:15" hidden="1" x14ac:dyDescent="0.2">
      <c r="A24" s="1" t="str">
        <f>'Cashflow Statement'!A25</f>
        <v>Receipts from subsidiary</v>
      </c>
      <c r="B24" s="55">
        <f>'Cashflow Statement'!B25</f>
        <v>0</v>
      </c>
      <c r="C24" s="55">
        <f>'Cashflow Statement'!C25</f>
        <v>0</v>
      </c>
      <c r="D24" s="55">
        <f>'Cashflow Statement'!D25</f>
        <v>0</v>
      </c>
      <c r="E24" s="55">
        <f>'Cashflow Statement'!E25</f>
        <v>0</v>
      </c>
      <c r="F24" s="55">
        <f>'Cashflow Statement'!F25</f>
        <v>0</v>
      </c>
      <c r="G24" s="55">
        <f>'Cashflow Statement'!G25</f>
        <v>0</v>
      </c>
      <c r="H24" s="55">
        <f>'Cashflow Statement'!H25</f>
        <v>0</v>
      </c>
      <c r="I24" s="55">
        <f>'Cashflow Statement'!I25</f>
        <v>0</v>
      </c>
      <c r="J24" s="55">
        <f>'Cashflow Statement'!J25</f>
        <v>0</v>
      </c>
      <c r="K24" s="55">
        <f>'Cashflow Statement'!K25</f>
        <v>0</v>
      </c>
      <c r="L24" s="55">
        <f>'Cashflow Statement'!L25</f>
        <v>0</v>
      </c>
      <c r="N24" s="17" t="e">
        <f t="shared" ref="N24:N31" si="2">(L24/E24)^(1/7)-1</f>
        <v>#DIV/0!</v>
      </c>
      <c r="O24" s="2"/>
    </row>
    <row r="25" spans="1:15" s="2" customFormat="1" x14ac:dyDescent="0.2">
      <c r="A25" s="1" t="str">
        <f>'Cashflow Statement'!A26</f>
        <v>Long term creditor payments</v>
      </c>
      <c r="B25" s="55">
        <f>'Cashflow Statement'!B26</f>
        <v>0</v>
      </c>
      <c r="C25" s="55">
        <f>'Cashflow Statement'!C26</f>
        <v>0</v>
      </c>
      <c r="D25" s="55">
        <f>'Cashflow Statement'!D26</f>
        <v>0</v>
      </c>
      <c r="E25" s="55">
        <f>'Cashflow Statement'!E26</f>
        <v>-244848</v>
      </c>
      <c r="F25" s="55">
        <f>'Cashflow Statement'!F26</f>
        <v>-422532</v>
      </c>
      <c r="G25" s="55">
        <f>'Cashflow Statement'!G26</f>
        <v>0</v>
      </c>
      <c r="H25" s="55">
        <f>'Cashflow Statement'!H26</f>
        <v>0</v>
      </c>
      <c r="I25" s="55">
        <f>'Cashflow Statement'!I26</f>
        <v>0</v>
      </c>
      <c r="J25" s="55">
        <f>'Cashflow Statement'!J26</f>
        <v>0</v>
      </c>
      <c r="K25" s="55">
        <f>'Cashflow Statement'!K26</f>
        <v>0</v>
      </c>
      <c r="L25" s="55">
        <f>'Cashflow Statement'!L26</f>
        <v>0</v>
      </c>
      <c r="M25" s="1"/>
      <c r="N25" s="17">
        <f t="shared" si="2"/>
        <v>-1</v>
      </c>
    </row>
    <row r="26" spans="1:15" x14ac:dyDescent="0.2">
      <c r="A26" s="1" t="str">
        <f>'Cashflow Statement'!A28</f>
        <v>Post retirement health care settlement</v>
      </c>
      <c r="B26" s="55">
        <f>'Cashflow Statement'!B28</f>
        <v>0</v>
      </c>
      <c r="C26" s="55">
        <f>'Cashflow Statement'!C28</f>
        <v>0</v>
      </c>
      <c r="D26" s="55">
        <f>'Cashflow Statement'!D28</f>
        <v>0</v>
      </c>
      <c r="E26" s="55">
        <f>'Cashflow Statement'!E28</f>
        <v>-4070977</v>
      </c>
      <c r="F26" s="55">
        <f>'Cashflow Statement'!F28</f>
        <v>-1534126</v>
      </c>
      <c r="G26" s="55">
        <f>'Cashflow Statement'!G28</f>
        <v>-1394997</v>
      </c>
      <c r="H26" s="55">
        <f>'Cashflow Statement'!H28</f>
        <v>-1174437</v>
      </c>
      <c r="I26" s="55">
        <f>'Cashflow Statement'!I28</f>
        <v>-978866</v>
      </c>
      <c r="J26" s="55">
        <f>'Cashflow Statement'!J28</f>
        <v>-3629758</v>
      </c>
      <c r="K26" s="55">
        <f>'Cashflow Statement'!K28</f>
        <v>-2010670</v>
      </c>
      <c r="L26" s="55">
        <f>'Cashflow Statement'!L28</f>
        <v>-3348294</v>
      </c>
      <c r="N26" s="17">
        <f t="shared" si="2"/>
        <v>-2.7532735600750424E-2</v>
      </c>
      <c r="O26" s="2"/>
    </row>
    <row r="27" spans="1:15" hidden="1" x14ac:dyDescent="0.2">
      <c r="A27" s="1">
        <f>'Cashflow Statement'!A29</f>
        <v>0</v>
      </c>
      <c r="B27" s="55">
        <f>'Cashflow Statement'!B29</f>
        <v>0</v>
      </c>
      <c r="C27" s="55">
        <f>'Cashflow Statement'!C29</f>
        <v>0</v>
      </c>
      <c r="D27" s="55">
        <f>'Cashflow Statement'!D29</f>
        <v>0</v>
      </c>
      <c r="E27" s="55">
        <f>'Cashflow Statement'!E29</f>
        <v>0</v>
      </c>
      <c r="F27" s="55">
        <f>'Cashflow Statement'!F29</f>
        <v>0</v>
      </c>
      <c r="G27" s="55">
        <f>'Cashflow Statement'!G29</f>
        <v>0</v>
      </c>
      <c r="H27" s="55">
        <f>'Cashflow Statement'!H29</f>
        <v>0</v>
      </c>
      <c r="I27" s="55">
        <f>'Cashflow Statement'!I29</f>
        <v>0</v>
      </c>
      <c r="J27" s="55">
        <f>'Cashflow Statement'!J29</f>
        <v>0</v>
      </c>
      <c r="K27" s="55">
        <f>'Cashflow Statement'!K29</f>
        <v>0</v>
      </c>
      <c r="L27" s="55">
        <f>'Cashflow Statement'!L29</f>
        <v>0</v>
      </c>
      <c r="N27" s="17" t="e">
        <f t="shared" si="2"/>
        <v>#DIV/0!</v>
      </c>
      <c r="O27" s="2"/>
    </row>
    <row r="28" spans="1:15" hidden="1" x14ac:dyDescent="0.2">
      <c r="A28" s="1">
        <f>'Cashflow Statement'!A30</f>
        <v>0</v>
      </c>
      <c r="B28" s="55">
        <f>'Cashflow Statement'!B30</f>
        <v>0</v>
      </c>
      <c r="C28" s="55">
        <f>'Cashflow Statement'!C30</f>
        <v>0</v>
      </c>
      <c r="D28" s="55">
        <f>'Cashflow Statement'!D30</f>
        <v>0</v>
      </c>
      <c r="E28" s="55">
        <f>'Cashflow Statement'!E30</f>
        <v>0</v>
      </c>
      <c r="F28" s="55">
        <f>'Cashflow Statement'!F30</f>
        <v>0</v>
      </c>
      <c r="G28" s="55">
        <f>'Cashflow Statement'!G30</f>
        <v>0</v>
      </c>
      <c r="H28" s="55">
        <f>'Cashflow Statement'!H30</f>
        <v>0</v>
      </c>
      <c r="I28" s="55">
        <f>'Cashflow Statement'!I30</f>
        <v>0</v>
      </c>
      <c r="J28" s="55">
        <f>'Cashflow Statement'!J30</f>
        <v>0</v>
      </c>
      <c r="K28" s="55">
        <f>'Cashflow Statement'!K30</f>
        <v>0</v>
      </c>
      <c r="L28" s="55">
        <f>'Cashflow Statement'!L30</f>
        <v>0</v>
      </c>
      <c r="N28" s="17" t="e">
        <f t="shared" si="2"/>
        <v>#DIV/0!</v>
      </c>
      <c r="O28" s="2"/>
    </row>
    <row r="29" spans="1:15" hidden="1" x14ac:dyDescent="0.2">
      <c r="A29" s="1">
        <f>'Cashflow Statement'!A31</f>
        <v>0</v>
      </c>
      <c r="B29" s="55">
        <f>'Cashflow Statement'!B31</f>
        <v>0</v>
      </c>
      <c r="C29" s="55">
        <f>'Cashflow Statement'!C31</f>
        <v>0</v>
      </c>
      <c r="D29" s="55">
        <f>'Cashflow Statement'!D31</f>
        <v>0</v>
      </c>
      <c r="E29" s="55">
        <f>'Cashflow Statement'!E31</f>
        <v>0</v>
      </c>
      <c r="F29" s="55">
        <f>'Cashflow Statement'!F31</f>
        <v>0</v>
      </c>
      <c r="G29" s="55">
        <f>'Cashflow Statement'!G31</f>
        <v>0</v>
      </c>
      <c r="H29" s="55">
        <f>'Cashflow Statement'!H31</f>
        <v>0</v>
      </c>
      <c r="I29" s="55">
        <f>'Cashflow Statement'!I31</f>
        <v>0</v>
      </c>
      <c r="J29" s="55">
        <f>'Cashflow Statement'!J31</f>
        <v>0</v>
      </c>
      <c r="K29" s="55">
        <f>'Cashflow Statement'!K31</f>
        <v>0</v>
      </c>
      <c r="L29" s="55">
        <f>'Cashflow Statement'!L31</f>
        <v>0</v>
      </c>
      <c r="N29" s="17" t="e">
        <f t="shared" si="2"/>
        <v>#DIV/0!</v>
      </c>
      <c r="O29" s="2"/>
    </row>
    <row r="30" spans="1:15" hidden="1" x14ac:dyDescent="0.2">
      <c r="A30" s="1">
        <f>'Cashflow Statement'!A32</f>
        <v>0</v>
      </c>
      <c r="B30" s="55">
        <f>'Cashflow Statement'!B32</f>
        <v>0</v>
      </c>
      <c r="C30" s="55">
        <f>'Cashflow Statement'!C32</f>
        <v>0</v>
      </c>
      <c r="D30" s="55">
        <f>'Cashflow Statement'!D32</f>
        <v>0</v>
      </c>
      <c r="E30" s="55">
        <f>'Cashflow Statement'!E32</f>
        <v>0</v>
      </c>
      <c r="F30" s="55">
        <f>'Cashflow Statement'!F32</f>
        <v>0</v>
      </c>
      <c r="G30" s="55">
        <f>'Cashflow Statement'!G32</f>
        <v>0</v>
      </c>
      <c r="H30" s="55">
        <f>'Cashflow Statement'!H32</f>
        <v>0</v>
      </c>
      <c r="I30" s="55">
        <f>'Cashflow Statement'!I32</f>
        <v>0</v>
      </c>
      <c r="J30" s="55">
        <f>'Cashflow Statement'!J32</f>
        <v>0</v>
      </c>
      <c r="K30" s="55">
        <f>'Cashflow Statement'!K32</f>
        <v>0</v>
      </c>
      <c r="L30" s="55">
        <f>'Cashflow Statement'!L32</f>
        <v>0</v>
      </c>
      <c r="N30" s="17" t="e">
        <f t="shared" si="2"/>
        <v>#DIV/0!</v>
      </c>
      <c r="O30" s="2"/>
    </row>
    <row r="31" spans="1:15" s="2" customFormat="1" x14ac:dyDescent="0.2">
      <c r="A31" s="2" t="str">
        <f>'Cashflow Statement'!A33</f>
        <v>Cash provided by financing activities</v>
      </c>
      <c r="B31" s="56">
        <f>'Cashflow Statement'!B33</f>
        <v>0</v>
      </c>
      <c r="C31" s="56">
        <f>'Cashflow Statement'!C33</f>
        <v>0</v>
      </c>
      <c r="D31" s="56">
        <f>'Cashflow Statement'!D33</f>
        <v>0</v>
      </c>
      <c r="E31" s="56">
        <f>'Cashflow Statement'!E33</f>
        <v>-4315825</v>
      </c>
      <c r="F31" s="56">
        <f>'Cashflow Statement'!F33</f>
        <v>-1956658</v>
      </c>
      <c r="G31" s="56">
        <f>'Cashflow Statement'!G33</f>
        <v>-1394997</v>
      </c>
      <c r="H31" s="56">
        <f>'Cashflow Statement'!H33</f>
        <v>-1174437</v>
      </c>
      <c r="I31" s="56">
        <f>'Cashflow Statement'!I33</f>
        <v>-3066084</v>
      </c>
      <c r="J31" s="56">
        <f>'Cashflow Statement'!J33</f>
        <v>-3629758</v>
      </c>
      <c r="K31" s="56">
        <f>'Cashflow Statement'!K33</f>
        <v>-2010670</v>
      </c>
      <c r="L31" s="56">
        <f>'Cashflow Statement'!L33</f>
        <v>-3348294</v>
      </c>
      <c r="N31" s="17">
        <f t="shared" si="2"/>
        <v>-3.5612896511687642E-2</v>
      </c>
    </row>
    <row r="32" spans="1:15" s="2" customFormat="1" x14ac:dyDescent="0.2">
      <c r="B32" s="56"/>
      <c r="C32" s="56"/>
      <c r="D32" s="56"/>
      <c r="E32" s="56"/>
      <c r="F32" s="56"/>
      <c r="G32" s="56"/>
      <c r="H32" s="56"/>
      <c r="I32" s="56"/>
      <c r="J32" s="56"/>
      <c r="K32" s="56"/>
      <c r="L32" s="56"/>
      <c r="N32" s="59"/>
    </row>
    <row r="33" spans="1:15" s="2" customFormat="1" x14ac:dyDescent="0.2">
      <c r="A33" s="2" t="str">
        <f>'Cashflow Statement'!A35</f>
        <v>Net increase in cash and cash equivalents</v>
      </c>
      <c r="B33" s="56">
        <f>'Cashflow Statement'!B35</f>
        <v>0</v>
      </c>
      <c r="C33" s="56">
        <f>'Cashflow Statement'!C35</f>
        <v>0</v>
      </c>
      <c r="D33" s="56">
        <f>'Cashflow Statement'!D35</f>
        <v>0</v>
      </c>
      <c r="E33" s="56">
        <f>'Cashflow Statement'!E35</f>
        <v>-75857421</v>
      </c>
      <c r="F33" s="56">
        <f>'Cashflow Statement'!F35</f>
        <v>16942024</v>
      </c>
      <c r="G33" s="56">
        <f>'Cashflow Statement'!G35</f>
        <v>10103584</v>
      </c>
      <c r="H33" s="56">
        <f>'Cashflow Statement'!H35</f>
        <v>-17734262</v>
      </c>
      <c r="I33" s="56">
        <f>'Cashflow Statement'!I35</f>
        <v>25505757</v>
      </c>
      <c r="J33" s="56">
        <f>'Cashflow Statement'!J35</f>
        <v>-30925264</v>
      </c>
      <c r="K33" s="56">
        <f>'Cashflow Statement'!K35</f>
        <v>10937341</v>
      </c>
      <c r="L33" s="56">
        <f>'Cashflow Statement'!L35</f>
        <v>29711702</v>
      </c>
      <c r="N33" s="17">
        <f t="shared" ref="N33" si="3">(L33/E33)^(1/7)-1</f>
        <v>-1.8746757081676828</v>
      </c>
    </row>
    <row r="34" spans="1:15" x14ac:dyDescent="0.2">
      <c r="B34" s="55"/>
      <c r="C34" s="55"/>
      <c r="D34" s="55"/>
      <c r="E34" s="55"/>
      <c r="F34" s="55"/>
      <c r="G34" s="55"/>
      <c r="H34" s="55"/>
      <c r="I34" s="55"/>
      <c r="J34" s="55"/>
      <c r="K34" s="55"/>
      <c r="L34" s="55"/>
      <c r="N34" s="59"/>
      <c r="O34" s="2"/>
    </row>
    <row r="35" spans="1:15" x14ac:dyDescent="0.2">
      <c r="A35" s="1" t="str">
        <f>'Cashflow Statement'!A37</f>
        <v>Cash and cash equivalents at the biggining of the year</v>
      </c>
      <c r="B35" s="55">
        <f>'Cashflow Statement'!B37</f>
        <v>0</v>
      </c>
      <c r="C35" s="55">
        <f>'Cashflow Statement'!C37</f>
        <v>0</v>
      </c>
      <c r="D35" s="55">
        <f>'Cashflow Statement'!D37</f>
        <v>0</v>
      </c>
      <c r="E35" s="55">
        <f>'Cashflow Statement'!E37</f>
        <v>79617943</v>
      </c>
      <c r="F35" s="55">
        <f>'Cashflow Statement'!F37</f>
        <v>3760522</v>
      </c>
      <c r="G35" s="55">
        <f>'Cashflow Statement'!G37</f>
        <v>20702546</v>
      </c>
      <c r="H35" s="55">
        <f>'Cashflow Statement'!H37</f>
        <v>30806130</v>
      </c>
      <c r="I35" s="55">
        <f>'Cashflow Statement'!I37</f>
        <v>13071868</v>
      </c>
      <c r="J35" s="55">
        <f>'Cashflow Statement'!J37</f>
        <v>38577625</v>
      </c>
      <c r="K35" s="55">
        <f>'Cashflow Statement'!K37</f>
        <v>7652361</v>
      </c>
      <c r="L35" s="55">
        <f>'Cashflow Statement'!L37</f>
        <v>18589702</v>
      </c>
      <c r="N35" s="17">
        <f t="shared" ref="N35:N36" si="4">(L35/E35)^(1/7)-1</f>
        <v>-0.1876341857236381</v>
      </c>
    </row>
    <row r="36" spans="1:15" hidden="1" x14ac:dyDescent="0.2">
      <c r="A36" s="1" t="str">
        <f>'Cashflow Statement'!A38</f>
        <v>Effect of foreign exchange rate changes</v>
      </c>
      <c r="B36" s="55">
        <f>'Cashflow Statement'!B38</f>
        <v>0</v>
      </c>
      <c r="C36" s="55">
        <f>'Cashflow Statement'!C38</f>
        <v>0</v>
      </c>
      <c r="D36" s="55">
        <f>'Cashflow Statement'!D38</f>
        <v>0</v>
      </c>
      <c r="E36" s="55">
        <f>'Cashflow Statement'!E38</f>
        <v>0</v>
      </c>
      <c r="F36" s="55">
        <f>'Cashflow Statement'!F38</f>
        <v>0</v>
      </c>
      <c r="G36" s="55">
        <f>'Cashflow Statement'!G38</f>
        <v>0</v>
      </c>
      <c r="H36" s="55">
        <f>'Cashflow Statement'!H38</f>
        <v>0</v>
      </c>
      <c r="I36" s="55">
        <f>'Cashflow Statement'!I38</f>
        <v>0</v>
      </c>
      <c r="J36" s="55">
        <f>'Cashflow Statement'!J38</f>
        <v>0</v>
      </c>
      <c r="K36" s="55">
        <f>'Cashflow Statement'!K38</f>
        <v>0</v>
      </c>
      <c r="L36" s="55">
        <f>'Cashflow Statement'!L38</f>
        <v>0</v>
      </c>
      <c r="N36" s="17" t="e">
        <f t="shared" si="4"/>
        <v>#DIV/0!</v>
      </c>
    </row>
    <row r="37" spans="1:15" x14ac:dyDescent="0.2">
      <c r="B37" s="55"/>
      <c r="C37" s="55"/>
      <c r="D37" s="55"/>
      <c r="E37" s="55"/>
      <c r="F37" s="55"/>
      <c r="G37" s="55"/>
      <c r="H37" s="55"/>
      <c r="I37" s="55"/>
      <c r="J37" s="55"/>
      <c r="K37" s="55"/>
      <c r="L37" s="55"/>
      <c r="N37" s="59"/>
    </row>
    <row r="38" spans="1:15" s="2" customFormat="1" x14ac:dyDescent="0.2">
      <c r="A38" s="2" t="str">
        <f>'Cashflow Statement'!A40</f>
        <v>Cash and cash equivalents at the end of the year</v>
      </c>
      <c r="B38" s="56">
        <f>'Cashflow Statement'!B40</f>
        <v>0</v>
      </c>
      <c r="C38" s="56">
        <f>'Cashflow Statement'!C40</f>
        <v>0</v>
      </c>
      <c r="D38" s="56">
        <f>'Cashflow Statement'!D40</f>
        <v>0</v>
      </c>
      <c r="E38" s="56">
        <f>'Cashflow Statement'!E40</f>
        <v>3760522</v>
      </c>
      <c r="F38" s="56">
        <f>'Cashflow Statement'!F40</f>
        <v>20702546</v>
      </c>
      <c r="G38" s="56">
        <f>'Cashflow Statement'!G40</f>
        <v>30806130</v>
      </c>
      <c r="H38" s="56">
        <f>'Cashflow Statement'!H40</f>
        <v>13071868</v>
      </c>
      <c r="I38" s="56">
        <f>'Cashflow Statement'!I40</f>
        <v>38577625</v>
      </c>
      <c r="J38" s="56">
        <f>'Cashflow Statement'!J40</f>
        <v>7652361</v>
      </c>
      <c r="K38" s="56">
        <f>'Cashflow Statement'!K40</f>
        <v>18589702</v>
      </c>
      <c r="L38" s="56">
        <f>'Cashflow Statement'!L40</f>
        <v>48301404</v>
      </c>
      <c r="N38" s="17">
        <f t="shared" ref="N38" si="5">(L38/E38)^(1/7)-1</f>
        <v>0.44008250528955895</v>
      </c>
    </row>
    <row r="39" spans="1:15" x14ac:dyDescent="0.2">
      <c r="A39" s="2"/>
      <c r="B39" s="2"/>
      <c r="C39" s="2"/>
      <c r="D39" s="2"/>
      <c r="E39" s="2"/>
      <c r="F39" s="2"/>
      <c r="G39" s="2"/>
      <c r="H39" s="2"/>
      <c r="I39" s="2"/>
      <c r="J39" s="2"/>
      <c r="K39" s="2"/>
      <c r="L39" s="2"/>
      <c r="N39" s="17"/>
      <c r="O39" s="17"/>
    </row>
    <row r="40" spans="1:15" x14ac:dyDescent="0.2">
      <c r="A40" s="2"/>
      <c r="B40" s="2"/>
      <c r="C40" s="2"/>
      <c r="D40" s="2"/>
      <c r="E40" s="2"/>
      <c r="F40" s="2"/>
      <c r="G40" s="2"/>
      <c r="H40" s="2"/>
      <c r="I40" s="2"/>
      <c r="J40" s="2"/>
      <c r="K40" s="2"/>
      <c r="L40" s="2"/>
      <c r="N40" s="17"/>
      <c r="O40" s="17"/>
    </row>
    <row r="41" spans="1:15" x14ac:dyDescent="0.2">
      <c r="A41" s="2"/>
      <c r="B41" s="2"/>
      <c r="C41" s="2"/>
      <c r="D41" s="2"/>
      <c r="E41" s="2"/>
      <c r="F41" s="2"/>
      <c r="G41" s="2"/>
      <c r="H41" s="2"/>
      <c r="I41" s="2"/>
      <c r="J41" s="2"/>
      <c r="K41" s="2"/>
      <c r="L41" s="2"/>
    </row>
    <row r="42" spans="1:15" x14ac:dyDescent="0.2">
      <c r="A42" s="2"/>
      <c r="B42" s="2"/>
      <c r="C42" s="2"/>
      <c r="D42" s="2"/>
      <c r="E42" s="2"/>
      <c r="F42" s="2"/>
      <c r="G42" s="2"/>
      <c r="H42" s="2"/>
      <c r="I42" s="2"/>
      <c r="J42" s="2"/>
      <c r="K42" s="2"/>
      <c r="L42" s="2"/>
    </row>
    <row r="43" spans="1:15" x14ac:dyDescent="0.2">
      <c r="A43" s="2"/>
      <c r="B43" s="2"/>
      <c r="C43" s="2"/>
      <c r="D43" s="2"/>
      <c r="E43" s="2"/>
      <c r="F43" s="2"/>
      <c r="G43" s="2"/>
      <c r="H43" s="2"/>
      <c r="I43" s="2"/>
      <c r="J43" s="2"/>
      <c r="K43" s="2"/>
      <c r="L43" s="2"/>
    </row>
    <row r="44" spans="1:15" x14ac:dyDescent="0.2">
      <c r="A44" s="2"/>
      <c r="B44" s="2"/>
      <c r="C44" s="2"/>
      <c r="D44" s="2"/>
      <c r="E44" s="2"/>
      <c r="F44" s="2"/>
      <c r="G44" s="2"/>
      <c r="H44" s="2"/>
      <c r="I44" s="2"/>
      <c r="J44" s="2"/>
      <c r="K44" s="2"/>
      <c r="L44" s="2"/>
    </row>
    <row r="45" spans="1:15" x14ac:dyDescent="0.2">
      <c r="A45" s="2"/>
      <c r="B45" s="2"/>
      <c r="C45" s="2"/>
      <c r="D45" s="2"/>
      <c r="E45" s="2"/>
      <c r="F45" s="2"/>
      <c r="G45" s="2"/>
      <c r="H45" s="2"/>
      <c r="I45" s="2"/>
      <c r="J45" s="2"/>
      <c r="K45" s="2"/>
      <c r="L45" s="2"/>
    </row>
    <row r="46" spans="1:15" x14ac:dyDescent="0.2">
      <c r="A46" s="2"/>
      <c r="B46" s="2"/>
      <c r="C46" s="2"/>
      <c r="D46" s="2"/>
      <c r="E46" s="2"/>
      <c r="F46" s="2"/>
      <c r="G46" s="2"/>
      <c r="H46" s="2"/>
      <c r="I46" s="2"/>
      <c r="J46" s="2"/>
      <c r="K46" s="2"/>
      <c r="L46" s="2"/>
    </row>
    <row r="47" spans="1:15" x14ac:dyDescent="0.2">
      <c r="A47" s="2"/>
      <c r="B47" s="2"/>
      <c r="C47" s="2"/>
      <c r="D47" s="2"/>
      <c r="E47" s="2"/>
      <c r="F47" s="2"/>
      <c r="G47" s="2"/>
      <c r="H47" s="2"/>
      <c r="I47" s="2"/>
      <c r="J47" s="2"/>
      <c r="K47" s="2"/>
      <c r="L47" s="2"/>
    </row>
    <row r="48" spans="1:15" x14ac:dyDescent="0.2">
      <c r="A48" s="2"/>
      <c r="B48" s="2"/>
      <c r="C48" s="2"/>
      <c r="D48" s="2"/>
      <c r="E48" s="2"/>
      <c r="F48" s="2"/>
      <c r="G48" s="2"/>
      <c r="H48" s="2"/>
      <c r="I48" s="2"/>
      <c r="J48" s="2"/>
      <c r="K48" s="2"/>
      <c r="L48" s="2"/>
    </row>
    <row r="49" spans="1:12" x14ac:dyDescent="0.2">
      <c r="A49" s="2"/>
      <c r="B49" s="2"/>
      <c r="C49" s="2"/>
      <c r="D49" s="2"/>
      <c r="E49" s="2"/>
      <c r="F49" s="2"/>
      <c r="G49" s="2"/>
      <c r="H49" s="2"/>
      <c r="I49" s="2"/>
      <c r="J49" s="2"/>
      <c r="K49" s="2"/>
      <c r="L49" s="2"/>
    </row>
    <row r="50" spans="1:12" x14ac:dyDescent="0.2">
      <c r="A50" s="2"/>
      <c r="B50" s="2"/>
      <c r="C50" s="2"/>
      <c r="D50" s="2"/>
      <c r="E50" s="2"/>
      <c r="F50" s="2"/>
      <c r="G50" s="2"/>
      <c r="H50" s="2"/>
      <c r="I50" s="2"/>
      <c r="J50" s="2"/>
      <c r="K50" s="2"/>
      <c r="L50" s="2"/>
    </row>
    <row r="51" spans="1:12" x14ac:dyDescent="0.2">
      <c r="A51" s="2"/>
      <c r="B51" s="2"/>
      <c r="C51" s="2"/>
      <c r="D51" s="2"/>
      <c r="E51" s="2"/>
      <c r="F51" s="2"/>
      <c r="G51" s="2"/>
      <c r="H51" s="2"/>
      <c r="I51" s="2"/>
      <c r="J51" s="2"/>
      <c r="K51" s="2"/>
      <c r="L51" s="2"/>
    </row>
    <row r="52" spans="1:12" x14ac:dyDescent="0.2">
      <c r="A52" s="2"/>
      <c r="B52" s="2"/>
      <c r="C52" s="2"/>
      <c r="D52" s="2"/>
      <c r="E52" s="2"/>
      <c r="F52" s="2"/>
      <c r="G52" s="2"/>
      <c r="H52" s="2"/>
      <c r="I52" s="2"/>
      <c r="J52" s="2"/>
      <c r="K52" s="2"/>
      <c r="L52" s="2"/>
    </row>
    <row r="53" spans="1:12" x14ac:dyDescent="0.2">
      <c r="A53" s="2"/>
      <c r="B53" s="2"/>
      <c r="C53" s="2"/>
      <c r="D53" s="2"/>
      <c r="E53" s="2"/>
      <c r="F53" s="2"/>
      <c r="G53" s="2"/>
      <c r="H53" s="2"/>
      <c r="I53" s="2"/>
      <c r="J53" s="2"/>
      <c r="K53" s="2"/>
      <c r="L53" s="2"/>
    </row>
    <row r="54" spans="1:12" x14ac:dyDescent="0.2">
      <c r="A54" s="2"/>
      <c r="B54" s="2"/>
      <c r="C54" s="2"/>
      <c r="D54" s="2"/>
      <c r="E54" s="2"/>
      <c r="F54" s="2"/>
      <c r="G54" s="2"/>
      <c r="H54" s="2"/>
      <c r="I54" s="2"/>
      <c r="J54" s="2"/>
      <c r="K54" s="2"/>
      <c r="L54" s="2"/>
    </row>
  </sheetData>
  <mergeCells count="1">
    <mergeCell ref="A1:N1"/>
  </mergeCells>
  <pageMargins left="0.7" right="0.7" top="0.75" bottom="0.75" header="0.3" footer="0.3"/>
  <ignoredErrors>
    <ignoredError sqref="N12:N17 N5:N8 N10 N21:N38 N19" evalError="1"/>
    <ignoredError sqref="N9 N18"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F17"/>
  <sheetViews>
    <sheetView workbookViewId="0"/>
  </sheetViews>
  <sheetFormatPr defaultRowHeight="12.75" x14ac:dyDescent="0.2"/>
  <cols>
    <col min="1" max="1" width="20.7109375" style="1" customWidth="1"/>
    <col min="2" max="16384" width="9.140625" style="1"/>
  </cols>
  <sheetData>
    <row r="1" spans="1:6" ht="15" x14ac:dyDescent="0.2">
      <c r="A1" s="3" t="s">
        <v>39</v>
      </c>
    </row>
    <row r="3" spans="1:6" x14ac:dyDescent="0.2">
      <c r="B3" s="2">
        <f>'Income Statement'!B3</f>
        <v>2007</v>
      </c>
      <c r="C3" s="2">
        <f>'Income Statement'!C3</f>
        <v>2008</v>
      </c>
      <c r="D3" s="2">
        <f>'Income Statement'!D3</f>
        <v>2009</v>
      </c>
      <c r="E3" s="2">
        <f>'Income Statement'!E3</f>
        <v>2010</v>
      </c>
      <c r="F3" s="2">
        <f>'Income Statement'!F3</f>
        <v>2011</v>
      </c>
    </row>
    <row r="4" spans="1:6" x14ac:dyDescent="0.2">
      <c r="A4" s="1" t="s">
        <v>3</v>
      </c>
      <c r="B4" s="1">
        <f>'Income Statement'!B4</f>
        <v>0</v>
      </c>
      <c r="C4" s="1">
        <f>'Income Statement'!C4</f>
        <v>0</v>
      </c>
      <c r="D4" s="1">
        <f>'Income Statement'!D4</f>
        <v>0</v>
      </c>
      <c r="E4" s="1">
        <f>'Income Statement'!E4</f>
        <v>346795197</v>
      </c>
      <c r="F4" s="1">
        <f>'Income Statement'!F4</f>
        <v>337160039</v>
      </c>
    </row>
    <row r="5" spans="1:6" x14ac:dyDescent="0.2">
      <c r="A5" s="1" t="s">
        <v>92</v>
      </c>
    </row>
    <row r="6" spans="1:6" x14ac:dyDescent="0.2">
      <c r="A6" s="1" t="s">
        <v>91</v>
      </c>
      <c r="B6" s="1">
        <f t="shared" ref="B6:F6" si="0">B4-B5</f>
        <v>0</v>
      </c>
      <c r="C6" s="1">
        <f t="shared" si="0"/>
        <v>0</v>
      </c>
      <c r="D6" s="1">
        <f t="shared" si="0"/>
        <v>0</v>
      </c>
      <c r="E6" s="1">
        <f t="shared" si="0"/>
        <v>346795197</v>
      </c>
      <c r="F6" s="1">
        <f t="shared" si="0"/>
        <v>337160039</v>
      </c>
    </row>
    <row r="7" spans="1:6" x14ac:dyDescent="0.2">
      <c r="A7" s="1" t="s">
        <v>93</v>
      </c>
      <c r="C7" s="8"/>
      <c r="D7" s="8"/>
      <c r="E7" s="8"/>
      <c r="F7" s="8"/>
    </row>
    <row r="8" spans="1:6" x14ac:dyDescent="0.2">
      <c r="A8" s="1" t="s">
        <v>94</v>
      </c>
      <c r="C8" s="8"/>
      <c r="D8" s="8"/>
      <c r="E8" s="8"/>
      <c r="F8" s="8"/>
    </row>
    <row r="9" spans="1:6" x14ac:dyDescent="0.2">
      <c r="A9" s="1" t="s">
        <v>95</v>
      </c>
    </row>
    <row r="10" spans="1:6" x14ac:dyDescent="0.2">
      <c r="A10" s="1" t="s">
        <v>4</v>
      </c>
      <c r="B10" s="1">
        <f t="shared" ref="B10:F10" si="1">SUM(B7:B9)</f>
        <v>0</v>
      </c>
      <c r="C10" s="1">
        <f t="shared" si="1"/>
        <v>0</v>
      </c>
      <c r="D10" s="1">
        <f t="shared" si="1"/>
        <v>0</v>
      </c>
      <c r="E10" s="1">
        <f t="shared" si="1"/>
        <v>0</v>
      </c>
      <c r="F10" s="1">
        <f t="shared" si="1"/>
        <v>0</v>
      </c>
    </row>
    <row r="11" spans="1:6" x14ac:dyDescent="0.2">
      <c r="A11" s="1" t="s">
        <v>40</v>
      </c>
      <c r="B11" s="1">
        <f t="shared" ref="B11:F11" si="2">B6-B10</f>
        <v>0</v>
      </c>
      <c r="C11" s="1">
        <f t="shared" si="2"/>
        <v>0</v>
      </c>
      <c r="D11" s="1">
        <f t="shared" si="2"/>
        <v>0</v>
      </c>
      <c r="E11" s="1">
        <f t="shared" si="2"/>
        <v>346795197</v>
      </c>
      <c r="F11" s="1">
        <f t="shared" si="2"/>
        <v>337160039</v>
      </c>
    </row>
    <row r="12" spans="1:6" x14ac:dyDescent="0.2">
      <c r="A12" s="1" t="s">
        <v>41</v>
      </c>
      <c r="B12" s="8" t="e">
        <f t="shared" ref="B12:F12" si="3">B11/B6</f>
        <v>#DIV/0!</v>
      </c>
      <c r="C12" s="8" t="e">
        <f t="shared" si="3"/>
        <v>#DIV/0!</v>
      </c>
      <c r="D12" s="8" t="e">
        <f t="shared" si="3"/>
        <v>#DIV/0!</v>
      </c>
      <c r="E12" s="8">
        <f t="shared" si="3"/>
        <v>1</v>
      </c>
      <c r="F12" s="8">
        <f t="shared" si="3"/>
        <v>1</v>
      </c>
    </row>
    <row r="15" spans="1:6" x14ac:dyDescent="0.2">
      <c r="A15" s="1" t="s">
        <v>96</v>
      </c>
      <c r="B15" s="1" t="e">
        <f>B7/B6</f>
        <v>#DIV/0!</v>
      </c>
      <c r="C15" s="1" t="e">
        <f>C7/C6</f>
        <v>#DIV/0!</v>
      </c>
      <c r="D15" s="1" t="e">
        <f t="shared" ref="D15:F15" si="4">D7/D6</f>
        <v>#DIV/0!</v>
      </c>
      <c r="E15" s="1">
        <f t="shared" si="4"/>
        <v>0</v>
      </c>
      <c r="F15" s="1">
        <f t="shared" si="4"/>
        <v>0</v>
      </c>
    </row>
    <row r="16" spans="1:6" x14ac:dyDescent="0.2">
      <c r="A16" s="1" t="s">
        <v>97</v>
      </c>
      <c r="B16" s="1" t="e">
        <f>B8/B6</f>
        <v>#DIV/0!</v>
      </c>
      <c r="C16" s="1" t="e">
        <f t="shared" ref="C16:F16" si="5">C8/C6</f>
        <v>#DIV/0!</v>
      </c>
      <c r="D16" s="1" t="e">
        <f t="shared" si="5"/>
        <v>#DIV/0!</v>
      </c>
      <c r="E16" s="1">
        <f t="shared" si="5"/>
        <v>0</v>
      </c>
      <c r="F16" s="1">
        <f t="shared" si="5"/>
        <v>0</v>
      </c>
    </row>
    <row r="17" spans="1:6" x14ac:dyDescent="0.2">
      <c r="A17" s="1" t="s">
        <v>98</v>
      </c>
      <c r="B17" s="1" t="e">
        <f>B9/B6</f>
        <v>#DIV/0!</v>
      </c>
      <c r="C17" s="1" t="e">
        <f>C9/C6</f>
        <v>#DIV/0!</v>
      </c>
      <c r="D17" s="1" t="e">
        <f t="shared" ref="D17:F17" si="6">D9/D6</f>
        <v>#DIV/0!</v>
      </c>
      <c r="E17" s="1">
        <f t="shared" si="6"/>
        <v>0</v>
      </c>
      <c r="F17" s="1">
        <f t="shared" si="6"/>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L20"/>
  <sheetViews>
    <sheetView showGridLines="0" workbookViewId="0">
      <selection sqref="A1:L1"/>
    </sheetView>
  </sheetViews>
  <sheetFormatPr defaultRowHeight="12.75" x14ac:dyDescent="0.2"/>
  <cols>
    <col min="1" max="1" width="25.140625" style="1" bestFit="1" customWidth="1"/>
    <col min="2" max="4" width="9.28515625" style="1" hidden="1" customWidth="1"/>
    <col min="5" max="12" width="15.7109375" style="1" customWidth="1"/>
    <col min="13" max="16384" width="9.140625" style="1"/>
  </cols>
  <sheetData>
    <row r="1" spans="1:12" ht="15" x14ac:dyDescent="0.2">
      <c r="A1" s="124" t="s">
        <v>2</v>
      </c>
      <c r="B1" s="124"/>
      <c r="C1" s="124"/>
      <c r="D1" s="124"/>
      <c r="E1" s="124"/>
      <c r="F1" s="124"/>
      <c r="G1" s="124"/>
      <c r="H1" s="124"/>
      <c r="I1" s="124"/>
      <c r="J1" s="124"/>
      <c r="K1" s="124"/>
      <c r="L1" s="124"/>
    </row>
    <row r="3" spans="1:12" x14ac:dyDescent="0.2">
      <c r="A3" s="2" t="s">
        <v>163</v>
      </c>
      <c r="B3" s="2">
        <v>2007</v>
      </c>
      <c r="C3" s="2">
        <v>2008</v>
      </c>
      <c r="D3" s="2">
        <v>2009</v>
      </c>
      <c r="E3" s="2">
        <v>2010</v>
      </c>
      <c r="F3" s="2">
        <v>2011</v>
      </c>
      <c r="G3" s="2">
        <v>2012</v>
      </c>
      <c r="H3" s="2">
        <v>2013</v>
      </c>
      <c r="I3" s="2">
        <v>2014</v>
      </c>
      <c r="J3" s="2">
        <v>2015</v>
      </c>
      <c r="K3" s="2">
        <v>2016</v>
      </c>
      <c r="L3" s="2">
        <v>2017</v>
      </c>
    </row>
    <row r="4" spans="1:12" x14ac:dyDescent="0.2">
      <c r="A4" s="1" t="s">
        <v>3</v>
      </c>
      <c r="B4" s="55"/>
      <c r="C4" s="55"/>
      <c r="D4" s="55"/>
      <c r="E4" s="55">
        <v>346795197</v>
      </c>
      <c r="F4" s="55">
        <v>337160039</v>
      </c>
      <c r="G4" s="55">
        <v>398970138</v>
      </c>
      <c r="H4" s="55">
        <v>451853632</v>
      </c>
      <c r="I4" s="55">
        <v>441055541</v>
      </c>
      <c r="J4" s="55">
        <v>466653371</v>
      </c>
      <c r="K4" s="55">
        <v>487203247</v>
      </c>
      <c r="L4" s="55">
        <v>441222016</v>
      </c>
    </row>
    <row r="5" spans="1:12" x14ac:dyDescent="0.2">
      <c r="A5" s="1" t="s">
        <v>172</v>
      </c>
      <c r="B5" s="55"/>
      <c r="C5" s="55"/>
      <c r="D5" s="55"/>
      <c r="E5" s="55">
        <f>6049878+21895534</f>
        <v>27945412</v>
      </c>
      <c r="F5" s="55">
        <f>6342094+16324384</f>
        <v>22666478</v>
      </c>
      <c r="G5" s="55">
        <f>5166614+16584981</f>
        <v>21751595</v>
      </c>
      <c r="H5" s="55">
        <f>3191704+15564179</f>
        <v>18755883</v>
      </c>
      <c r="I5" s="55">
        <f>3701957+16764249</f>
        <v>20466206</v>
      </c>
      <c r="J5" s="55">
        <f>10136722+26483150</f>
        <v>36619872</v>
      </c>
      <c r="K5" s="55">
        <f>6760807+32836026</f>
        <v>39596833</v>
      </c>
      <c r="L5" s="55">
        <f>6052326+32017660</f>
        <v>38069986</v>
      </c>
    </row>
    <row r="6" spans="1:12" x14ac:dyDescent="0.2">
      <c r="A6" s="1" t="s">
        <v>173</v>
      </c>
      <c r="B6" s="55"/>
      <c r="C6" s="55"/>
      <c r="D6" s="55"/>
      <c r="E6" s="55">
        <v>228709077</v>
      </c>
      <c r="F6" s="55">
        <v>227157971</v>
      </c>
      <c r="G6" s="55">
        <v>248087824</v>
      </c>
      <c r="H6" s="55">
        <v>245811772</v>
      </c>
      <c r="I6" s="55">
        <v>283788867</v>
      </c>
      <c r="J6" s="55">
        <v>318585881</v>
      </c>
      <c r="K6" s="55">
        <v>312225124</v>
      </c>
      <c r="L6" s="55">
        <v>308444589</v>
      </c>
    </row>
    <row r="7" spans="1:12" s="2" customFormat="1" x14ac:dyDescent="0.2">
      <c r="A7" s="2" t="s">
        <v>40</v>
      </c>
      <c r="B7" s="56">
        <f>B4-B6</f>
        <v>0</v>
      </c>
      <c r="C7" s="56">
        <f>C4-C6</f>
        <v>0</v>
      </c>
      <c r="D7" s="56">
        <f>D4-D6</f>
        <v>0</v>
      </c>
      <c r="E7" s="56">
        <f t="shared" ref="E7:L7" si="0">E4+E5-E6</f>
        <v>146031532</v>
      </c>
      <c r="F7" s="56">
        <f t="shared" si="0"/>
        <v>132668546</v>
      </c>
      <c r="G7" s="56">
        <f t="shared" si="0"/>
        <v>172633909</v>
      </c>
      <c r="H7" s="56">
        <f t="shared" si="0"/>
        <v>224797743</v>
      </c>
      <c r="I7" s="56">
        <f t="shared" si="0"/>
        <v>177732880</v>
      </c>
      <c r="J7" s="56">
        <f t="shared" si="0"/>
        <v>184687362</v>
      </c>
      <c r="K7" s="56">
        <f t="shared" si="0"/>
        <v>214574956</v>
      </c>
      <c r="L7" s="56">
        <f t="shared" si="0"/>
        <v>170847413</v>
      </c>
    </row>
    <row r="8" spans="1:12" x14ac:dyDescent="0.2">
      <c r="A8" s="1" t="s">
        <v>5</v>
      </c>
      <c r="B8" s="55"/>
      <c r="C8" s="55"/>
      <c r="D8" s="55"/>
      <c r="E8" s="55">
        <f>3718463+82985888+2556579+37910666</f>
        <v>127171596</v>
      </c>
      <c r="F8" s="55">
        <f>2192525+79976062+1651364+39300384</f>
        <v>123120335</v>
      </c>
      <c r="G8" s="55">
        <f>80349728+2301239+47276003-2664002</f>
        <v>127262968</v>
      </c>
      <c r="H8" s="55">
        <f>103524120+2526990+89427176-2291526</f>
        <v>193186760</v>
      </c>
      <c r="I8" s="55">
        <f>102976237+1700195+40550039-1089561</f>
        <v>144136910</v>
      </c>
      <c r="J8" s="55">
        <f>-1236291+95847872+1886361+54229692</f>
        <v>150727634</v>
      </c>
      <c r="K8" s="55">
        <f>-1543140+95578470+2567259+90653142</f>
        <v>187255731</v>
      </c>
      <c r="L8" s="55">
        <f>2774092+93096557+2075243+54878724</f>
        <v>152824616</v>
      </c>
    </row>
    <row r="9" spans="1:12" x14ac:dyDescent="0.2">
      <c r="A9" s="1" t="s">
        <v>175</v>
      </c>
      <c r="B9" s="55"/>
      <c r="C9" s="55"/>
      <c r="D9" s="55"/>
      <c r="E9" s="55">
        <v>496520</v>
      </c>
      <c r="F9" s="55">
        <v>3423769</v>
      </c>
      <c r="G9" s="55">
        <v>799947</v>
      </c>
      <c r="H9" s="55">
        <v>-205948</v>
      </c>
      <c r="I9" s="55">
        <v>-879129</v>
      </c>
      <c r="J9" s="55">
        <v>-1388920</v>
      </c>
      <c r="K9" s="55">
        <v>3352389</v>
      </c>
      <c r="L9" s="55">
        <v>1048852</v>
      </c>
    </row>
    <row r="10" spans="1:12" s="2" customFormat="1" x14ac:dyDescent="0.2">
      <c r="A10" s="2" t="s">
        <v>10</v>
      </c>
      <c r="B10" s="56">
        <f>B7-B8</f>
        <v>0</v>
      </c>
      <c r="C10" s="56">
        <f t="shared" ref="C10:D10" si="1">C7-C8</f>
        <v>0</v>
      </c>
      <c r="D10" s="56">
        <f t="shared" si="1"/>
        <v>0</v>
      </c>
      <c r="E10" s="56">
        <f t="shared" ref="E10:F10" si="2">E7-E8+E9</f>
        <v>19356456</v>
      </c>
      <c r="F10" s="56">
        <f t="shared" si="2"/>
        <v>12971980</v>
      </c>
      <c r="G10" s="56">
        <f t="shared" ref="G10" si="3">G7-G8+G9</f>
        <v>46170888</v>
      </c>
      <c r="H10" s="56">
        <f t="shared" ref="H10" si="4">H7-H8+H9</f>
        <v>31405035</v>
      </c>
      <c r="I10" s="56">
        <f t="shared" ref="I10" si="5">I7-I8+I9</f>
        <v>32716841</v>
      </c>
      <c r="J10" s="56">
        <f t="shared" ref="J10" si="6">J7-J8+J9</f>
        <v>32570808</v>
      </c>
      <c r="K10" s="56">
        <f t="shared" ref="K10" si="7">K7-K8+K9</f>
        <v>30671614</v>
      </c>
      <c r="L10" s="56">
        <f t="shared" ref="L10" si="8">L7-L8+L9</f>
        <v>19071649</v>
      </c>
    </row>
    <row r="11" spans="1:12" x14ac:dyDescent="0.2">
      <c r="A11" s="1" t="s">
        <v>8</v>
      </c>
      <c r="B11" s="55"/>
      <c r="C11" s="55"/>
      <c r="D11" s="55"/>
      <c r="E11" s="55">
        <v>3328922</v>
      </c>
      <c r="F11" s="55">
        <v>3534993</v>
      </c>
      <c r="G11" s="55">
        <v>2678886</v>
      </c>
      <c r="H11" s="55">
        <v>3062740</v>
      </c>
      <c r="I11" s="55">
        <v>3184375</v>
      </c>
      <c r="J11" s="55">
        <v>4186826</v>
      </c>
      <c r="K11" s="55">
        <v>3429288</v>
      </c>
      <c r="L11" s="55">
        <v>3602187</v>
      </c>
    </row>
    <row r="12" spans="1:12" x14ac:dyDescent="0.2">
      <c r="A12" s="1" t="s">
        <v>174</v>
      </c>
      <c r="B12" s="55"/>
      <c r="C12" s="55"/>
      <c r="D12" s="55"/>
      <c r="E12" s="55">
        <v>14163772</v>
      </c>
      <c r="F12" s="55">
        <v>12424447</v>
      </c>
      <c r="G12" s="55">
        <v>13048603</v>
      </c>
      <c r="H12" s="55">
        <v>14606560</v>
      </c>
      <c r="I12" s="55">
        <v>17514831</v>
      </c>
      <c r="J12" s="55">
        <v>15187216</v>
      </c>
      <c r="K12" s="55">
        <v>15385155</v>
      </c>
      <c r="L12" s="55">
        <v>13469832</v>
      </c>
    </row>
    <row r="13" spans="1:12" x14ac:dyDescent="0.2">
      <c r="A13" s="1" t="s">
        <v>176</v>
      </c>
      <c r="B13" s="55"/>
      <c r="C13" s="55"/>
      <c r="D13" s="55"/>
      <c r="E13" s="55">
        <v>-69467</v>
      </c>
      <c r="F13" s="55">
        <v>265324</v>
      </c>
      <c r="G13" s="55">
        <f>161022+12832877</f>
        <v>12993899</v>
      </c>
      <c r="H13" s="55">
        <f>-3295327+5633718</f>
        <v>2338391</v>
      </c>
      <c r="I13" s="55">
        <f>2748670-1723389</f>
        <v>1025281</v>
      </c>
      <c r="J13" s="55">
        <f>4971647-558706</f>
        <v>4412941</v>
      </c>
      <c r="K13" s="55">
        <f>2728171-788754</f>
        <v>1939417</v>
      </c>
      <c r="L13" s="55">
        <f>4876697-858478</f>
        <v>4018219</v>
      </c>
    </row>
    <row r="14" spans="1:12" s="2" customFormat="1" x14ac:dyDescent="0.2">
      <c r="A14" s="2" t="s">
        <v>6</v>
      </c>
      <c r="B14" s="56">
        <f>B10-B11</f>
        <v>0</v>
      </c>
      <c r="C14" s="56">
        <f>C10-C11</f>
        <v>0</v>
      </c>
      <c r="D14" s="56">
        <f>D10-D11</f>
        <v>0</v>
      </c>
      <c r="E14" s="56">
        <f t="shared" ref="E14:L14" si="9">E10-E11-E12+E13</f>
        <v>1794295</v>
      </c>
      <c r="F14" s="56">
        <f t="shared" si="9"/>
        <v>-2722136</v>
      </c>
      <c r="G14" s="56">
        <f t="shared" si="9"/>
        <v>43437298</v>
      </c>
      <c r="H14" s="56">
        <f t="shared" si="9"/>
        <v>16074126</v>
      </c>
      <c r="I14" s="56">
        <f t="shared" si="9"/>
        <v>13042916</v>
      </c>
      <c r="J14" s="56">
        <f t="shared" si="9"/>
        <v>17609707</v>
      </c>
      <c r="K14" s="56">
        <f t="shared" si="9"/>
        <v>13796588</v>
      </c>
      <c r="L14" s="56">
        <f t="shared" si="9"/>
        <v>6017849</v>
      </c>
    </row>
    <row r="15" spans="1:12" x14ac:dyDescent="0.2">
      <c r="A15" s="1" t="s">
        <v>9</v>
      </c>
      <c r="B15" s="55"/>
      <c r="C15" s="55"/>
      <c r="D15" s="55"/>
      <c r="E15" s="55">
        <v>101187</v>
      </c>
      <c r="F15" s="55">
        <v>662775</v>
      </c>
      <c r="G15" s="55"/>
      <c r="H15" s="55"/>
      <c r="I15" s="55">
        <v>459822</v>
      </c>
      <c r="J15" s="55"/>
      <c r="K15" s="55">
        <v>-23662691</v>
      </c>
      <c r="L15" s="55"/>
    </row>
    <row r="16" spans="1:12" s="2" customFormat="1" x14ac:dyDescent="0.2">
      <c r="A16" s="2" t="s">
        <v>7</v>
      </c>
      <c r="B16" s="56">
        <f>B14-B15</f>
        <v>0</v>
      </c>
      <c r="C16" s="56">
        <f t="shared" ref="C16" si="10">C14-C15</f>
        <v>0</v>
      </c>
      <c r="D16" s="56">
        <f t="shared" ref="D16" si="11">D14-D15</f>
        <v>0</v>
      </c>
      <c r="E16" s="56">
        <f t="shared" ref="E16:L16" si="12">E14-E15</f>
        <v>1693108</v>
      </c>
      <c r="F16" s="56">
        <f>F14+F15</f>
        <v>-2059361</v>
      </c>
      <c r="G16" s="56">
        <f t="shared" si="12"/>
        <v>43437298</v>
      </c>
      <c r="H16" s="56">
        <f t="shared" si="12"/>
        <v>16074126</v>
      </c>
      <c r="I16" s="56">
        <f t="shared" si="12"/>
        <v>12583094</v>
      </c>
      <c r="J16" s="56">
        <f t="shared" si="12"/>
        <v>17609707</v>
      </c>
      <c r="K16" s="56">
        <f t="shared" si="12"/>
        <v>37459279</v>
      </c>
      <c r="L16" s="56">
        <f t="shared" si="12"/>
        <v>6017849</v>
      </c>
    </row>
    <row r="19" spans="1:12" x14ac:dyDescent="0.2">
      <c r="A19" s="1" t="s">
        <v>149</v>
      </c>
      <c r="B19" s="7"/>
      <c r="C19" s="7"/>
      <c r="D19" s="7"/>
      <c r="E19" s="7"/>
      <c r="F19" s="7"/>
      <c r="G19" s="7"/>
      <c r="H19" s="7"/>
      <c r="I19" s="7"/>
      <c r="J19" s="7"/>
      <c r="K19" s="7"/>
      <c r="L19" s="7"/>
    </row>
    <row r="20" spans="1:12" x14ac:dyDescent="0.2">
      <c r="A20" s="1" t="s">
        <v>150</v>
      </c>
    </row>
  </sheetData>
  <mergeCells count="1">
    <mergeCell ref="A1:L1"/>
  </mergeCells>
  <pageMargins left="0.7" right="0.7" top="0.75" bottom="0.75" header="0.3" footer="0.3"/>
  <pageSetup orientation="portrait" r:id="rId1"/>
  <ignoredErrors>
    <ignoredError sqref="F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Data</vt:lpstr>
      <vt:lpstr>Company Overview</vt:lpstr>
      <vt:lpstr>Summary Performance</vt:lpstr>
      <vt:lpstr>Financial Analsysis</vt:lpstr>
      <vt:lpstr>Income Statement Analysis</vt:lpstr>
      <vt:lpstr>Balance Sheet Analysis</vt:lpstr>
      <vt:lpstr>Cashflow Analysis</vt:lpstr>
      <vt:lpstr>Operations Analysis</vt:lpstr>
      <vt:lpstr>Income Statement</vt:lpstr>
      <vt:lpstr>Balance Sheet</vt:lpstr>
      <vt:lpstr>Cashflow Statement</vt:lpstr>
      <vt:lpstr>'Company Overview'!Print_Area</vt:lpstr>
      <vt:lpstr>'Financial Analsysis'!Print_Area</vt:lpstr>
      <vt:lpstr>Rating</vt:lpstr>
    </vt:vector>
  </TitlesOfParts>
  <Company>PricewaterhouseCoopers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pramashala001</dc:creator>
  <cp:lastModifiedBy>Palesa Ramashala</cp:lastModifiedBy>
  <cp:lastPrinted>2017-12-23T16:52:11Z</cp:lastPrinted>
  <dcterms:created xsi:type="dcterms:W3CDTF">2009-01-23T10:19:39Z</dcterms:created>
  <dcterms:modified xsi:type="dcterms:W3CDTF">2019-10-06T17:56:10Z</dcterms:modified>
</cp:coreProperties>
</file>